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tables/table14.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tables/table27.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tables/table40.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drawings/drawing1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xml"/>
  <Override PartName="/xl/tables/table53.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drawings/drawing1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xml"/>
  <Override PartName="/xl/tables/table66.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20.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xml" ContentType="application/vnd.openxmlformats-officedocument.drawing+xml"/>
  <Override PartName="/xl/tables/table79.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2.xml" ContentType="application/vnd.openxmlformats-officedocument.drawing+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drawings/drawing2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4.xml" ContentType="application/vnd.openxmlformats-officedocument.drawing+xml"/>
  <Override PartName="/xl/tables/table92.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5.xml" ContentType="application/vnd.openxmlformats-officedocument.drawing+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drawings/drawing2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7.xml" ContentType="application/vnd.openxmlformats-officedocument.drawing+xml"/>
  <Override PartName="/xl/tables/table105.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drawings/drawing2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0.xml" ContentType="application/vnd.openxmlformats-officedocument.drawing+xml"/>
  <Override PartName="/xl/tables/table109.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1.xml" ContentType="application/vnd.openxmlformats-officedocument.drawing+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drawings/drawing3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3.xml" ContentType="application/vnd.openxmlformats-officedocument.drawing+xml"/>
  <Override PartName="/xl/tables/table122.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4.xml" ContentType="application/vnd.openxmlformats-officedocument.drawing+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drawings/drawing35.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6.xml" ContentType="application/vnd.openxmlformats-officedocument.drawing+xml"/>
  <Override PartName="/xl/tables/table135.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7.xml" ContentType="application/vnd.openxmlformats-officedocument.drawing+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drawings/drawing38.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9.xml" ContentType="application/vnd.openxmlformats-officedocument.drawing+xml"/>
  <Override PartName="/xl/tables/table148.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0.xml" ContentType="application/vnd.openxmlformats-officedocument.drawing+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drawings/drawing41.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2.xml" ContentType="application/vnd.openxmlformats-officedocument.drawing+xml"/>
  <Override PartName="/xl/tables/table161.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3.xml" ContentType="application/vnd.openxmlformats-officedocument.drawing+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drawings/drawing44.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5.xml" ContentType="application/vnd.openxmlformats-officedocument.drawing+xml"/>
  <Override PartName="/xl/tables/table174.xml" ContentType="application/vnd.openxmlformats-officedocument.spreadsheetml.tab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6.xml" ContentType="application/vnd.openxmlformats-officedocument.drawing+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drawings/drawing47.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8.xml" ContentType="application/vnd.openxmlformats-officedocument.drawing+xml"/>
  <Override PartName="/xl/tables/table187.xml" ContentType="application/vnd.openxmlformats-officedocument.spreadsheetml.tab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9.xml" ContentType="application/vnd.openxmlformats-officedocument.drawing+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drawings/drawing50.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1.xml" ContentType="application/vnd.openxmlformats-officedocument.drawing+xml"/>
  <Override PartName="/xl/tables/table200.xml" ContentType="application/vnd.openxmlformats-officedocument.spreadsheetml.tab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2.xml" ContentType="application/vnd.openxmlformats-officedocument.drawing+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drawings/drawing53.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4.xml" ContentType="application/vnd.openxmlformats-officedocument.drawing+xml"/>
  <Override PartName="/xl/tables/table213.xml" ContentType="application/vnd.openxmlformats-officedocument.spreadsheetml.tab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5.xml" ContentType="application/vnd.openxmlformats-officedocument.drawing+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drawings/drawing56.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7.xml" ContentType="application/vnd.openxmlformats-officedocument.drawing+xml"/>
  <Override PartName="/xl/tables/table226.xml" ContentType="application/vnd.openxmlformats-officedocument.spreadsheetml.tab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8.xml" ContentType="application/vnd.openxmlformats-officedocument.drawing+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drawings/drawing59.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0.xml" ContentType="application/vnd.openxmlformats-officedocument.drawing+xml"/>
  <Override PartName="/xl/tables/table239.xml" ContentType="application/vnd.openxmlformats-officedocument.spreadsheetml.tab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1.xml" ContentType="application/vnd.openxmlformats-officedocument.drawing+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drawings/drawing62.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3.xml" ContentType="application/vnd.openxmlformats-officedocument.drawing+xml"/>
  <Override PartName="/xl/tables/table252.xml" ContentType="application/vnd.openxmlformats-officedocument.spreadsheetml.tab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4.xml" ContentType="application/vnd.openxmlformats-officedocument.drawing+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drawings/drawing65.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emma.vinellabrusher\12-15-17\TAM\MOVTA\"/>
    </mc:Choice>
  </mc:AlternateContent>
  <bookViews>
    <workbookView xWindow="0" yWindow="0" windowWidth="28800" windowHeight="12210"/>
  </bookViews>
  <sheets>
    <sheet name="Cover Page" sheetId="96" r:id="rId1"/>
    <sheet name="Index " sheetId="95" r:id="rId2"/>
    <sheet name="Bus 201 summary" sheetId="3" r:id="rId3"/>
    <sheet name="201 FY 18" sheetId="4" r:id="rId4"/>
    <sheet name="201 PM " sheetId="7" r:id="rId5"/>
    <sheet name="201 Chart" sheetId="8" r:id="rId6"/>
    <sheet name="202 summary" sheetId="9" r:id="rId7"/>
    <sheet name="202 FY 18" sheetId="10" r:id="rId8"/>
    <sheet name="202 PM" sheetId="11" r:id="rId9"/>
    <sheet name="202 Chart" sheetId="12" r:id="rId10"/>
    <sheet name="Bus 203 summary" sheetId="14" r:id="rId11"/>
    <sheet name="203 FY 18" sheetId="15" r:id="rId12"/>
    <sheet name="203 PM" sheetId="16" r:id="rId13"/>
    <sheet name="203 Chart" sheetId="17" r:id="rId14"/>
    <sheet name="301 summary" sheetId="18" r:id="rId15"/>
    <sheet name="301 FY 18" sheetId="19" r:id="rId16"/>
    <sheet name="301 PM" sheetId="21" r:id="rId17"/>
    <sheet name="301 Chart" sheetId="22" r:id="rId18"/>
    <sheet name="Bus 302 summary" sheetId="23" r:id="rId19"/>
    <sheet name="302 FY 18" sheetId="24" r:id="rId20"/>
    <sheet name="302 PM" sheetId="25" r:id="rId21"/>
    <sheet name="302 Chart" sheetId="26" r:id="rId22"/>
    <sheet name="Bus 303 summary" sheetId="27" r:id="rId23"/>
    <sheet name="303 FY 18" sheetId="28" r:id="rId24"/>
    <sheet name="303 PM" sheetId="29" r:id="rId25"/>
    <sheet name="303 Chart" sheetId="30" r:id="rId26"/>
    <sheet name="Bus 304 summary" sheetId="31" r:id="rId27"/>
    <sheet name="304 FY 18" sheetId="32" r:id="rId28"/>
    <sheet name="304 PM" sheetId="33" r:id="rId29"/>
    <sheet name="304 Chart" sheetId="34" r:id="rId30"/>
    <sheet name="Bus 305 summary" sheetId="35" r:id="rId31"/>
    <sheet name="305 FY 18" sheetId="36" r:id="rId32"/>
    <sheet name="305 PM" sheetId="37" r:id="rId33"/>
    <sheet name="305 Chart" sheetId="38" r:id="rId34"/>
    <sheet name="Bus 306 summary" sheetId="40" r:id="rId35"/>
    <sheet name="306 FY 18 " sheetId="41" r:id="rId36"/>
    <sheet name="306 PM" sheetId="42" r:id="rId37"/>
    <sheet name="306 Chart" sheetId="43" r:id="rId38"/>
    <sheet name="Bus 307 summary" sheetId="44" r:id="rId39"/>
    <sheet name="307 FY 18" sheetId="45" r:id="rId40"/>
    <sheet name="307 PM" sheetId="46" r:id="rId41"/>
    <sheet name="307 Chart" sheetId="47" r:id="rId42"/>
    <sheet name="Bus 308 summary" sheetId="48" r:id="rId43"/>
    <sheet name="308 FY 18" sheetId="49" r:id="rId44"/>
    <sheet name="308 PM" sheetId="50" r:id="rId45"/>
    <sheet name="308 Chart" sheetId="51" r:id="rId46"/>
    <sheet name="Bus 309 summary" sheetId="52" r:id="rId47"/>
    <sheet name="309 FY 18" sheetId="53" r:id="rId48"/>
    <sheet name="309 PM" sheetId="54" r:id="rId49"/>
    <sheet name="309 Chart" sheetId="55" r:id="rId50"/>
    <sheet name="Bus 310 summary" sheetId="56" r:id="rId51"/>
    <sheet name="310 FY 18" sheetId="57" r:id="rId52"/>
    <sheet name="310 PM" sheetId="58" r:id="rId53"/>
    <sheet name="310 Chart" sheetId="59" r:id="rId54"/>
    <sheet name="Bus 311 summary" sheetId="60" r:id="rId55"/>
    <sheet name="311 FY 18" sheetId="61" r:id="rId56"/>
    <sheet name="311 PM" sheetId="62" r:id="rId57"/>
    <sheet name="311 Chart" sheetId="63" r:id="rId58"/>
    <sheet name="Bus 401 summary" sheetId="64" r:id="rId59"/>
    <sheet name="401 FY 18" sheetId="65" r:id="rId60"/>
    <sheet name="401 PM" sheetId="66" r:id="rId61"/>
    <sheet name="401 Chart" sheetId="67" r:id="rId62"/>
    <sheet name="Bus 402 summary" sheetId="68" r:id="rId63"/>
    <sheet name="402 FY 18" sheetId="69" r:id="rId64"/>
    <sheet name="402 PM" sheetId="70" r:id="rId65"/>
    <sheet name="402 Chart" sheetId="71" r:id="rId66"/>
    <sheet name="Bus 403 summary" sheetId="72" r:id="rId67"/>
    <sheet name="403 FY 18" sheetId="73" r:id="rId68"/>
    <sheet name="403 PM" sheetId="74" r:id="rId69"/>
    <sheet name="403 Chart" sheetId="75" r:id="rId70"/>
    <sheet name="Bus 404 summary" sheetId="76" r:id="rId71"/>
    <sheet name="404 FY 18" sheetId="77" r:id="rId72"/>
    <sheet name="404 PM" sheetId="78" r:id="rId73"/>
    <sheet name="404 Chart" sheetId="79" r:id="rId74"/>
    <sheet name="Bus 501 summary" sheetId="83" r:id="rId75"/>
    <sheet name="501 FY 18 " sheetId="84" r:id="rId76"/>
    <sheet name="501 PM" sheetId="85" r:id="rId77"/>
    <sheet name="501 Chart" sheetId="86" r:id="rId78"/>
    <sheet name="Bus 31 summary " sheetId="87" r:id="rId79"/>
    <sheet name="31  FY 18  " sheetId="88" r:id="rId80"/>
    <sheet name="31 PM" sheetId="89" r:id="rId81"/>
    <sheet name="31 Chart" sheetId="90" r:id="rId82"/>
    <sheet name="M-Van 32 summary" sheetId="91" r:id="rId83"/>
    <sheet name="32 FY 18" sheetId="92" r:id="rId84"/>
    <sheet name="32 PM" sheetId="93" r:id="rId85"/>
    <sheet name="32 Chart" sheetId="94" r:id="rId86"/>
    <sheet name="NTD MOTOR BUS" sheetId="80" r:id="rId87"/>
    <sheet name="NTD DEMAND RESPONSE" sheetId="81" r:id="rId88"/>
    <sheet name="ROAD CALLS DETAIL" sheetId="82"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CategoryList">[1]!Categories[Category]</definedName>
    <definedName name="chart" localSheetId="79">ExpenseSummary188[Expenses]</definedName>
    <definedName name="chart" localSheetId="81">ExpenseSummary188[Expenses]</definedName>
    <definedName name="chart" localSheetId="80">ExpenseSummary188[Expenses]</definedName>
    <definedName name="chart" localSheetId="85">ExpenseSummary188[Expenses]</definedName>
    <definedName name="chart" localSheetId="83">ExpenseSummary188[Expenses]</definedName>
    <definedName name="chart" localSheetId="84">ExpenseSummary188[Expenses]</definedName>
    <definedName name="chart" localSheetId="77">ExpenseSummary188[Expenses]</definedName>
    <definedName name="chart" localSheetId="75">ExpenseSummary188[Expenses]</definedName>
    <definedName name="chart" localSheetId="76">ExpenseSummary188[Expenses]</definedName>
    <definedName name="chart" localSheetId="78">ExpenseSummary188[Expenses]</definedName>
    <definedName name="chart" localSheetId="74">ExpenseSummary188[Expenses]</definedName>
    <definedName name="chart" localSheetId="0">ExpenseSummary188[Expenses]</definedName>
    <definedName name="chart" localSheetId="82">ExpenseSummary188[Expenses]</definedName>
    <definedName name="chart">ExpenseSummary188[Expenses]</definedName>
    <definedName name="EmployeeList">[1]!Employees[Employee]</definedName>
    <definedName name="ExpenseCategories" localSheetId="5">[2]!ExpenseSummary[Expenses]</definedName>
    <definedName name="ExpenseCategories" localSheetId="4">[3]!ExpenseSummary[Expenses]</definedName>
    <definedName name="ExpenseCategories" localSheetId="9">[4]!ExpenseSummary[Expenses]</definedName>
    <definedName name="ExpenseCategories" localSheetId="7">[4]!ExpenseSummary[Expenses]</definedName>
    <definedName name="ExpenseCategories" localSheetId="8">[4]!ExpenseSummary[Expenses]</definedName>
    <definedName name="ExpenseCategories" localSheetId="6">ExpenseSummary22[Expenses]</definedName>
    <definedName name="ExpenseCategories" localSheetId="13">ExpenseSummary28[Expenses]</definedName>
    <definedName name="ExpenseCategories" localSheetId="11">ExpenseSummary28[Expenses]</definedName>
    <definedName name="ExpenseCategories" localSheetId="12">ExpenseSummary28[Expenses]</definedName>
    <definedName name="ExpenseCategories" localSheetId="17">[5]!ExpenseSummary[Expenses]</definedName>
    <definedName name="ExpenseCategories" localSheetId="15">ExpenseSummary41[Expenses]</definedName>
    <definedName name="ExpenseCategories" localSheetId="16">[5]!ExpenseSummary[Expenses]</definedName>
    <definedName name="ExpenseCategories" localSheetId="14">ExpenseSummary41[Expenses]</definedName>
    <definedName name="ExpenseCategories" localSheetId="21">ExpenseSummary54[Expenses]</definedName>
    <definedName name="ExpenseCategories" localSheetId="19">ExpenseSummary54[Expenses]</definedName>
    <definedName name="ExpenseCategories" localSheetId="20">ExpenseSummary54[Expenses]</definedName>
    <definedName name="ExpenseCategories" localSheetId="25">ExpenseSummary68[Expenses]</definedName>
    <definedName name="ExpenseCategories" localSheetId="23">ExpenseSummary68[Expenses]</definedName>
    <definedName name="ExpenseCategories" localSheetId="24">ExpenseSummary68[Expenses]</definedName>
    <definedName name="ExpenseCategories" localSheetId="29">ExpenseSummary81[Expenses]</definedName>
    <definedName name="ExpenseCategories" localSheetId="27">ExpenseSummary81[Expenses]</definedName>
    <definedName name="ExpenseCategories" localSheetId="28">ExpenseSummary81[Expenses]</definedName>
    <definedName name="ExpenseCategories" localSheetId="33">[6]!ExpenseSummary[Expenses]</definedName>
    <definedName name="ExpenseCategories" localSheetId="31">ExpenseSummary56[Expenses]</definedName>
    <definedName name="ExpenseCategories" localSheetId="32">ExpenseSummary56[Expenses]</definedName>
    <definedName name="ExpenseCategories" localSheetId="37">ExpenseSummary106[Expenses]</definedName>
    <definedName name="ExpenseCategories" localSheetId="35">ExpenseSummary106[Expenses]</definedName>
    <definedName name="ExpenseCategories" localSheetId="36">ExpenseSummary106[Expenses]</definedName>
    <definedName name="ExpenseCategories" localSheetId="41">ExpenseSummary110[Expenses]</definedName>
    <definedName name="ExpenseCategories" localSheetId="39">ExpenseSummary110[Expenses]</definedName>
    <definedName name="ExpenseCategories" localSheetId="40">ExpenseSummary110[Expenses]</definedName>
    <definedName name="ExpenseCategories" localSheetId="45">ExpenseSummary123[Expenses]</definedName>
    <definedName name="ExpenseCategories" localSheetId="43">ExpenseSummary123[Expenses]</definedName>
    <definedName name="ExpenseCategories" localSheetId="44">ExpenseSummary123[Expenses]</definedName>
    <definedName name="ExpenseCategories" localSheetId="49">ExpenseSummary136[Expenses]</definedName>
    <definedName name="ExpenseCategories" localSheetId="47">ExpenseSummary136[Expenses]</definedName>
    <definedName name="ExpenseCategories" localSheetId="48">ExpenseSummary136[Expenses]</definedName>
    <definedName name="ExpenseCategories" localSheetId="79">ExpenseSummary214[Expenses]</definedName>
    <definedName name="ExpenseCategories" localSheetId="81">[7]!ExpenseSummary[Expenses]</definedName>
    <definedName name="ExpenseCategories" localSheetId="80">ExpenseSummary214[Expenses]</definedName>
    <definedName name="ExpenseCategories" localSheetId="53">ExpenseSummary149[Expenses]</definedName>
    <definedName name="ExpenseCategories" localSheetId="51">ExpenseSummary149[Expenses]</definedName>
    <definedName name="ExpenseCategories" localSheetId="52">ExpenseSummary149[Expenses]</definedName>
    <definedName name="ExpenseCategories" localSheetId="57">ExpenseSummary162[Expenses]</definedName>
    <definedName name="ExpenseCategories" localSheetId="55">ExpenseSummary162[Expenses]</definedName>
    <definedName name="ExpenseCategories" localSheetId="56">ExpenseSummary162[Expenses]</definedName>
    <definedName name="ExpenseCategories" localSheetId="85">[7]!ExpenseSummary[Expenses]</definedName>
    <definedName name="ExpenseCategories" localSheetId="83">ExpenseSummary214[Expenses]</definedName>
    <definedName name="ExpenseCategories" localSheetId="84">ExpenseSummary214[Expenses]</definedName>
    <definedName name="ExpenseCategories" localSheetId="61">[8]!ExpenseSummary[Expenses]</definedName>
    <definedName name="ExpenseCategories" localSheetId="59">ExpenseSummary175[Expenses]</definedName>
    <definedName name="ExpenseCategories" localSheetId="60">#REF!</definedName>
    <definedName name="ExpenseCategories" localSheetId="65">[8]!ExpenseSummary[Expenses]</definedName>
    <definedName name="ExpenseCategories" localSheetId="63">ExpenseSummary188[Expenses]</definedName>
    <definedName name="ExpenseCategories" localSheetId="64">ExpenseSummary188[Expenses]</definedName>
    <definedName name="ExpenseCategories" localSheetId="69">ExpenseSummary201[Expenses]</definedName>
    <definedName name="ExpenseCategories" localSheetId="67">ExpenseSummary201[Expenses]</definedName>
    <definedName name="ExpenseCategories" localSheetId="68">ExpenseSummary201[Expenses]</definedName>
    <definedName name="ExpenseCategories" localSheetId="73">[7]!ExpenseSummary[Expenses]</definedName>
    <definedName name="ExpenseCategories" localSheetId="71">ExpenseSummary214[Expenses]</definedName>
    <definedName name="ExpenseCategories" localSheetId="72">ExpenseSummary214[Expenses]</definedName>
    <definedName name="ExpenseCategories" localSheetId="77">[7]!ExpenseSummary[Expenses]</definedName>
    <definedName name="ExpenseCategories" localSheetId="75">ExpenseSummary214[Expenses]</definedName>
    <definedName name="ExpenseCategories" localSheetId="76">ExpenseSummary214[Expenses]</definedName>
    <definedName name="ExpenseCategories" localSheetId="10">ExpenseSummary28[Expenses]</definedName>
    <definedName name="ExpenseCategories" localSheetId="18">ExpenseSummary54[Expenses]</definedName>
    <definedName name="ExpenseCategories" localSheetId="22">ExpenseSummary68[Expenses]</definedName>
    <definedName name="ExpenseCategories" localSheetId="26">ExpenseSummary81[Expenses]</definedName>
    <definedName name="ExpenseCategories" localSheetId="30">ExpenseSummary56[Expenses]</definedName>
    <definedName name="ExpenseCategories" localSheetId="34">ExpenseSummary106[Expenses]</definedName>
    <definedName name="ExpenseCategories" localSheetId="38">ExpenseSummary110[Expenses]</definedName>
    <definedName name="ExpenseCategories" localSheetId="42">ExpenseSummary123[Expenses]</definedName>
    <definedName name="ExpenseCategories" localSheetId="46">ExpenseSummary136[Expenses]</definedName>
    <definedName name="ExpenseCategories" localSheetId="78">ExpenseSummary214227240[Expenses]</definedName>
    <definedName name="ExpenseCategories" localSheetId="50">ExpenseSummary149[Expenses]</definedName>
    <definedName name="ExpenseCategories" localSheetId="54">ExpenseSummary162[Expenses]</definedName>
    <definedName name="ExpenseCategories" localSheetId="58">ExpenseSummary175[Expenses]</definedName>
    <definedName name="ExpenseCategories" localSheetId="62">ExpenseSummary188[Expenses]</definedName>
    <definedName name="ExpenseCategories" localSheetId="66">ExpenseSummary201[Expenses]</definedName>
    <definedName name="ExpenseCategories" localSheetId="70">ExpenseSummary214[Expenses]</definedName>
    <definedName name="ExpenseCategories" localSheetId="74">ExpenseSummary214227[Expenses]</definedName>
    <definedName name="ExpenseCategories" localSheetId="0">ExpenseSummary[Expenses]</definedName>
    <definedName name="ExpenseCategories" localSheetId="1">[4]!ExpenseSummary[Expenses]</definedName>
    <definedName name="ExpenseCategories" localSheetId="82">ExpenseSummary214227240253[Expenses]</definedName>
    <definedName name="ExpenseCategories">ExpenseSummary[Expenses]</definedName>
    <definedName name="ExpenseLookup" localSheetId="79">#REF!</definedName>
    <definedName name="ExpenseLookup" localSheetId="81">#REF!</definedName>
    <definedName name="ExpenseLookup" localSheetId="80">#REF!</definedName>
    <definedName name="ExpenseLookup" localSheetId="85">#REF!</definedName>
    <definedName name="ExpenseLookup" localSheetId="83">#REF!</definedName>
    <definedName name="ExpenseLookup" localSheetId="84">#REF!</definedName>
    <definedName name="ExpenseLookup" localSheetId="77">#REF!</definedName>
    <definedName name="ExpenseLookup" localSheetId="75">#REF!</definedName>
    <definedName name="ExpenseLookup" localSheetId="76">#REF!</definedName>
    <definedName name="ExpenseLookup" localSheetId="78">#REF!</definedName>
    <definedName name="ExpenseLookup" localSheetId="74">#REF!</definedName>
    <definedName name="ExpenseLookup" localSheetId="0">#REF!</definedName>
    <definedName name="ExpenseLookup" localSheetId="1">#REF!</definedName>
    <definedName name="ExpenseLookup" localSheetId="82">#REF!</definedName>
    <definedName name="ExpenseLookup">#REF!</definedName>
    <definedName name="FlagPercent">'[9]Out Of Service'!$F$2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 i="94" l="1"/>
  <c r="C17" i="94"/>
  <c r="D16" i="94"/>
  <c r="C16" i="94"/>
  <c r="D15" i="94"/>
  <c r="C15" i="94"/>
  <c r="D14" i="94"/>
  <c r="C14" i="94"/>
  <c r="D13" i="94"/>
  <c r="C13" i="94"/>
  <c r="D12" i="94"/>
  <c r="C12" i="94"/>
  <c r="D11" i="94"/>
  <c r="C11" i="94"/>
  <c r="D10" i="94"/>
  <c r="C10" i="94"/>
  <c r="D9" i="94"/>
  <c r="C9" i="94"/>
  <c r="D8" i="94"/>
  <c r="C8" i="94"/>
  <c r="D7" i="94"/>
  <c r="C7" i="94"/>
  <c r="D6" i="94"/>
  <c r="D18" i="94" s="1"/>
  <c r="C6" i="94"/>
  <c r="C18" i="94" s="1"/>
  <c r="F80" i="93"/>
  <c r="F79" i="93"/>
  <c r="F78" i="93"/>
  <c r="F77" i="93"/>
  <c r="F76" i="93"/>
  <c r="F75" i="93"/>
  <c r="F74" i="93"/>
  <c r="F73" i="93"/>
  <c r="F72" i="93"/>
  <c r="F71" i="93"/>
  <c r="F70" i="93"/>
  <c r="F69" i="93"/>
  <c r="G68" i="93"/>
  <c r="F68" i="93"/>
  <c r="G67" i="93"/>
  <c r="F67" i="93"/>
  <c r="G66" i="93"/>
  <c r="F66" i="93"/>
  <c r="G65" i="93"/>
  <c r="F65" i="93"/>
  <c r="G64" i="93"/>
  <c r="F64" i="93"/>
  <c r="G63" i="93"/>
  <c r="F63" i="93"/>
  <c r="G62" i="93"/>
  <c r="F62" i="93"/>
  <c r="G61" i="93"/>
  <c r="F61" i="93"/>
  <c r="G60" i="93"/>
  <c r="F60" i="93"/>
  <c r="G59" i="93"/>
  <c r="F59" i="93"/>
  <c r="G58" i="93"/>
  <c r="F58" i="93"/>
  <c r="G57" i="93"/>
  <c r="F57" i="93"/>
  <c r="G56" i="93"/>
  <c r="F56" i="93"/>
  <c r="G55" i="93"/>
  <c r="F55" i="93"/>
  <c r="G54" i="93"/>
  <c r="F54" i="93"/>
  <c r="G53" i="93"/>
  <c r="F53" i="93"/>
  <c r="G52" i="93"/>
  <c r="F52" i="93"/>
  <c r="G51" i="93"/>
  <c r="F51" i="93"/>
  <c r="G50" i="93"/>
  <c r="F50" i="93"/>
  <c r="G49" i="93"/>
  <c r="F49" i="93"/>
  <c r="G48" i="93"/>
  <c r="F48" i="93"/>
  <c r="G47" i="93"/>
  <c r="F47" i="93"/>
  <c r="G46" i="93"/>
  <c r="F46" i="93"/>
  <c r="G45" i="93"/>
  <c r="F45" i="93"/>
  <c r="G44" i="93"/>
  <c r="F44" i="93"/>
  <c r="F43" i="93"/>
  <c r="B43" i="93"/>
  <c r="F39" i="93"/>
  <c r="B39" i="93"/>
  <c r="F38" i="93"/>
  <c r="B38" i="93"/>
  <c r="F37" i="93"/>
  <c r="B37" i="93"/>
  <c r="F36" i="93"/>
  <c r="B36" i="93"/>
  <c r="F35" i="93"/>
  <c r="B35" i="93"/>
  <c r="F34" i="93"/>
  <c r="B34" i="93"/>
  <c r="F33" i="93"/>
  <c r="B33" i="93"/>
  <c r="F32" i="93"/>
  <c r="B32" i="93"/>
  <c r="F31" i="93"/>
  <c r="B31" i="93"/>
  <c r="F30" i="93"/>
  <c r="B30" i="93"/>
  <c r="F29" i="93"/>
  <c r="B29" i="93"/>
  <c r="F28" i="93"/>
  <c r="B28" i="93"/>
  <c r="G27" i="93"/>
  <c r="F27" i="93"/>
  <c r="B27" i="93"/>
  <c r="F26" i="93"/>
  <c r="G26" i="93" s="1"/>
  <c r="B26" i="93"/>
  <c r="G25" i="93"/>
  <c r="F25" i="93"/>
  <c r="B25" i="93"/>
  <c r="F24" i="93"/>
  <c r="G24" i="93" s="1"/>
  <c r="B24" i="93"/>
  <c r="G23" i="93"/>
  <c r="F23" i="93"/>
  <c r="B23" i="93"/>
  <c r="F22" i="93"/>
  <c r="G22" i="93" s="1"/>
  <c r="B22" i="93"/>
  <c r="G21" i="93"/>
  <c r="F21" i="93"/>
  <c r="B21" i="93"/>
  <c r="F20" i="93"/>
  <c r="G20" i="93" s="1"/>
  <c r="B20" i="93"/>
  <c r="G19" i="93"/>
  <c r="F19" i="93"/>
  <c r="B19" i="93"/>
  <c r="F18" i="93"/>
  <c r="G18" i="93" s="1"/>
  <c r="B18" i="93"/>
  <c r="G17" i="93"/>
  <c r="F17" i="93"/>
  <c r="B17" i="93"/>
  <c r="F16" i="93"/>
  <c r="G16" i="93" s="1"/>
  <c r="B16" i="93"/>
  <c r="G15" i="93"/>
  <c r="F15" i="93"/>
  <c r="B15" i="93"/>
  <c r="F14" i="93"/>
  <c r="G14" i="93" s="1"/>
  <c r="B14" i="93"/>
  <c r="G13" i="93"/>
  <c r="F13" i="93"/>
  <c r="B13" i="93"/>
  <c r="F12" i="93"/>
  <c r="G12" i="93" s="1"/>
  <c r="B12" i="93"/>
  <c r="G11" i="93"/>
  <c r="F11" i="93"/>
  <c r="B11" i="93"/>
  <c r="F10" i="93"/>
  <c r="G10" i="93" s="1"/>
  <c r="B10" i="93"/>
  <c r="G9" i="93"/>
  <c r="F9" i="93"/>
  <c r="B9" i="93"/>
  <c r="F8" i="93"/>
  <c r="G8" i="93" s="1"/>
  <c r="B8" i="93"/>
  <c r="G7" i="93"/>
  <c r="F7" i="93"/>
  <c r="B7" i="93"/>
  <c r="F6" i="93"/>
  <c r="G6" i="93" s="1"/>
  <c r="B6" i="93"/>
  <c r="G5" i="93"/>
  <c r="F5" i="93"/>
  <c r="B5" i="93"/>
  <c r="F4" i="93"/>
  <c r="G4" i="93" s="1"/>
  <c r="B4" i="93"/>
  <c r="G3" i="93"/>
  <c r="F3" i="93"/>
  <c r="B3" i="93"/>
  <c r="F2" i="93"/>
  <c r="B2" i="93"/>
  <c r="D194" i="92"/>
  <c r="D178" i="92"/>
  <c r="D161" i="92"/>
  <c r="D145" i="92"/>
  <c r="D127" i="92"/>
  <c r="D111" i="92"/>
  <c r="D98" i="92"/>
  <c r="D87" i="92"/>
  <c r="D72" i="92"/>
  <c r="D56" i="92"/>
  <c r="D41" i="92"/>
  <c r="D18" i="92"/>
  <c r="K95" i="91"/>
  <c r="I95" i="91"/>
  <c r="C95" i="91"/>
  <c r="C96" i="91" s="1"/>
  <c r="O93" i="91"/>
  <c r="M93" i="91"/>
  <c r="O92" i="91"/>
  <c r="M92" i="91"/>
  <c r="O91" i="91"/>
  <c r="M91" i="91"/>
  <c r="O90" i="91"/>
  <c r="M90" i="91"/>
  <c r="O89" i="91"/>
  <c r="M89" i="91"/>
  <c r="O88" i="91"/>
  <c r="M88" i="91"/>
  <c r="O87" i="91"/>
  <c r="M87" i="91"/>
  <c r="O86" i="91"/>
  <c r="M86" i="91"/>
  <c r="O85" i="91"/>
  <c r="M85" i="91"/>
  <c r="O84" i="91"/>
  <c r="M84" i="91"/>
  <c r="Q83" i="91"/>
  <c r="R83" i="91" s="1"/>
  <c r="O83" i="91"/>
  <c r="M83" i="91"/>
  <c r="G83" i="91"/>
  <c r="Q82" i="91"/>
  <c r="R82" i="91" s="1"/>
  <c r="O82" i="91"/>
  <c r="O95" i="91" s="1"/>
  <c r="M82" i="91"/>
  <c r="M95" i="91" s="1"/>
  <c r="G82" i="91"/>
  <c r="C64" i="91"/>
  <c r="C65" i="91" s="1"/>
  <c r="O62" i="91"/>
  <c r="M62" i="91"/>
  <c r="K62" i="91"/>
  <c r="I62" i="91"/>
  <c r="O61" i="91"/>
  <c r="M61" i="91"/>
  <c r="K61" i="91"/>
  <c r="I61" i="91"/>
  <c r="O60" i="91"/>
  <c r="M60" i="91"/>
  <c r="K60" i="91"/>
  <c r="I60" i="91"/>
  <c r="O59" i="91"/>
  <c r="M59" i="91"/>
  <c r="K59" i="91"/>
  <c r="I59" i="91"/>
  <c r="O58" i="91"/>
  <c r="M58" i="91"/>
  <c r="K58" i="91"/>
  <c r="I58" i="91"/>
  <c r="O57" i="91"/>
  <c r="M57" i="91"/>
  <c r="K57" i="91"/>
  <c r="I57" i="91"/>
  <c r="O56" i="91"/>
  <c r="M56" i="91"/>
  <c r="K56" i="91"/>
  <c r="I56" i="91"/>
  <c r="O55" i="91"/>
  <c r="M55" i="91"/>
  <c r="O54" i="91"/>
  <c r="M54" i="91"/>
  <c r="K54" i="91"/>
  <c r="I54" i="91"/>
  <c r="O53" i="91"/>
  <c r="M53" i="91"/>
  <c r="K53" i="91"/>
  <c r="I53" i="91"/>
  <c r="Q52" i="91"/>
  <c r="R52" i="91" s="1"/>
  <c r="O52" i="91"/>
  <c r="O64" i="91" s="1"/>
  <c r="M52" i="91"/>
  <c r="K52" i="91"/>
  <c r="I52" i="91"/>
  <c r="G52" i="91"/>
  <c r="Q51" i="91"/>
  <c r="O51" i="91"/>
  <c r="M51" i="91"/>
  <c r="M64" i="91" s="1"/>
  <c r="K51" i="91"/>
  <c r="K64" i="91" s="1"/>
  <c r="I51" i="91"/>
  <c r="I64" i="91" s="1"/>
  <c r="G51" i="91"/>
  <c r="O40" i="91"/>
  <c r="N40" i="91"/>
  <c r="M40" i="91"/>
  <c r="L40" i="91"/>
  <c r="K40" i="91"/>
  <c r="J40" i="91"/>
  <c r="I40" i="91"/>
  <c r="H40" i="91"/>
  <c r="G40" i="91"/>
  <c r="F40" i="91"/>
  <c r="E40" i="91"/>
  <c r="D40" i="91"/>
  <c r="C40" i="91"/>
  <c r="O39" i="91"/>
  <c r="O38" i="91"/>
  <c r="O37" i="91"/>
  <c r="O36" i="91"/>
  <c r="O35" i="91"/>
  <c r="O34" i="91"/>
  <c r="O33" i="91"/>
  <c r="O32" i="91"/>
  <c r="O31" i="91"/>
  <c r="O30" i="91"/>
  <c r="O29" i="91"/>
  <c r="O28" i="91"/>
  <c r="O27" i="91"/>
  <c r="O26" i="91"/>
  <c r="O25" i="91"/>
  <c r="O24" i="91"/>
  <c r="O23" i="91"/>
  <c r="O22" i="91"/>
  <c r="O21" i="91"/>
  <c r="O20" i="91"/>
  <c r="O19" i="91"/>
  <c r="D17" i="90"/>
  <c r="C17" i="90"/>
  <c r="D16" i="90"/>
  <c r="C16" i="90"/>
  <c r="D15" i="90"/>
  <c r="C15" i="90"/>
  <c r="D14" i="90"/>
  <c r="C14" i="90"/>
  <c r="D13" i="90"/>
  <c r="C13" i="90"/>
  <c r="D12" i="90"/>
  <c r="C12" i="90"/>
  <c r="D11" i="90"/>
  <c r="C11" i="90"/>
  <c r="D10" i="90"/>
  <c r="C10" i="90"/>
  <c r="D9" i="90"/>
  <c r="C9" i="90"/>
  <c r="D8" i="90"/>
  <c r="C8" i="90"/>
  <c r="D7" i="90"/>
  <c r="C7" i="90"/>
  <c r="D6" i="90"/>
  <c r="D18" i="90" s="1"/>
  <c r="C6" i="90"/>
  <c r="C18" i="90" s="1"/>
  <c r="F80" i="89"/>
  <c r="F79" i="89"/>
  <c r="F78" i="89"/>
  <c r="F77" i="89"/>
  <c r="F76" i="89"/>
  <c r="F75" i="89"/>
  <c r="F74" i="89"/>
  <c r="F73" i="89"/>
  <c r="F72" i="89"/>
  <c r="F71" i="89"/>
  <c r="F70" i="89"/>
  <c r="F69" i="89"/>
  <c r="F68" i="89"/>
  <c r="G68" i="89" s="1"/>
  <c r="F67" i="89"/>
  <c r="G67" i="89" s="1"/>
  <c r="F66" i="89"/>
  <c r="G66" i="89" s="1"/>
  <c r="G65" i="89"/>
  <c r="F65" i="89"/>
  <c r="F64" i="89"/>
  <c r="G64" i="89" s="1"/>
  <c r="G63" i="89"/>
  <c r="F63" i="89"/>
  <c r="F62" i="89"/>
  <c r="G62" i="89" s="1"/>
  <c r="G61" i="89"/>
  <c r="F61" i="89"/>
  <c r="F60" i="89"/>
  <c r="G60" i="89" s="1"/>
  <c r="G59" i="89"/>
  <c r="F59" i="89"/>
  <c r="F58" i="89"/>
  <c r="G58" i="89" s="1"/>
  <c r="G57" i="89"/>
  <c r="F57" i="89"/>
  <c r="F56" i="89"/>
  <c r="G56" i="89" s="1"/>
  <c r="G55" i="89"/>
  <c r="F55" i="89"/>
  <c r="F54" i="89"/>
  <c r="G54" i="89" s="1"/>
  <c r="G53" i="89"/>
  <c r="F53" i="89"/>
  <c r="F52" i="89"/>
  <c r="G52" i="89" s="1"/>
  <c r="G51" i="89"/>
  <c r="F51" i="89"/>
  <c r="F50" i="89"/>
  <c r="G50" i="89" s="1"/>
  <c r="G49" i="89"/>
  <c r="F49" i="89"/>
  <c r="F48" i="89"/>
  <c r="G48" i="89" s="1"/>
  <c r="G47" i="89"/>
  <c r="F47" i="89"/>
  <c r="F46" i="89"/>
  <c r="G46" i="89" s="1"/>
  <c r="G45" i="89"/>
  <c r="F45" i="89"/>
  <c r="F44" i="89"/>
  <c r="G44" i="89" s="1"/>
  <c r="F43" i="89"/>
  <c r="B43" i="89"/>
  <c r="F39" i="89"/>
  <c r="B39" i="89"/>
  <c r="F38" i="89"/>
  <c r="B38" i="89"/>
  <c r="F37" i="89"/>
  <c r="B37" i="89"/>
  <c r="F36" i="89"/>
  <c r="B36" i="89"/>
  <c r="F35" i="89"/>
  <c r="B35" i="89"/>
  <c r="F34" i="89"/>
  <c r="B34" i="89"/>
  <c r="F33" i="89"/>
  <c r="B33" i="89"/>
  <c r="F32" i="89"/>
  <c r="B32" i="89"/>
  <c r="F31" i="89"/>
  <c r="B31" i="89"/>
  <c r="F30" i="89"/>
  <c r="B30" i="89"/>
  <c r="F29" i="89"/>
  <c r="B29" i="89"/>
  <c r="F28" i="89"/>
  <c r="B28" i="89"/>
  <c r="F27" i="89"/>
  <c r="G27" i="89" s="1"/>
  <c r="B27" i="89"/>
  <c r="G26" i="89"/>
  <c r="F26" i="89"/>
  <c r="B26" i="89"/>
  <c r="F25" i="89"/>
  <c r="G25" i="89" s="1"/>
  <c r="B25" i="89"/>
  <c r="G24" i="89"/>
  <c r="F24" i="89"/>
  <c r="B24" i="89"/>
  <c r="F23" i="89"/>
  <c r="G23" i="89" s="1"/>
  <c r="B23" i="89"/>
  <c r="G22" i="89"/>
  <c r="F22" i="89"/>
  <c r="B22" i="89"/>
  <c r="F21" i="89"/>
  <c r="G21" i="89" s="1"/>
  <c r="B21" i="89"/>
  <c r="G20" i="89"/>
  <c r="F20" i="89"/>
  <c r="B20" i="89"/>
  <c r="F19" i="89"/>
  <c r="G19" i="89" s="1"/>
  <c r="B19" i="89"/>
  <c r="G18" i="89"/>
  <c r="F18" i="89"/>
  <c r="B18" i="89"/>
  <c r="F17" i="89"/>
  <c r="G17" i="89" s="1"/>
  <c r="B17" i="89"/>
  <c r="G16" i="89"/>
  <c r="F16" i="89"/>
  <c r="B16" i="89"/>
  <c r="F15" i="89"/>
  <c r="G15" i="89" s="1"/>
  <c r="B15" i="89"/>
  <c r="G14" i="89"/>
  <c r="F14" i="89"/>
  <c r="B14" i="89"/>
  <c r="G13" i="89"/>
  <c r="F13" i="89"/>
  <c r="B13" i="89"/>
  <c r="G12" i="89"/>
  <c r="F12" i="89"/>
  <c r="B12" i="89"/>
  <c r="F11" i="89"/>
  <c r="G11" i="89" s="1"/>
  <c r="B11" i="89"/>
  <c r="G10" i="89"/>
  <c r="F10" i="89"/>
  <c r="B10" i="89"/>
  <c r="G9" i="89"/>
  <c r="F9" i="89"/>
  <c r="B9" i="89"/>
  <c r="G8" i="89"/>
  <c r="F8" i="89"/>
  <c r="B8" i="89"/>
  <c r="F7" i="89"/>
  <c r="G7" i="89" s="1"/>
  <c r="B7" i="89"/>
  <c r="G6" i="89"/>
  <c r="F6" i="89"/>
  <c r="B6" i="89"/>
  <c r="G5" i="89"/>
  <c r="F5" i="89"/>
  <c r="B5" i="89"/>
  <c r="G4" i="89"/>
  <c r="F4" i="89"/>
  <c r="B4" i="89"/>
  <c r="F3" i="89"/>
  <c r="G3" i="89" s="1"/>
  <c r="B3" i="89"/>
  <c r="F2" i="89"/>
  <c r="B2" i="89"/>
  <c r="D194" i="88"/>
  <c r="D178" i="88"/>
  <c r="D161" i="88"/>
  <c r="D145" i="88"/>
  <c r="D127" i="88"/>
  <c r="D111" i="88"/>
  <c r="D98" i="88"/>
  <c r="D87" i="88"/>
  <c r="D72" i="88"/>
  <c r="D56" i="88"/>
  <c r="D41" i="88"/>
  <c r="D18" i="88"/>
  <c r="K95" i="87"/>
  <c r="I95" i="87"/>
  <c r="C95" i="87"/>
  <c r="C96" i="87" s="1"/>
  <c r="O93" i="87"/>
  <c r="M93" i="87"/>
  <c r="O92" i="87"/>
  <c r="M92" i="87"/>
  <c r="O91" i="87"/>
  <c r="M91" i="87"/>
  <c r="O90" i="87"/>
  <c r="M90" i="87"/>
  <c r="O89" i="87"/>
  <c r="M89" i="87"/>
  <c r="O88" i="87"/>
  <c r="M88" i="87"/>
  <c r="O87" i="87"/>
  <c r="M87" i="87"/>
  <c r="O86" i="87"/>
  <c r="M86" i="87"/>
  <c r="O85" i="87"/>
  <c r="M85" i="87"/>
  <c r="O84" i="87"/>
  <c r="M84" i="87"/>
  <c r="Q83" i="87"/>
  <c r="O83" i="87"/>
  <c r="M83" i="87"/>
  <c r="R83" i="87" s="1"/>
  <c r="G83" i="87"/>
  <c r="Q82" i="87"/>
  <c r="R82" i="87" s="1"/>
  <c r="O82" i="87"/>
  <c r="O95" i="87" s="1"/>
  <c r="M82" i="87"/>
  <c r="M95" i="87" s="1"/>
  <c r="G82" i="87"/>
  <c r="C64" i="87"/>
  <c r="Q52" i="87" s="1"/>
  <c r="O62" i="87"/>
  <c r="M62" i="87"/>
  <c r="K62" i="87"/>
  <c r="I62" i="87"/>
  <c r="O61" i="87"/>
  <c r="M61" i="87"/>
  <c r="K61" i="87"/>
  <c r="I61" i="87"/>
  <c r="O60" i="87"/>
  <c r="M60" i="87"/>
  <c r="K60" i="87"/>
  <c r="I60" i="87"/>
  <c r="O59" i="87"/>
  <c r="M59" i="87"/>
  <c r="K59" i="87"/>
  <c r="I59" i="87"/>
  <c r="O58" i="87"/>
  <c r="M58" i="87"/>
  <c r="K58" i="87"/>
  <c r="I58" i="87"/>
  <c r="O57" i="87"/>
  <c r="M57" i="87"/>
  <c r="K57" i="87"/>
  <c r="I57" i="87"/>
  <c r="O56" i="87"/>
  <c r="M56" i="87"/>
  <c r="K56" i="87"/>
  <c r="I56" i="87"/>
  <c r="O55" i="87"/>
  <c r="M55" i="87"/>
  <c r="O54" i="87"/>
  <c r="M54" i="87"/>
  <c r="K54" i="87"/>
  <c r="I54" i="87"/>
  <c r="O53" i="87"/>
  <c r="M53" i="87"/>
  <c r="K53" i="87"/>
  <c r="I53" i="87"/>
  <c r="O52" i="87"/>
  <c r="M52" i="87"/>
  <c r="M64" i="87" s="1"/>
  <c r="K52" i="87"/>
  <c r="I52" i="87"/>
  <c r="Q51" i="87"/>
  <c r="O51" i="87"/>
  <c r="O64" i="87" s="1"/>
  <c r="M51" i="87"/>
  <c r="K51" i="87"/>
  <c r="K64" i="87" s="1"/>
  <c r="I51" i="87"/>
  <c r="I64" i="87" s="1"/>
  <c r="G51" i="87"/>
  <c r="N40" i="87"/>
  <c r="M40" i="87"/>
  <c r="L40" i="87"/>
  <c r="K40" i="87"/>
  <c r="J40" i="87"/>
  <c r="I40" i="87"/>
  <c r="H40" i="87"/>
  <c r="G40" i="87"/>
  <c r="F40" i="87"/>
  <c r="E40" i="87"/>
  <c r="D40" i="87"/>
  <c r="C40" i="87"/>
  <c r="O39" i="87"/>
  <c r="O38" i="87"/>
  <c r="O37" i="87"/>
  <c r="O36" i="87"/>
  <c r="O35" i="87"/>
  <c r="O34" i="87"/>
  <c r="O33" i="87"/>
  <c r="O32" i="87"/>
  <c r="O31" i="87"/>
  <c r="O30" i="87"/>
  <c r="O29" i="87"/>
  <c r="O28" i="87"/>
  <c r="O27" i="87"/>
  <c r="O26" i="87"/>
  <c r="O25" i="87"/>
  <c r="O24" i="87"/>
  <c r="O23" i="87"/>
  <c r="O22" i="87"/>
  <c r="O21" i="87"/>
  <c r="O20" i="87"/>
  <c r="O19" i="87"/>
  <c r="O40" i="87" s="1"/>
  <c r="D17" i="86"/>
  <c r="C17" i="86"/>
  <c r="D16" i="86"/>
  <c r="C16" i="86"/>
  <c r="D15" i="86"/>
  <c r="C15" i="86"/>
  <c r="D14" i="86"/>
  <c r="C14" i="86"/>
  <c r="D13" i="86"/>
  <c r="C13" i="86"/>
  <c r="D12" i="86"/>
  <c r="C12" i="86"/>
  <c r="D11" i="86"/>
  <c r="C11" i="86"/>
  <c r="D10" i="86"/>
  <c r="C10" i="86"/>
  <c r="D9" i="86"/>
  <c r="C9" i="86"/>
  <c r="D8" i="86"/>
  <c r="C8" i="86"/>
  <c r="D7" i="86"/>
  <c r="C7" i="86"/>
  <c r="D6" i="86"/>
  <c r="D18" i="86" s="1"/>
  <c r="C6" i="86"/>
  <c r="C18" i="86" s="1"/>
  <c r="F80" i="85"/>
  <c r="F79" i="85"/>
  <c r="F78" i="85"/>
  <c r="F77" i="85"/>
  <c r="F76" i="85"/>
  <c r="F75" i="85"/>
  <c r="F74" i="85"/>
  <c r="F73" i="85"/>
  <c r="F72" i="85"/>
  <c r="F71" i="85"/>
  <c r="F70" i="85"/>
  <c r="F69" i="85"/>
  <c r="F68" i="85"/>
  <c r="G68" i="85" s="1"/>
  <c r="G67" i="85"/>
  <c r="F67" i="85"/>
  <c r="F66" i="85"/>
  <c r="G66" i="85" s="1"/>
  <c r="G65" i="85"/>
  <c r="F65" i="85"/>
  <c r="F64" i="85"/>
  <c r="G64" i="85" s="1"/>
  <c r="G63" i="85"/>
  <c r="F63" i="85"/>
  <c r="F62" i="85"/>
  <c r="G62" i="85" s="1"/>
  <c r="G61" i="85"/>
  <c r="F61" i="85"/>
  <c r="F60" i="85"/>
  <c r="G60" i="85" s="1"/>
  <c r="G59" i="85"/>
  <c r="F59" i="85"/>
  <c r="F58" i="85"/>
  <c r="G58" i="85" s="1"/>
  <c r="G57" i="85"/>
  <c r="F57" i="85"/>
  <c r="F56" i="85"/>
  <c r="G56" i="85" s="1"/>
  <c r="G55" i="85"/>
  <c r="F55" i="85"/>
  <c r="F54" i="85"/>
  <c r="G54" i="85" s="1"/>
  <c r="G53" i="85"/>
  <c r="F53" i="85"/>
  <c r="F52" i="85"/>
  <c r="G52" i="85" s="1"/>
  <c r="F51" i="85"/>
  <c r="G51" i="85" s="1"/>
  <c r="F50" i="85"/>
  <c r="G50" i="85" s="1"/>
  <c r="G49" i="85"/>
  <c r="F49" i="85"/>
  <c r="F48" i="85"/>
  <c r="G48" i="85" s="1"/>
  <c r="G47" i="85"/>
  <c r="F47" i="85"/>
  <c r="F46" i="85"/>
  <c r="G46" i="85" s="1"/>
  <c r="F45" i="85"/>
  <c r="G45" i="85" s="1"/>
  <c r="F44" i="85"/>
  <c r="G44" i="85" s="1"/>
  <c r="F43" i="85"/>
  <c r="B43" i="85"/>
  <c r="F39" i="85"/>
  <c r="B39" i="85"/>
  <c r="F38" i="85"/>
  <c r="B38" i="85"/>
  <c r="F37" i="85"/>
  <c r="B37" i="85"/>
  <c r="F36" i="85"/>
  <c r="B36" i="85"/>
  <c r="F35" i="85"/>
  <c r="B35" i="85"/>
  <c r="F34" i="85"/>
  <c r="B34" i="85"/>
  <c r="F33" i="85"/>
  <c r="B33" i="85"/>
  <c r="F32" i="85"/>
  <c r="B32" i="85"/>
  <c r="F31" i="85"/>
  <c r="B31" i="85"/>
  <c r="F30" i="85"/>
  <c r="B30" i="85"/>
  <c r="F29" i="85"/>
  <c r="B29" i="85"/>
  <c r="F28" i="85"/>
  <c r="B28" i="85"/>
  <c r="F27" i="85"/>
  <c r="G27" i="85" s="1"/>
  <c r="B27" i="85"/>
  <c r="G26" i="85"/>
  <c r="F26" i="85"/>
  <c r="B26" i="85"/>
  <c r="G25" i="85"/>
  <c r="F25" i="85"/>
  <c r="B25" i="85"/>
  <c r="F24" i="85"/>
  <c r="G24" i="85" s="1"/>
  <c r="B24" i="85"/>
  <c r="F23" i="85"/>
  <c r="G23" i="85" s="1"/>
  <c r="B23" i="85"/>
  <c r="G22" i="85"/>
  <c r="F22" i="85"/>
  <c r="B22" i="85"/>
  <c r="G21" i="85"/>
  <c r="F21" i="85"/>
  <c r="B21" i="85"/>
  <c r="F20" i="85"/>
  <c r="G20" i="85" s="1"/>
  <c r="B20" i="85"/>
  <c r="F19" i="85"/>
  <c r="G19" i="85" s="1"/>
  <c r="B19" i="85"/>
  <c r="G18" i="85"/>
  <c r="F18" i="85"/>
  <c r="B18" i="85"/>
  <c r="G17" i="85"/>
  <c r="F17" i="85"/>
  <c r="B17" i="85"/>
  <c r="F16" i="85"/>
  <c r="G16" i="85" s="1"/>
  <c r="B16" i="85"/>
  <c r="F15" i="85"/>
  <c r="G15" i="85" s="1"/>
  <c r="B15" i="85"/>
  <c r="G14" i="85"/>
  <c r="F14" i="85"/>
  <c r="B14" i="85"/>
  <c r="G13" i="85"/>
  <c r="F13" i="85"/>
  <c r="B13" i="85"/>
  <c r="F12" i="85"/>
  <c r="G12" i="85" s="1"/>
  <c r="B12" i="85"/>
  <c r="F11" i="85"/>
  <c r="G11" i="85" s="1"/>
  <c r="B11" i="85"/>
  <c r="G10" i="85"/>
  <c r="F10" i="85"/>
  <c r="B10" i="85"/>
  <c r="G9" i="85"/>
  <c r="F9" i="85"/>
  <c r="B9" i="85"/>
  <c r="F8" i="85"/>
  <c r="G8" i="85" s="1"/>
  <c r="B8" i="85"/>
  <c r="F7" i="85"/>
  <c r="G7" i="85" s="1"/>
  <c r="B7" i="85"/>
  <c r="G6" i="85"/>
  <c r="F6" i="85"/>
  <c r="B6" i="85"/>
  <c r="G5" i="85"/>
  <c r="F5" i="85"/>
  <c r="B5" i="85"/>
  <c r="F4" i="85"/>
  <c r="G4" i="85" s="1"/>
  <c r="B4" i="85"/>
  <c r="F3" i="85"/>
  <c r="G3" i="85" s="1"/>
  <c r="B3" i="85"/>
  <c r="F2" i="85"/>
  <c r="B2" i="85"/>
  <c r="D194" i="84"/>
  <c r="D178" i="84"/>
  <c r="D161" i="84"/>
  <c r="D145" i="84"/>
  <c r="D127" i="84"/>
  <c r="D111" i="84"/>
  <c r="D98" i="84"/>
  <c r="D87" i="84"/>
  <c r="D72" i="84"/>
  <c r="D56" i="84"/>
  <c r="D41" i="84"/>
  <c r="D18" i="84"/>
  <c r="K95" i="83"/>
  <c r="I95" i="83"/>
  <c r="C95" i="83"/>
  <c r="C96" i="83" s="1"/>
  <c r="O93" i="83"/>
  <c r="M93" i="83"/>
  <c r="O92" i="83"/>
  <c r="M92" i="83"/>
  <c r="O91" i="83"/>
  <c r="M91" i="83"/>
  <c r="O90" i="83"/>
  <c r="M90" i="83"/>
  <c r="O89" i="83"/>
  <c r="M89" i="83"/>
  <c r="O88" i="83"/>
  <c r="M88" i="83"/>
  <c r="O87" i="83"/>
  <c r="M87" i="83"/>
  <c r="O86" i="83"/>
  <c r="M86" i="83"/>
  <c r="O85" i="83"/>
  <c r="M85" i="83"/>
  <c r="O84" i="83"/>
  <c r="M84" i="83"/>
  <c r="Q83" i="83"/>
  <c r="O83" i="83"/>
  <c r="O95" i="83" s="1"/>
  <c r="M83" i="83"/>
  <c r="G83" i="83"/>
  <c r="Q82" i="83"/>
  <c r="R82" i="83" s="1"/>
  <c r="O82" i="83"/>
  <c r="M82" i="83"/>
  <c r="M95" i="83" s="1"/>
  <c r="G82" i="83"/>
  <c r="C64" i="83"/>
  <c r="C65" i="83" s="1"/>
  <c r="O62" i="83"/>
  <c r="M62" i="83"/>
  <c r="K62" i="83"/>
  <c r="I62" i="83"/>
  <c r="O61" i="83"/>
  <c r="M61" i="83"/>
  <c r="K61" i="83"/>
  <c r="I61" i="83"/>
  <c r="O60" i="83"/>
  <c r="M60" i="83"/>
  <c r="K60" i="83"/>
  <c r="I60" i="83"/>
  <c r="O59" i="83"/>
  <c r="M59" i="83"/>
  <c r="K59" i="83"/>
  <c r="I59" i="83"/>
  <c r="O58" i="83"/>
  <c r="M58" i="83"/>
  <c r="K58" i="83"/>
  <c r="I58" i="83"/>
  <c r="O57" i="83"/>
  <c r="M57" i="83"/>
  <c r="K57" i="83"/>
  <c r="I57" i="83"/>
  <c r="O56" i="83"/>
  <c r="M56" i="83"/>
  <c r="K56" i="83"/>
  <c r="I56" i="83"/>
  <c r="O55" i="83"/>
  <c r="M55" i="83"/>
  <c r="O54" i="83"/>
  <c r="M54" i="83"/>
  <c r="K54" i="83"/>
  <c r="I54" i="83"/>
  <c r="O53" i="83"/>
  <c r="M53" i="83"/>
  <c r="K53" i="83"/>
  <c r="I53" i="83"/>
  <c r="Q52" i="83"/>
  <c r="O52" i="83"/>
  <c r="R52" i="83" s="1"/>
  <c r="M52" i="83"/>
  <c r="K52" i="83"/>
  <c r="K64" i="83" s="1"/>
  <c r="I52" i="83"/>
  <c r="G52" i="83"/>
  <c r="Q51" i="83"/>
  <c r="O51" i="83"/>
  <c r="M51" i="83"/>
  <c r="M64" i="83" s="1"/>
  <c r="K51" i="83"/>
  <c r="I51" i="83"/>
  <c r="I64" i="83" s="1"/>
  <c r="G51" i="83"/>
  <c r="N40" i="83"/>
  <c r="M40" i="83"/>
  <c r="L40" i="83"/>
  <c r="K40" i="83"/>
  <c r="J40" i="83"/>
  <c r="I40" i="83"/>
  <c r="H40" i="83"/>
  <c r="G40" i="83"/>
  <c r="F40" i="83"/>
  <c r="E40" i="83"/>
  <c r="D40" i="83"/>
  <c r="C40" i="83"/>
  <c r="O39" i="83"/>
  <c r="O38" i="83"/>
  <c r="O37" i="83"/>
  <c r="O36" i="83"/>
  <c r="O35" i="83"/>
  <c r="O34" i="83"/>
  <c r="O33" i="83"/>
  <c r="O32" i="83"/>
  <c r="O31" i="83"/>
  <c r="O30" i="83"/>
  <c r="O29" i="83"/>
  <c r="O28" i="83"/>
  <c r="O27" i="83"/>
  <c r="O26" i="83"/>
  <c r="O25" i="83"/>
  <c r="O24" i="83"/>
  <c r="O23" i="83"/>
  <c r="O22" i="83"/>
  <c r="O21" i="83"/>
  <c r="O20" i="83"/>
  <c r="O19" i="83"/>
  <c r="C97" i="91" l="1"/>
  <c r="Q84" i="91"/>
  <c r="R84" i="91" s="1"/>
  <c r="G84" i="91"/>
  <c r="Q53" i="91"/>
  <c r="R53" i="91" s="1"/>
  <c r="G53" i="91"/>
  <c r="C66" i="91"/>
  <c r="R51" i="91"/>
  <c r="C97" i="87"/>
  <c r="Q84" i="87"/>
  <c r="G84" i="87"/>
  <c r="R52" i="87"/>
  <c r="G52" i="87"/>
  <c r="R51" i="87"/>
  <c r="C65" i="87"/>
  <c r="O40" i="83"/>
  <c r="C97" i="83"/>
  <c r="Q84" i="83"/>
  <c r="R84" i="83" s="1"/>
  <c r="G84" i="83"/>
  <c r="C66" i="83"/>
  <c r="Q53" i="83"/>
  <c r="G53" i="83"/>
  <c r="R51" i="83"/>
  <c r="O64" i="83"/>
  <c r="R83" i="83"/>
  <c r="D20" i="81"/>
  <c r="B20" i="81"/>
  <c r="F18" i="81"/>
  <c r="F17" i="81"/>
  <c r="F16" i="81"/>
  <c r="F15" i="81"/>
  <c r="F14" i="81"/>
  <c r="F13" i="81"/>
  <c r="F12" i="81"/>
  <c r="F11" i="81"/>
  <c r="F10" i="81"/>
  <c r="F9" i="81"/>
  <c r="F8" i="81"/>
  <c r="F7" i="81"/>
  <c r="D21" i="80"/>
  <c r="B21" i="80"/>
  <c r="F19" i="80"/>
  <c r="F18" i="80"/>
  <c r="F17" i="80"/>
  <c r="F16" i="80"/>
  <c r="F15" i="80"/>
  <c r="F14" i="80"/>
  <c r="F13" i="80"/>
  <c r="F12" i="80"/>
  <c r="F11" i="80"/>
  <c r="F10" i="80"/>
  <c r="F9" i="80"/>
  <c r="F8" i="80"/>
  <c r="F21" i="80" l="1"/>
  <c r="F20" i="81"/>
  <c r="G85" i="91"/>
  <c r="C98" i="91"/>
  <c r="Q85" i="91"/>
  <c r="G54" i="91"/>
  <c r="C67" i="91"/>
  <c r="Q54" i="91"/>
  <c r="G53" i="87"/>
  <c r="C66" i="87"/>
  <c r="Q53" i="87"/>
  <c r="C98" i="87"/>
  <c r="Q85" i="87"/>
  <c r="G85" i="87"/>
  <c r="R84" i="87"/>
  <c r="G54" i="83"/>
  <c r="C67" i="83"/>
  <c r="Q54" i="83"/>
  <c r="G85" i="83"/>
  <c r="C98" i="83"/>
  <c r="Q85" i="83"/>
  <c r="R85" i="83" s="1"/>
  <c r="R53" i="83"/>
  <c r="D194" i="77"/>
  <c r="D178" i="77"/>
  <c r="D161" i="77"/>
  <c r="D145" i="77"/>
  <c r="D127" i="77"/>
  <c r="D111" i="77"/>
  <c r="D98" i="77"/>
  <c r="D87" i="77"/>
  <c r="D72" i="77"/>
  <c r="D56" i="77"/>
  <c r="D41" i="77"/>
  <c r="K95" i="76"/>
  <c r="I95" i="76"/>
  <c r="C95" i="76"/>
  <c r="G83" i="76" s="1"/>
  <c r="O93" i="76"/>
  <c r="M93" i="76"/>
  <c r="O92" i="76"/>
  <c r="M92" i="76"/>
  <c r="O91" i="76"/>
  <c r="M91" i="76"/>
  <c r="O90" i="76"/>
  <c r="M90" i="76"/>
  <c r="O89" i="76"/>
  <c r="M89" i="76"/>
  <c r="O88" i="76"/>
  <c r="M88" i="76"/>
  <c r="O87" i="76"/>
  <c r="M87" i="76"/>
  <c r="O86" i="76"/>
  <c r="M86" i="76"/>
  <c r="O85" i="76"/>
  <c r="M85" i="76"/>
  <c r="O84" i="76"/>
  <c r="M84" i="76"/>
  <c r="M95" i="76" s="1"/>
  <c r="Q83" i="76"/>
  <c r="O83" i="76"/>
  <c r="M83" i="76"/>
  <c r="Q82" i="76"/>
  <c r="O82" i="76"/>
  <c r="O95" i="76" s="1"/>
  <c r="M82" i="76"/>
  <c r="G82" i="76"/>
  <c r="C64" i="76"/>
  <c r="G52" i="76" s="1"/>
  <c r="O62" i="76"/>
  <c r="M62" i="76"/>
  <c r="K62" i="76"/>
  <c r="I62" i="76"/>
  <c r="O61" i="76"/>
  <c r="M61" i="76"/>
  <c r="K61" i="76"/>
  <c r="I61" i="76"/>
  <c r="O60" i="76"/>
  <c r="M60" i="76"/>
  <c r="K60" i="76"/>
  <c r="I60" i="76"/>
  <c r="O59" i="76"/>
  <c r="M59" i="76"/>
  <c r="K59" i="76"/>
  <c r="I59" i="76"/>
  <c r="O58" i="76"/>
  <c r="M58" i="76"/>
  <c r="K58" i="76"/>
  <c r="I58" i="76"/>
  <c r="O57" i="76"/>
  <c r="M57" i="76"/>
  <c r="K57" i="76"/>
  <c r="I57" i="76"/>
  <c r="O56" i="76"/>
  <c r="M56" i="76"/>
  <c r="K56" i="76"/>
  <c r="I56" i="76"/>
  <c r="O55" i="76"/>
  <c r="M55" i="76"/>
  <c r="O54" i="76"/>
  <c r="M54" i="76"/>
  <c r="K54" i="76"/>
  <c r="I54" i="76"/>
  <c r="O53" i="76"/>
  <c r="M53" i="76"/>
  <c r="K53" i="76"/>
  <c r="I53" i="76"/>
  <c r="O52" i="76"/>
  <c r="M52" i="76"/>
  <c r="M64" i="76" s="1"/>
  <c r="K52" i="76"/>
  <c r="K64" i="76" s="1"/>
  <c r="I52" i="76"/>
  <c r="Q51" i="76"/>
  <c r="O51" i="76"/>
  <c r="O64" i="76" s="1"/>
  <c r="M51" i="76"/>
  <c r="K51" i="76"/>
  <c r="I51" i="76"/>
  <c r="I64" i="76" s="1"/>
  <c r="G51" i="76"/>
  <c r="C6" i="79"/>
  <c r="D6" i="79"/>
  <c r="C7" i="79"/>
  <c r="D7" i="79"/>
  <c r="C8" i="79"/>
  <c r="D8" i="79"/>
  <c r="C9" i="79"/>
  <c r="D9" i="79"/>
  <c r="C10" i="79"/>
  <c r="D10" i="79"/>
  <c r="D18" i="79" s="1"/>
  <c r="C11" i="79"/>
  <c r="D11" i="79"/>
  <c r="C12" i="79"/>
  <c r="D12" i="79"/>
  <c r="C13" i="79"/>
  <c r="D13" i="79"/>
  <c r="C14" i="79"/>
  <c r="D14" i="79"/>
  <c r="C15" i="79"/>
  <c r="D15" i="79"/>
  <c r="C16" i="79"/>
  <c r="D16" i="79"/>
  <c r="C17" i="79"/>
  <c r="D17" i="79"/>
  <c r="C18" i="79"/>
  <c r="F80" i="78"/>
  <c r="F79" i="78"/>
  <c r="F78" i="78"/>
  <c r="F77" i="78"/>
  <c r="F76" i="78"/>
  <c r="F75" i="78"/>
  <c r="F74" i="78"/>
  <c r="F73" i="78"/>
  <c r="F72" i="78"/>
  <c r="F71" i="78"/>
  <c r="F70" i="78"/>
  <c r="F69" i="78"/>
  <c r="F68" i="78"/>
  <c r="G68" i="78" s="1"/>
  <c r="F67" i="78"/>
  <c r="G67" i="78" s="1"/>
  <c r="F66" i="78"/>
  <c r="G66" i="78" s="1"/>
  <c r="F65" i="78"/>
  <c r="G65" i="78" s="1"/>
  <c r="F64" i="78"/>
  <c r="G64" i="78" s="1"/>
  <c r="F63" i="78"/>
  <c r="G63" i="78" s="1"/>
  <c r="F62" i="78"/>
  <c r="G62" i="78" s="1"/>
  <c r="F61" i="78"/>
  <c r="G61" i="78" s="1"/>
  <c r="F60" i="78"/>
  <c r="G60" i="78" s="1"/>
  <c r="F59" i="78"/>
  <c r="G59" i="78" s="1"/>
  <c r="F58" i="78"/>
  <c r="G58" i="78" s="1"/>
  <c r="F57" i="78"/>
  <c r="G57" i="78" s="1"/>
  <c r="F56" i="78"/>
  <c r="G56" i="78" s="1"/>
  <c r="F55" i="78"/>
  <c r="G55" i="78" s="1"/>
  <c r="F54" i="78"/>
  <c r="G54" i="78" s="1"/>
  <c r="F53" i="78"/>
  <c r="G53" i="78" s="1"/>
  <c r="F52" i="78"/>
  <c r="G52" i="78" s="1"/>
  <c r="F51" i="78"/>
  <c r="G51" i="78" s="1"/>
  <c r="F50" i="78"/>
  <c r="G50" i="78" s="1"/>
  <c r="F49" i="78"/>
  <c r="G49" i="78" s="1"/>
  <c r="F48" i="78"/>
  <c r="G48" i="78" s="1"/>
  <c r="F47" i="78"/>
  <c r="G47" i="78" s="1"/>
  <c r="F46" i="78"/>
  <c r="G46" i="78" s="1"/>
  <c r="F45" i="78"/>
  <c r="G45" i="78" s="1"/>
  <c r="F44" i="78"/>
  <c r="G44" i="78" s="1"/>
  <c r="F43" i="78"/>
  <c r="B43" i="78"/>
  <c r="B2" i="78"/>
  <c r="F2" i="78"/>
  <c r="B3" i="78"/>
  <c r="F3" i="78"/>
  <c r="G3" i="78"/>
  <c r="B4" i="78"/>
  <c r="F4" i="78"/>
  <c r="G4" i="78" s="1"/>
  <c r="B5" i="78"/>
  <c r="F5" i="78"/>
  <c r="G5" i="78"/>
  <c r="B6" i="78"/>
  <c r="F6" i="78"/>
  <c r="G6" i="78"/>
  <c r="B7" i="78"/>
  <c r="F7" i="78"/>
  <c r="G7" i="78"/>
  <c r="B8" i="78"/>
  <c r="F8" i="78"/>
  <c r="G8" i="78" s="1"/>
  <c r="B9" i="78"/>
  <c r="F9" i="78"/>
  <c r="G9" i="78"/>
  <c r="B10" i="78"/>
  <c r="F10" i="78"/>
  <c r="G10" i="78"/>
  <c r="B11" i="78"/>
  <c r="F11" i="78"/>
  <c r="G11" i="78"/>
  <c r="B12" i="78"/>
  <c r="F12" i="78"/>
  <c r="G12" i="78" s="1"/>
  <c r="B13" i="78"/>
  <c r="F13" i="78"/>
  <c r="G13" i="78"/>
  <c r="B14" i="78"/>
  <c r="F14" i="78"/>
  <c r="G14" i="78"/>
  <c r="B15" i="78"/>
  <c r="F15" i="78"/>
  <c r="G15" i="78" s="1"/>
  <c r="B16" i="78"/>
  <c r="F16" i="78"/>
  <c r="G16" i="78" s="1"/>
  <c r="B17" i="78"/>
  <c r="F17" i="78"/>
  <c r="G17" i="78"/>
  <c r="B18" i="78"/>
  <c r="F18" i="78"/>
  <c r="G18" i="78"/>
  <c r="B19" i="78"/>
  <c r="F19" i="78"/>
  <c r="G19" i="78"/>
  <c r="B20" i="78"/>
  <c r="F20" i="78"/>
  <c r="G20" i="78" s="1"/>
  <c r="B21" i="78"/>
  <c r="F21" i="78"/>
  <c r="G21" i="78"/>
  <c r="B22" i="78"/>
  <c r="F22" i="78"/>
  <c r="G22" i="78"/>
  <c r="B23" i="78"/>
  <c r="F23" i="78"/>
  <c r="G23" i="78"/>
  <c r="B24" i="78"/>
  <c r="F24" i="78"/>
  <c r="G24" i="78" s="1"/>
  <c r="B25" i="78"/>
  <c r="F25" i="78"/>
  <c r="G25" i="78"/>
  <c r="B26" i="78"/>
  <c r="F26" i="78"/>
  <c r="G26" i="78"/>
  <c r="B27" i="78"/>
  <c r="F27" i="78"/>
  <c r="G27" i="78" s="1"/>
  <c r="B28" i="78"/>
  <c r="F28" i="78"/>
  <c r="B29" i="78"/>
  <c r="F29" i="78"/>
  <c r="B30" i="78"/>
  <c r="F30" i="78"/>
  <c r="B31" i="78"/>
  <c r="F31" i="78"/>
  <c r="B32" i="78"/>
  <c r="F32" i="78"/>
  <c r="B33" i="78"/>
  <c r="F33" i="78"/>
  <c r="B34" i="78"/>
  <c r="F34" i="78"/>
  <c r="B35" i="78"/>
  <c r="F35" i="78"/>
  <c r="B36" i="78"/>
  <c r="F36" i="78"/>
  <c r="B37" i="78"/>
  <c r="F37" i="78"/>
  <c r="B38" i="78"/>
  <c r="F38" i="78"/>
  <c r="B39" i="78"/>
  <c r="F39" i="78"/>
  <c r="D18" i="77"/>
  <c r="O19" i="76"/>
  <c r="O20" i="76"/>
  <c r="O21" i="76"/>
  <c r="O22" i="76"/>
  <c r="O23" i="76"/>
  <c r="O24" i="76"/>
  <c r="O25" i="76"/>
  <c r="O26" i="76"/>
  <c r="O27" i="76"/>
  <c r="O28" i="76"/>
  <c r="O29" i="76"/>
  <c r="O30" i="76"/>
  <c r="O31" i="76"/>
  <c r="O32" i="76"/>
  <c r="O33" i="76"/>
  <c r="O34" i="76"/>
  <c r="O35" i="76"/>
  <c r="O36" i="76"/>
  <c r="O37" i="76"/>
  <c r="O38" i="76"/>
  <c r="O39" i="76"/>
  <c r="C40" i="76"/>
  <c r="D40" i="76"/>
  <c r="E40" i="76"/>
  <c r="F40" i="76"/>
  <c r="G40" i="76"/>
  <c r="H40" i="76"/>
  <c r="I40" i="76"/>
  <c r="J40" i="76"/>
  <c r="K40" i="76"/>
  <c r="L40" i="76"/>
  <c r="M40" i="76"/>
  <c r="N40" i="76"/>
  <c r="O40" i="76"/>
  <c r="C68" i="91" l="1"/>
  <c r="G55" i="91"/>
  <c r="Q55" i="91"/>
  <c r="R54" i="91"/>
  <c r="C99" i="91"/>
  <c r="G86" i="91"/>
  <c r="Q86" i="91"/>
  <c r="R85" i="91"/>
  <c r="R53" i="87"/>
  <c r="G54" i="87"/>
  <c r="C67" i="87"/>
  <c r="Q54" i="87"/>
  <c r="R85" i="87"/>
  <c r="G86" i="87"/>
  <c r="C99" i="87"/>
  <c r="Q86" i="87"/>
  <c r="R86" i="87" s="1"/>
  <c r="R54" i="83"/>
  <c r="C68" i="83"/>
  <c r="G55" i="83"/>
  <c r="Q55" i="83"/>
  <c r="Q86" i="83"/>
  <c r="G86" i="83"/>
  <c r="C99" i="83"/>
  <c r="R83" i="76"/>
  <c r="R82" i="76"/>
  <c r="C96" i="76"/>
  <c r="R51" i="76"/>
  <c r="C65" i="76"/>
  <c r="Q52" i="76"/>
  <c r="R52" i="76" s="1"/>
  <c r="R55" i="91" l="1"/>
  <c r="G87" i="91"/>
  <c r="C100" i="91"/>
  <c r="Q87" i="91"/>
  <c r="G56" i="91"/>
  <c r="C69" i="91"/>
  <c r="Q56" i="91"/>
  <c r="R86" i="91"/>
  <c r="C68" i="87"/>
  <c r="G55" i="87"/>
  <c r="Q55" i="87"/>
  <c r="R55" i="87" s="1"/>
  <c r="G87" i="87"/>
  <c r="C100" i="87"/>
  <c r="Q87" i="87"/>
  <c r="R87" i="87" s="1"/>
  <c r="R54" i="87"/>
  <c r="G56" i="83"/>
  <c r="C69" i="83"/>
  <c r="Q56" i="83"/>
  <c r="G87" i="83"/>
  <c r="C100" i="83"/>
  <c r="Q87" i="83"/>
  <c r="R86" i="83"/>
  <c r="R55" i="83"/>
  <c r="C97" i="76"/>
  <c r="Q84" i="76"/>
  <c r="G84" i="76"/>
  <c r="C66" i="76"/>
  <c r="Q53" i="76"/>
  <c r="G53" i="76"/>
  <c r="Q57" i="91" l="1"/>
  <c r="G57" i="91"/>
  <c r="C70" i="91"/>
  <c r="R56" i="91"/>
  <c r="R87" i="91"/>
  <c r="C101" i="91"/>
  <c r="Q88" i="91"/>
  <c r="G88" i="91"/>
  <c r="C101" i="87"/>
  <c r="Q88" i="87"/>
  <c r="G88" i="87"/>
  <c r="G56" i="87"/>
  <c r="C69" i="87"/>
  <c r="Q56" i="87"/>
  <c r="R56" i="87" s="1"/>
  <c r="R56" i="83"/>
  <c r="R87" i="83"/>
  <c r="Q57" i="83"/>
  <c r="G57" i="83"/>
  <c r="C70" i="83"/>
  <c r="C101" i="83"/>
  <c r="Q88" i="83"/>
  <c r="G88" i="83"/>
  <c r="G85" i="76"/>
  <c r="C98" i="76"/>
  <c r="Q85" i="76"/>
  <c r="R85" i="76" s="1"/>
  <c r="R84" i="76"/>
  <c r="R53" i="76"/>
  <c r="G54" i="76"/>
  <c r="C67" i="76"/>
  <c r="Q54" i="76"/>
  <c r="R88" i="91" l="1"/>
  <c r="G89" i="91"/>
  <c r="C102" i="91"/>
  <c r="Q89" i="91"/>
  <c r="C71" i="91"/>
  <c r="Q58" i="91"/>
  <c r="R58" i="91" s="1"/>
  <c r="G58" i="91"/>
  <c r="R57" i="91"/>
  <c r="Q57" i="87"/>
  <c r="R57" i="87" s="1"/>
  <c r="G57" i="87"/>
  <c r="C70" i="87"/>
  <c r="R88" i="87"/>
  <c r="Q89" i="87"/>
  <c r="R89" i="87" s="1"/>
  <c r="G89" i="87"/>
  <c r="C102" i="87"/>
  <c r="C71" i="83"/>
  <c r="Q58" i="83"/>
  <c r="G58" i="83"/>
  <c r="R88" i="83"/>
  <c r="G89" i="83"/>
  <c r="C102" i="83"/>
  <c r="Q89" i="83"/>
  <c r="R89" i="83" s="1"/>
  <c r="R57" i="83"/>
  <c r="G86" i="76"/>
  <c r="C99" i="76"/>
  <c r="Q86" i="76"/>
  <c r="R86" i="76" s="1"/>
  <c r="R54" i="76"/>
  <c r="Q55" i="76"/>
  <c r="G55" i="76"/>
  <c r="C68" i="76"/>
  <c r="G90" i="91" l="1"/>
  <c r="C103" i="91"/>
  <c r="Q90" i="91"/>
  <c r="R90" i="91" s="1"/>
  <c r="C72" i="91"/>
  <c r="Q59" i="91"/>
  <c r="G59" i="91"/>
  <c r="R89" i="91"/>
  <c r="C71" i="87"/>
  <c r="Q58" i="87"/>
  <c r="G58" i="87"/>
  <c r="G90" i="87"/>
  <c r="C103" i="87"/>
  <c r="Q90" i="87"/>
  <c r="R90" i="87" s="1"/>
  <c r="C103" i="83"/>
  <c r="G90" i="83"/>
  <c r="Q90" i="83"/>
  <c r="R90" i="83" s="1"/>
  <c r="R58" i="83"/>
  <c r="C72" i="83"/>
  <c r="Q59" i="83"/>
  <c r="R59" i="83" s="1"/>
  <c r="G59" i="83"/>
  <c r="G87" i="76"/>
  <c r="Q87" i="76"/>
  <c r="R87" i="76" s="1"/>
  <c r="C100" i="76"/>
  <c r="R55" i="76"/>
  <c r="C69" i="76"/>
  <c r="Q56" i="76"/>
  <c r="G56" i="76"/>
  <c r="G91" i="91" l="1"/>
  <c r="C104" i="91"/>
  <c r="Q91" i="91"/>
  <c r="R91" i="91" s="1"/>
  <c r="R59" i="91"/>
  <c r="G60" i="91"/>
  <c r="C73" i="91"/>
  <c r="Q60" i="91"/>
  <c r="R60" i="91" s="1"/>
  <c r="G91" i="87"/>
  <c r="C104" i="87"/>
  <c r="Q91" i="87"/>
  <c r="R91" i="87" s="1"/>
  <c r="R58" i="87"/>
  <c r="C72" i="87"/>
  <c r="G59" i="87"/>
  <c r="Q59" i="87"/>
  <c r="R59" i="87" s="1"/>
  <c r="G60" i="83"/>
  <c r="C73" i="83"/>
  <c r="Q60" i="83"/>
  <c r="R60" i="83" s="1"/>
  <c r="G91" i="83"/>
  <c r="C104" i="83"/>
  <c r="Q91" i="83"/>
  <c r="R91" i="83" s="1"/>
  <c r="C101" i="76"/>
  <c r="Q88" i="76"/>
  <c r="R88" i="76" s="1"/>
  <c r="G88" i="76"/>
  <c r="C70" i="76"/>
  <c r="Q57" i="76"/>
  <c r="G57" i="76"/>
  <c r="R56" i="76"/>
  <c r="Q61" i="91" l="1"/>
  <c r="R61" i="91" s="1"/>
  <c r="G61" i="91"/>
  <c r="C74" i="91"/>
  <c r="C105" i="91"/>
  <c r="Q92" i="91"/>
  <c r="R92" i="91" s="1"/>
  <c r="G92" i="91"/>
  <c r="C105" i="87"/>
  <c r="Q92" i="87"/>
  <c r="R92" i="87" s="1"/>
  <c r="G92" i="87"/>
  <c r="G60" i="87"/>
  <c r="C73" i="87"/>
  <c r="Q60" i="87"/>
  <c r="R60" i="87" s="1"/>
  <c r="Q61" i="83"/>
  <c r="G61" i="83"/>
  <c r="C74" i="83"/>
  <c r="C105" i="83"/>
  <c r="Q92" i="83"/>
  <c r="R92" i="83" s="1"/>
  <c r="G92" i="83"/>
  <c r="G89" i="76"/>
  <c r="C102" i="76"/>
  <c r="Q89" i="76"/>
  <c r="R57" i="76"/>
  <c r="G58" i="76"/>
  <c r="C71" i="76"/>
  <c r="Q58" i="76"/>
  <c r="R58" i="76" s="1"/>
  <c r="G93" i="91" l="1"/>
  <c r="G95" i="91" s="1"/>
  <c r="Q93" i="91"/>
  <c r="G62" i="91"/>
  <c r="G64" i="91" s="1"/>
  <c r="Q62" i="91"/>
  <c r="Q61" i="87"/>
  <c r="G61" i="87"/>
  <c r="C74" i="87"/>
  <c r="Q93" i="87"/>
  <c r="G93" i="87"/>
  <c r="G95" i="87" s="1"/>
  <c r="G93" i="83"/>
  <c r="G95" i="83" s="1"/>
  <c r="Q93" i="83"/>
  <c r="G62" i="83"/>
  <c r="G64" i="83" s="1"/>
  <c r="Q62" i="83"/>
  <c r="R61" i="83"/>
  <c r="R89" i="76"/>
  <c r="G90" i="76"/>
  <c r="C103" i="76"/>
  <c r="Q90" i="76"/>
  <c r="R90" i="76" s="1"/>
  <c r="Q59" i="76"/>
  <c r="C72" i="76"/>
  <c r="G59" i="76"/>
  <c r="R62" i="91" l="1"/>
  <c r="R64" i="91" s="1"/>
  <c r="Q64" i="91"/>
  <c r="R93" i="91"/>
  <c r="R95" i="91" s="1"/>
  <c r="Q95" i="91"/>
  <c r="R93" i="87"/>
  <c r="R95" i="87" s="1"/>
  <c r="Q95" i="87"/>
  <c r="Q62" i="87"/>
  <c r="G62" i="87"/>
  <c r="G64" i="87" s="1"/>
  <c r="R61" i="87"/>
  <c r="R62" i="83"/>
  <c r="R64" i="83" s="1"/>
  <c r="Q64" i="83"/>
  <c r="R93" i="83"/>
  <c r="R95" i="83" s="1"/>
  <c r="Q95" i="83"/>
  <c r="G91" i="76"/>
  <c r="C104" i="76"/>
  <c r="Q91" i="76"/>
  <c r="G60" i="76"/>
  <c r="C73" i="76"/>
  <c r="Q60" i="76"/>
  <c r="R60" i="76" s="1"/>
  <c r="R59" i="76"/>
  <c r="R62" i="87" l="1"/>
  <c r="R64" i="87" s="1"/>
  <c r="Q64" i="87"/>
  <c r="R91" i="76"/>
  <c r="C105" i="76"/>
  <c r="Q92" i="76"/>
  <c r="R92" i="76" s="1"/>
  <c r="G92" i="76"/>
  <c r="C74" i="76"/>
  <c r="Q61" i="76"/>
  <c r="G61" i="76"/>
  <c r="Q93" i="76" l="1"/>
  <c r="G93" i="76"/>
  <c r="G95" i="76" s="1"/>
  <c r="R61" i="76"/>
  <c r="G62" i="76"/>
  <c r="G64" i="76" s="1"/>
  <c r="Q62" i="76"/>
  <c r="R93" i="76" l="1"/>
  <c r="R95" i="76" s="1"/>
  <c r="Q95" i="76"/>
  <c r="R62" i="76"/>
  <c r="R64" i="76" s="1"/>
  <c r="Q64" i="76"/>
  <c r="G54" i="72" l="1"/>
  <c r="G55" i="72"/>
  <c r="G56" i="72"/>
  <c r="G57" i="72"/>
  <c r="G58" i="72"/>
  <c r="G59" i="72"/>
  <c r="G60" i="72"/>
  <c r="G61" i="72"/>
  <c r="G62" i="72"/>
  <c r="G63" i="72"/>
  <c r="G53" i="72"/>
  <c r="G52" i="72"/>
  <c r="D184" i="73"/>
  <c r="D168" i="73"/>
  <c r="D151" i="73"/>
  <c r="D135" i="73"/>
  <c r="D117" i="73"/>
  <c r="D101" i="73"/>
  <c r="D88" i="73"/>
  <c r="D77" i="73"/>
  <c r="D62" i="73"/>
  <c r="D46" i="73"/>
  <c r="D27" i="73"/>
  <c r="C6" i="75"/>
  <c r="D6" i="75"/>
  <c r="C7" i="75"/>
  <c r="D7" i="75"/>
  <c r="C8" i="75"/>
  <c r="D8" i="75"/>
  <c r="C9" i="75"/>
  <c r="D9" i="75"/>
  <c r="C10" i="75"/>
  <c r="D10" i="75"/>
  <c r="C11" i="75"/>
  <c r="D11" i="75"/>
  <c r="C12" i="75"/>
  <c r="D12" i="75"/>
  <c r="C13" i="75"/>
  <c r="D13" i="75"/>
  <c r="C14" i="75"/>
  <c r="D14" i="75"/>
  <c r="C15" i="75"/>
  <c r="D15" i="75"/>
  <c r="C16" i="75"/>
  <c r="D16" i="75"/>
  <c r="C17" i="75"/>
  <c r="D17" i="75"/>
  <c r="C18" i="75"/>
  <c r="D18" i="75"/>
  <c r="C96" i="72"/>
  <c r="C97" i="72" s="1"/>
  <c r="O94" i="72"/>
  <c r="M94" i="72"/>
  <c r="K94" i="72"/>
  <c r="I94" i="72"/>
  <c r="O93" i="72"/>
  <c r="M93" i="72"/>
  <c r="K93" i="72"/>
  <c r="I93" i="72"/>
  <c r="O92" i="72"/>
  <c r="M92" i="72"/>
  <c r="K92" i="72"/>
  <c r="I92" i="72"/>
  <c r="O91" i="72"/>
  <c r="M91" i="72"/>
  <c r="K91" i="72"/>
  <c r="I91" i="72"/>
  <c r="O90" i="72"/>
  <c r="M90" i="72"/>
  <c r="K90" i="72"/>
  <c r="I90" i="72"/>
  <c r="O89" i="72"/>
  <c r="M89" i="72"/>
  <c r="K89" i="72"/>
  <c r="I89" i="72"/>
  <c r="O88" i="72"/>
  <c r="M88" i="72"/>
  <c r="K88" i="72"/>
  <c r="I88" i="72"/>
  <c r="O87" i="72"/>
  <c r="M87" i="72"/>
  <c r="K87" i="72"/>
  <c r="I87" i="72"/>
  <c r="O86" i="72"/>
  <c r="M86" i="72"/>
  <c r="K86" i="72"/>
  <c r="I86" i="72"/>
  <c r="I96" i="72" s="1"/>
  <c r="O85" i="72"/>
  <c r="M85" i="72"/>
  <c r="K85" i="72"/>
  <c r="I85" i="72"/>
  <c r="Q84" i="72"/>
  <c r="O84" i="72"/>
  <c r="R84" i="72" s="1"/>
  <c r="M84" i="72"/>
  <c r="K84" i="72"/>
  <c r="I84" i="72"/>
  <c r="G84" i="72"/>
  <c r="Q83" i="72"/>
  <c r="O83" i="72"/>
  <c r="O96" i="72" s="1"/>
  <c r="M83" i="72"/>
  <c r="M96" i="72" s="1"/>
  <c r="K83" i="72"/>
  <c r="K96" i="72" s="1"/>
  <c r="I83" i="72"/>
  <c r="G83" i="72"/>
  <c r="C65" i="72"/>
  <c r="Q53" i="72" s="1"/>
  <c r="O63" i="72"/>
  <c r="M63" i="72"/>
  <c r="K63" i="72"/>
  <c r="I63" i="72"/>
  <c r="O62" i="72"/>
  <c r="M62" i="72"/>
  <c r="K62" i="72"/>
  <c r="I62" i="72"/>
  <c r="O61" i="72"/>
  <c r="M61" i="72"/>
  <c r="K61" i="72"/>
  <c r="I61" i="72"/>
  <c r="O60" i="72"/>
  <c r="M60" i="72"/>
  <c r="K60" i="72"/>
  <c r="I60" i="72"/>
  <c r="O59" i="72"/>
  <c r="M59" i="72"/>
  <c r="K59" i="72"/>
  <c r="I59" i="72"/>
  <c r="O58" i="72"/>
  <c r="M58" i="72"/>
  <c r="K58" i="72"/>
  <c r="I58" i="72"/>
  <c r="O57" i="72"/>
  <c r="M57" i="72"/>
  <c r="K57" i="72"/>
  <c r="I57" i="72"/>
  <c r="O56" i="72"/>
  <c r="M56" i="72"/>
  <c r="O55" i="72"/>
  <c r="M55" i="72"/>
  <c r="K55" i="72"/>
  <c r="I55" i="72"/>
  <c r="O54" i="72"/>
  <c r="M54" i="72"/>
  <c r="K54" i="72"/>
  <c r="I54" i="72"/>
  <c r="O53" i="72"/>
  <c r="M53" i="72"/>
  <c r="M65" i="72" s="1"/>
  <c r="K53" i="72"/>
  <c r="K65" i="72" s="1"/>
  <c r="I53" i="72"/>
  <c r="Q52" i="72"/>
  <c r="O52" i="72"/>
  <c r="O65" i="72" s="1"/>
  <c r="M52" i="72"/>
  <c r="K52" i="72"/>
  <c r="I52" i="72"/>
  <c r="I65" i="72" s="1"/>
  <c r="F81" i="74"/>
  <c r="B81" i="74"/>
  <c r="F80" i="74"/>
  <c r="B80" i="74"/>
  <c r="F79" i="74"/>
  <c r="B79" i="74"/>
  <c r="F78" i="74"/>
  <c r="B78" i="74"/>
  <c r="G77" i="74"/>
  <c r="F77" i="74"/>
  <c r="B77" i="74"/>
  <c r="G76" i="74"/>
  <c r="F76" i="74"/>
  <c r="B76" i="74"/>
  <c r="F75" i="74"/>
  <c r="G75" i="74" s="1"/>
  <c r="B75" i="74"/>
  <c r="F74" i="74"/>
  <c r="G74" i="74" s="1"/>
  <c r="B74" i="74"/>
  <c r="G73" i="74"/>
  <c r="F73" i="74"/>
  <c r="B73" i="74"/>
  <c r="G72" i="74"/>
  <c r="F72" i="74"/>
  <c r="B72" i="74"/>
  <c r="F71" i="74"/>
  <c r="G71" i="74" s="1"/>
  <c r="B71" i="74"/>
  <c r="F70" i="74"/>
  <c r="G70" i="74" s="1"/>
  <c r="B70" i="74"/>
  <c r="G69" i="74"/>
  <c r="F69" i="74"/>
  <c r="B69" i="74"/>
  <c r="G68" i="74"/>
  <c r="F68" i="74"/>
  <c r="B68" i="74"/>
  <c r="F67" i="74"/>
  <c r="G67" i="74" s="1"/>
  <c r="B67" i="74"/>
  <c r="F66" i="74"/>
  <c r="G66" i="74" s="1"/>
  <c r="B66" i="74"/>
  <c r="G65" i="74"/>
  <c r="F65" i="74"/>
  <c r="B65" i="74"/>
  <c r="G64" i="74"/>
  <c r="F64" i="74"/>
  <c r="B64" i="74"/>
  <c r="F63" i="74"/>
  <c r="G63" i="74" s="1"/>
  <c r="B63" i="74"/>
  <c r="F62" i="74"/>
  <c r="G62" i="74" s="1"/>
  <c r="B62" i="74"/>
  <c r="G61" i="74"/>
  <c r="F61" i="74"/>
  <c r="B61" i="74"/>
  <c r="G60" i="74"/>
  <c r="F60" i="74"/>
  <c r="B60" i="74"/>
  <c r="F59" i="74"/>
  <c r="G59" i="74" s="1"/>
  <c r="B59" i="74"/>
  <c r="F58" i="74"/>
  <c r="G58" i="74" s="1"/>
  <c r="B58" i="74"/>
  <c r="G57" i="74"/>
  <c r="F57" i="74"/>
  <c r="B57" i="74"/>
  <c r="G56" i="74"/>
  <c r="F56" i="74"/>
  <c r="B56" i="74"/>
  <c r="F55" i="74"/>
  <c r="G55" i="74" s="1"/>
  <c r="B55" i="74"/>
  <c r="F54" i="74"/>
  <c r="G54" i="74" s="1"/>
  <c r="B54" i="74"/>
  <c r="G53" i="74"/>
  <c r="F53" i="74"/>
  <c r="B53" i="74"/>
  <c r="G52" i="74"/>
  <c r="F52" i="74"/>
  <c r="B52" i="74"/>
  <c r="F51" i="74"/>
  <c r="G51" i="74" s="1"/>
  <c r="B51" i="74"/>
  <c r="F50" i="74"/>
  <c r="G50" i="74" s="1"/>
  <c r="B50" i="74"/>
  <c r="G49" i="74"/>
  <c r="F49" i="74"/>
  <c r="B49" i="74"/>
  <c r="G48" i="74"/>
  <c r="F48" i="74"/>
  <c r="B48" i="74"/>
  <c r="F47" i="74"/>
  <c r="G47" i="74" s="1"/>
  <c r="B47" i="74"/>
  <c r="F46" i="74"/>
  <c r="G46" i="74" s="1"/>
  <c r="G45" i="74"/>
  <c r="F45" i="74"/>
  <c r="B45" i="74"/>
  <c r="F44" i="74"/>
  <c r="B44" i="74"/>
  <c r="B2" i="74"/>
  <c r="F2" i="74"/>
  <c r="F3" i="74"/>
  <c r="G3" i="74" s="1"/>
  <c r="B4" i="74"/>
  <c r="F4" i="74"/>
  <c r="G4" i="74" s="1"/>
  <c r="B5" i="74"/>
  <c r="F5" i="74"/>
  <c r="G5" i="74" s="1"/>
  <c r="B6" i="74"/>
  <c r="F6" i="74"/>
  <c r="G6" i="74"/>
  <c r="F7" i="74"/>
  <c r="F8" i="74"/>
  <c r="G8" i="74" s="1"/>
  <c r="B9" i="74"/>
  <c r="F9" i="74"/>
  <c r="G9" i="74" s="1"/>
  <c r="B10" i="74"/>
  <c r="F10" i="74"/>
  <c r="G10" i="74" s="1"/>
  <c r="B11" i="74"/>
  <c r="F11" i="74"/>
  <c r="G11" i="74"/>
  <c r="B12" i="74"/>
  <c r="F12" i="74"/>
  <c r="G12" i="74" s="1"/>
  <c r="B13" i="74"/>
  <c r="F13" i="74"/>
  <c r="G13" i="74"/>
  <c r="B14" i="74"/>
  <c r="F14" i="74"/>
  <c r="G14" i="74" s="1"/>
  <c r="B15" i="74"/>
  <c r="F15" i="74"/>
  <c r="G15" i="74"/>
  <c r="B16" i="74"/>
  <c r="F16" i="74"/>
  <c r="G16" i="74" s="1"/>
  <c r="B17" i="74"/>
  <c r="F17" i="74"/>
  <c r="G17" i="74"/>
  <c r="B18" i="74"/>
  <c r="F18" i="74"/>
  <c r="G18" i="74" s="1"/>
  <c r="B19" i="74"/>
  <c r="F19" i="74"/>
  <c r="G19" i="74"/>
  <c r="B20" i="74"/>
  <c r="F20" i="74"/>
  <c r="G20" i="74" s="1"/>
  <c r="B21" i="74"/>
  <c r="F21" i="74"/>
  <c r="G21" i="74"/>
  <c r="B22" i="74"/>
  <c r="F22" i="74"/>
  <c r="G22" i="74" s="1"/>
  <c r="B23" i="74"/>
  <c r="F23" i="74"/>
  <c r="G23" i="74"/>
  <c r="B24" i="74"/>
  <c r="F24" i="74"/>
  <c r="G24" i="74" s="1"/>
  <c r="B25" i="74"/>
  <c r="F25" i="74"/>
  <c r="G25" i="74"/>
  <c r="B26" i="74"/>
  <c r="F26" i="74"/>
  <c r="G26" i="74" s="1"/>
  <c r="B27" i="74"/>
  <c r="F27" i="74"/>
  <c r="G27" i="74"/>
  <c r="B28" i="74"/>
  <c r="F28" i="74"/>
  <c r="G28" i="74" s="1"/>
  <c r="B29" i="74"/>
  <c r="F29" i="74"/>
  <c r="G29" i="74"/>
  <c r="B30" i="74"/>
  <c r="F30" i="74"/>
  <c r="G30" i="74" s="1"/>
  <c r="B31" i="74"/>
  <c r="F31" i="74"/>
  <c r="G31" i="74"/>
  <c r="B32" i="74"/>
  <c r="F32" i="74"/>
  <c r="G32" i="74" s="1"/>
  <c r="B33" i="74"/>
  <c r="F33" i="74"/>
  <c r="G33" i="74"/>
  <c r="B34" i="74"/>
  <c r="F34" i="74"/>
  <c r="G34" i="74" s="1"/>
  <c r="B35" i="74"/>
  <c r="F35" i="74"/>
  <c r="G35" i="74"/>
  <c r="B36" i="74"/>
  <c r="F36" i="74"/>
  <c r="G36" i="74" s="1"/>
  <c r="B37" i="74"/>
  <c r="F37" i="74"/>
  <c r="B38" i="74"/>
  <c r="F38" i="74"/>
  <c r="B39" i="74"/>
  <c r="F39" i="74"/>
  <c r="B40" i="74"/>
  <c r="F40" i="74"/>
  <c r="D11" i="73"/>
  <c r="O19" i="72"/>
  <c r="O20" i="72"/>
  <c r="O21" i="72"/>
  <c r="O22" i="72"/>
  <c r="O23" i="72"/>
  <c r="O24" i="72"/>
  <c r="O25" i="72"/>
  <c r="O26" i="72"/>
  <c r="O27" i="72"/>
  <c r="O28" i="72"/>
  <c r="O29" i="72"/>
  <c r="O30" i="72"/>
  <c r="O31" i="72"/>
  <c r="O32" i="72"/>
  <c r="O33" i="72"/>
  <c r="O34" i="72"/>
  <c r="O35" i="72"/>
  <c r="O36" i="72"/>
  <c r="O37" i="72"/>
  <c r="O38" i="72"/>
  <c r="O39" i="72"/>
  <c r="C40" i="72"/>
  <c r="D40" i="72"/>
  <c r="E40" i="72"/>
  <c r="F40" i="72"/>
  <c r="G40" i="72"/>
  <c r="H40" i="72"/>
  <c r="I40" i="72"/>
  <c r="J40" i="72"/>
  <c r="K40" i="72"/>
  <c r="L40" i="72"/>
  <c r="M40" i="72"/>
  <c r="N40" i="72"/>
  <c r="O40" i="72"/>
  <c r="C98" i="72" l="1"/>
  <c r="Q85" i="72"/>
  <c r="G85" i="72"/>
  <c r="R83" i="72"/>
  <c r="C66" i="72"/>
  <c r="R85" i="72" l="1"/>
  <c r="G86" i="72"/>
  <c r="C99" i="72"/>
  <c r="Q86" i="72"/>
  <c r="C67" i="72"/>
  <c r="Q54" i="72"/>
  <c r="R53" i="72"/>
  <c r="R86" i="72" l="1"/>
  <c r="Q87" i="72"/>
  <c r="C100" i="72"/>
  <c r="G87" i="72"/>
  <c r="R54" i="72"/>
  <c r="C68" i="72"/>
  <c r="Q55" i="72"/>
  <c r="G88" i="72" l="1"/>
  <c r="C101" i="72"/>
  <c r="Q88" i="72"/>
  <c r="R88" i="72" s="1"/>
  <c r="R87" i="72"/>
  <c r="R55" i="72"/>
  <c r="Q56" i="72"/>
  <c r="R56" i="72" s="1"/>
  <c r="C69" i="72"/>
  <c r="C102" i="72" l="1"/>
  <c r="G89" i="72"/>
  <c r="Q89" i="72"/>
  <c r="R89" i="72" s="1"/>
  <c r="C70" i="72"/>
  <c r="Q57" i="72"/>
  <c r="G90" i="72" l="1"/>
  <c r="C103" i="72"/>
  <c r="Q90" i="72"/>
  <c r="R90" i="72" s="1"/>
  <c r="C71" i="72"/>
  <c r="Q58" i="72"/>
  <c r="R58" i="72" s="1"/>
  <c r="R57" i="72"/>
  <c r="Q91" i="72" l="1"/>
  <c r="G91" i="72"/>
  <c r="C104" i="72"/>
  <c r="C72" i="72"/>
  <c r="Q59" i="72"/>
  <c r="G92" i="72" l="1"/>
  <c r="C105" i="72"/>
  <c r="Q92" i="72"/>
  <c r="R91" i="72"/>
  <c r="Q60" i="72"/>
  <c r="C73" i="72"/>
  <c r="R59" i="72"/>
  <c r="R92" i="72" l="1"/>
  <c r="C106" i="72"/>
  <c r="Q93" i="72"/>
  <c r="R93" i="72" s="1"/>
  <c r="G93" i="72"/>
  <c r="Q61" i="72"/>
  <c r="R61" i="72" s="1"/>
  <c r="C74" i="72"/>
  <c r="R60" i="72"/>
  <c r="G94" i="72" l="1"/>
  <c r="G96" i="72" s="1"/>
  <c r="Q94" i="72"/>
  <c r="C75" i="72"/>
  <c r="Q62" i="72"/>
  <c r="R94" i="72" l="1"/>
  <c r="R96" i="72" s="1"/>
  <c r="Q96" i="72"/>
  <c r="Q63" i="72"/>
  <c r="R62" i="72"/>
  <c r="R63" i="72" l="1"/>
  <c r="Q65" i="72"/>
  <c r="D189" i="69" l="1"/>
  <c r="D173" i="69"/>
  <c r="D156" i="69"/>
  <c r="D140" i="69"/>
  <c r="D122" i="69"/>
  <c r="D106" i="69"/>
  <c r="D93" i="69"/>
  <c r="D82" i="69"/>
  <c r="D67" i="69"/>
  <c r="D51" i="69"/>
  <c r="D36" i="69"/>
  <c r="C93" i="68"/>
  <c r="C94" i="68" s="1"/>
  <c r="O91" i="68"/>
  <c r="M91" i="68"/>
  <c r="K91" i="68"/>
  <c r="I91" i="68"/>
  <c r="O90" i="68"/>
  <c r="M90" i="68"/>
  <c r="K90" i="68"/>
  <c r="I90" i="68"/>
  <c r="O89" i="68"/>
  <c r="M89" i="68"/>
  <c r="K89" i="68"/>
  <c r="I89" i="68"/>
  <c r="O88" i="68"/>
  <c r="M88" i="68"/>
  <c r="K88" i="68"/>
  <c r="I88" i="68"/>
  <c r="O87" i="68"/>
  <c r="M87" i="68"/>
  <c r="K87" i="68"/>
  <c r="I87" i="68"/>
  <c r="O86" i="68"/>
  <c r="M86" i="68"/>
  <c r="K86" i="68"/>
  <c r="I86" i="68"/>
  <c r="O85" i="68"/>
  <c r="M85" i="68"/>
  <c r="K85" i="68"/>
  <c r="I85" i="68"/>
  <c r="O84" i="68"/>
  <c r="M84" i="68"/>
  <c r="K84" i="68"/>
  <c r="I84" i="68"/>
  <c r="O83" i="68"/>
  <c r="M83" i="68"/>
  <c r="K83" i="68"/>
  <c r="K93" i="68" s="1"/>
  <c r="I83" i="68"/>
  <c r="O82" i="68"/>
  <c r="M82" i="68"/>
  <c r="K82" i="68"/>
  <c r="I82" i="68"/>
  <c r="Q81" i="68"/>
  <c r="R81" i="68" s="1"/>
  <c r="O81" i="68"/>
  <c r="M81" i="68"/>
  <c r="K81" i="68"/>
  <c r="I81" i="68"/>
  <c r="G81" i="68"/>
  <c r="Q80" i="68"/>
  <c r="O80" i="68"/>
  <c r="O93" i="68" s="1"/>
  <c r="M80" i="68"/>
  <c r="M93" i="68" s="1"/>
  <c r="K80" i="68"/>
  <c r="I80" i="68"/>
  <c r="I93" i="68" s="1"/>
  <c r="G80" i="68"/>
  <c r="C62" i="68"/>
  <c r="G50" i="68" s="1"/>
  <c r="O60" i="68"/>
  <c r="M60" i="68"/>
  <c r="K60" i="68"/>
  <c r="I60" i="68"/>
  <c r="O59" i="68"/>
  <c r="M59" i="68"/>
  <c r="K59" i="68"/>
  <c r="I59" i="68"/>
  <c r="O58" i="68"/>
  <c r="M58" i="68"/>
  <c r="K58" i="68"/>
  <c r="I58" i="68"/>
  <c r="O57" i="68"/>
  <c r="M57" i="68"/>
  <c r="K57" i="68"/>
  <c r="I57" i="68"/>
  <c r="O56" i="68"/>
  <c r="M56" i="68"/>
  <c r="K56" i="68"/>
  <c r="I56" i="68"/>
  <c r="O55" i="68"/>
  <c r="M55" i="68"/>
  <c r="K55" i="68"/>
  <c r="I55" i="68"/>
  <c r="O54" i="68"/>
  <c r="M54" i="68"/>
  <c r="K54" i="68"/>
  <c r="I54" i="68"/>
  <c r="O53" i="68"/>
  <c r="M53" i="68"/>
  <c r="O52" i="68"/>
  <c r="M52" i="68"/>
  <c r="K52" i="68"/>
  <c r="I52" i="68"/>
  <c r="O51" i="68"/>
  <c r="M51" i="68"/>
  <c r="K51" i="68"/>
  <c r="I51" i="68"/>
  <c r="Q50" i="68"/>
  <c r="O50" i="68"/>
  <c r="M50" i="68"/>
  <c r="M62" i="68" s="1"/>
  <c r="K50" i="68"/>
  <c r="K62" i="68" s="1"/>
  <c r="I50" i="68"/>
  <c r="Q49" i="68"/>
  <c r="R49" i="68" s="1"/>
  <c r="O49" i="68"/>
  <c r="O62" i="68" s="1"/>
  <c r="M49" i="68"/>
  <c r="K49" i="68"/>
  <c r="I49" i="68"/>
  <c r="I62" i="68" s="1"/>
  <c r="G49" i="68"/>
  <c r="C6" i="71"/>
  <c r="D6" i="71"/>
  <c r="C7" i="71"/>
  <c r="C18" i="71" s="1"/>
  <c r="D7" i="71"/>
  <c r="C8" i="71"/>
  <c r="D8" i="71"/>
  <c r="C9" i="71"/>
  <c r="D9" i="71"/>
  <c r="C10" i="71"/>
  <c r="D10" i="71"/>
  <c r="C11" i="71"/>
  <c r="D11" i="71"/>
  <c r="C12" i="71"/>
  <c r="D12" i="71"/>
  <c r="C13" i="71"/>
  <c r="D13" i="71"/>
  <c r="C14" i="71"/>
  <c r="D14" i="71"/>
  <c r="C15" i="71"/>
  <c r="D15" i="71"/>
  <c r="C16" i="71"/>
  <c r="D16" i="71"/>
  <c r="C17" i="71"/>
  <c r="D17" i="71"/>
  <c r="D18" i="71"/>
  <c r="B2" i="70"/>
  <c r="F2" i="70"/>
  <c r="B3" i="70"/>
  <c r="F3" i="70"/>
  <c r="G3" i="70"/>
  <c r="B4" i="70"/>
  <c r="F4" i="70"/>
  <c r="G4" i="70" s="1"/>
  <c r="B5" i="70"/>
  <c r="F5" i="70"/>
  <c r="G5" i="70"/>
  <c r="B6" i="70"/>
  <c r="F6" i="70"/>
  <c r="G6" i="70"/>
  <c r="B7" i="70"/>
  <c r="F7" i="70"/>
  <c r="G7" i="70"/>
  <c r="B8" i="70"/>
  <c r="F8" i="70"/>
  <c r="G8" i="70" s="1"/>
  <c r="B9" i="70"/>
  <c r="F9" i="70"/>
  <c r="G9" i="70"/>
  <c r="B10" i="70"/>
  <c r="F10" i="70"/>
  <c r="G10" i="70"/>
  <c r="B11" i="70"/>
  <c r="F11" i="70"/>
  <c r="G11" i="70"/>
  <c r="B12" i="70"/>
  <c r="F12" i="70"/>
  <c r="G12" i="70" s="1"/>
  <c r="B13" i="70"/>
  <c r="F13" i="70"/>
  <c r="G13" i="70"/>
  <c r="B14" i="70"/>
  <c r="F14" i="70"/>
  <c r="G14" i="70"/>
  <c r="B15" i="70"/>
  <c r="F15" i="70"/>
  <c r="G15" i="70"/>
  <c r="B16" i="70"/>
  <c r="F16" i="70"/>
  <c r="G16" i="70" s="1"/>
  <c r="B17" i="70"/>
  <c r="F17" i="70"/>
  <c r="G17" i="70"/>
  <c r="B18" i="70"/>
  <c r="F18" i="70"/>
  <c r="G18" i="70"/>
  <c r="B19" i="70"/>
  <c r="F19" i="70"/>
  <c r="G19" i="70"/>
  <c r="B20" i="70"/>
  <c r="F20" i="70"/>
  <c r="G20" i="70" s="1"/>
  <c r="B21" i="70"/>
  <c r="F21" i="70"/>
  <c r="G21" i="70"/>
  <c r="B22" i="70"/>
  <c r="F22" i="70"/>
  <c r="G22" i="70"/>
  <c r="B23" i="70"/>
  <c r="F23" i="70"/>
  <c r="G23" i="70"/>
  <c r="B24" i="70"/>
  <c r="F24" i="70"/>
  <c r="G24" i="70" s="1"/>
  <c r="B25" i="70"/>
  <c r="F25" i="70"/>
  <c r="G25" i="70"/>
  <c r="B26" i="70"/>
  <c r="F26" i="70"/>
  <c r="G26" i="70"/>
  <c r="B27" i="70"/>
  <c r="F27" i="70"/>
  <c r="G27" i="70"/>
  <c r="B28" i="70"/>
  <c r="F28" i="70"/>
  <c r="B29" i="70"/>
  <c r="F29" i="70"/>
  <c r="B30" i="70"/>
  <c r="F30" i="70"/>
  <c r="B31" i="70"/>
  <c r="F31" i="70"/>
  <c r="B32" i="70"/>
  <c r="F32" i="70"/>
  <c r="B33" i="70"/>
  <c r="F33" i="70"/>
  <c r="B34" i="70"/>
  <c r="F34" i="70"/>
  <c r="B35" i="70"/>
  <c r="F35" i="70"/>
  <c r="B36" i="70"/>
  <c r="F36" i="70"/>
  <c r="B37" i="70"/>
  <c r="F37" i="70"/>
  <c r="B38" i="70"/>
  <c r="F38" i="70"/>
  <c r="B39" i="70"/>
  <c r="F39" i="70"/>
  <c r="D17" i="69"/>
  <c r="O19" i="68"/>
  <c r="O20" i="68"/>
  <c r="O21" i="68"/>
  <c r="O22" i="68"/>
  <c r="O23" i="68"/>
  <c r="O24" i="68"/>
  <c r="O25" i="68"/>
  <c r="O26" i="68"/>
  <c r="O27" i="68"/>
  <c r="O28" i="68"/>
  <c r="O29" i="68"/>
  <c r="O30" i="68"/>
  <c r="O31" i="68"/>
  <c r="O32" i="68"/>
  <c r="O33" i="68"/>
  <c r="O34" i="68"/>
  <c r="O35" i="68"/>
  <c r="O36" i="68"/>
  <c r="O37" i="68"/>
  <c r="O38" i="68"/>
  <c r="O39" i="68"/>
  <c r="C40" i="68"/>
  <c r="D40" i="68"/>
  <c r="E40" i="68"/>
  <c r="F40" i="68"/>
  <c r="G40" i="68"/>
  <c r="H40" i="68"/>
  <c r="I40" i="68"/>
  <c r="J40" i="68"/>
  <c r="K40" i="68"/>
  <c r="L40" i="68"/>
  <c r="M40" i="68"/>
  <c r="N40" i="68"/>
  <c r="O40" i="68"/>
  <c r="C95" i="68" l="1"/>
  <c r="Q82" i="68"/>
  <c r="G82" i="68"/>
  <c r="R80" i="68"/>
  <c r="R50" i="68"/>
  <c r="C63" i="68"/>
  <c r="R82" i="68" l="1"/>
  <c r="G83" i="68"/>
  <c r="C96" i="68"/>
  <c r="Q83" i="68"/>
  <c r="R83" i="68" s="1"/>
  <c r="C64" i="68"/>
  <c r="Q51" i="68"/>
  <c r="G51" i="68"/>
  <c r="Q84" i="68" l="1"/>
  <c r="G84" i="68"/>
  <c r="C97" i="68"/>
  <c r="R51" i="68"/>
  <c r="Q52" i="68"/>
  <c r="R52" i="68" s="1"/>
  <c r="G52" i="68"/>
  <c r="C65" i="68"/>
  <c r="R84" i="68" l="1"/>
  <c r="C98" i="68"/>
  <c r="Q85" i="68"/>
  <c r="G85" i="68"/>
  <c r="Q53" i="68"/>
  <c r="R53" i="68" s="1"/>
  <c r="C66" i="68"/>
  <c r="G53" i="68"/>
  <c r="C99" i="68" l="1"/>
  <c r="Q86" i="68"/>
  <c r="G86" i="68"/>
  <c r="R85" i="68"/>
  <c r="Q54" i="68"/>
  <c r="R54" i="68" s="1"/>
  <c r="G54" i="68"/>
  <c r="C67" i="68"/>
  <c r="R86" i="68" l="1"/>
  <c r="G87" i="68"/>
  <c r="C100" i="68"/>
  <c r="Q87" i="68"/>
  <c r="C68" i="68"/>
  <c r="Q55" i="68"/>
  <c r="G55" i="68"/>
  <c r="R87" i="68" l="1"/>
  <c r="Q88" i="68"/>
  <c r="G88" i="68"/>
  <c r="C101" i="68"/>
  <c r="R55" i="68"/>
  <c r="G56" i="68"/>
  <c r="C69" i="68"/>
  <c r="Q56" i="68"/>
  <c r="R56" i="68" s="1"/>
  <c r="C102" i="68" l="1"/>
  <c r="Q89" i="68"/>
  <c r="G89" i="68"/>
  <c r="R88" i="68"/>
  <c r="Q57" i="68"/>
  <c r="G57" i="68"/>
  <c r="C70" i="68"/>
  <c r="R89" i="68" l="1"/>
  <c r="C103" i="68"/>
  <c r="Q90" i="68"/>
  <c r="G90" i="68"/>
  <c r="Q58" i="68"/>
  <c r="G58" i="68"/>
  <c r="C71" i="68"/>
  <c r="R57" i="68"/>
  <c r="G91" i="68" l="1"/>
  <c r="G93" i="68" s="1"/>
  <c r="Q91" i="68"/>
  <c r="R90" i="68"/>
  <c r="C72" i="68"/>
  <c r="Q59" i="68"/>
  <c r="R59" i="68" s="1"/>
  <c r="G59" i="68"/>
  <c r="R58" i="68"/>
  <c r="R91" i="68" l="1"/>
  <c r="R93" i="68" s="1"/>
  <c r="Q93" i="68"/>
  <c r="G60" i="68"/>
  <c r="G62" i="68" s="1"/>
  <c r="Q60" i="68"/>
  <c r="R60" i="68" l="1"/>
  <c r="R62" i="68" s="1"/>
  <c r="Q62" i="68"/>
  <c r="R79" i="64"/>
  <c r="G79" i="64"/>
  <c r="G81" i="64"/>
  <c r="D199" i="65"/>
  <c r="D183" i="65"/>
  <c r="D166" i="65"/>
  <c r="D150" i="65"/>
  <c r="D132" i="65"/>
  <c r="D116" i="65"/>
  <c r="D103" i="65"/>
  <c r="D92" i="65"/>
  <c r="D77" i="65"/>
  <c r="D61" i="65"/>
  <c r="D41" i="65"/>
  <c r="K92" i="64"/>
  <c r="I92" i="64"/>
  <c r="C92" i="64"/>
  <c r="G80" i="64" s="1"/>
  <c r="O90" i="64"/>
  <c r="M90" i="64"/>
  <c r="O89" i="64"/>
  <c r="M89" i="64"/>
  <c r="O88" i="64"/>
  <c r="M88" i="64"/>
  <c r="O87" i="64"/>
  <c r="M87" i="64"/>
  <c r="O86" i="64"/>
  <c r="M86" i="64"/>
  <c r="O85" i="64"/>
  <c r="M85" i="64"/>
  <c r="O84" i="64"/>
  <c r="M84" i="64"/>
  <c r="O83" i="64"/>
  <c r="M83" i="64"/>
  <c r="O82" i="64"/>
  <c r="M82" i="64"/>
  <c r="O81" i="64"/>
  <c r="M81" i="64"/>
  <c r="M92" i="64" s="1"/>
  <c r="Q80" i="64"/>
  <c r="O80" i="64"/>
  <c r="M80" i="64"/>
  <c r="Q79" i="64"/>
  <c r="O79" i="64"/>
  <c r="O92" i="64" s="1"/>
  <c r="M79" i="64"/>
  <c r="C61" i="64"/>
  <c r="C62" i="64" s="1"/>
  <c r="O59" i="64"/>
  <c r="M59" i="64"/>
  <c r="K59" i="64"/>
  <c r="I59" i="64"/>
  <c r="O58" i="64"/>
  <c r="M58" i="64"/>
  <c r="K58" i="64"/>
  <c r="I58" i="64"/>
  <c r="O57" i="64"/>
  <c r="M57" i="64"/>
  <c r="K57" i="64"/>
  <c r="I57" i="64"/>
  <c r="O56" i="64"/>
  <c r="M56" i="64"/>
  <c r="K56" i="64"/>
  <c r="I56" i="64"/>
  <c r="O55" i="64"/>
  <c r="M55" i="64"/>
  <c r="K55" i="64"/>
  <c r="I55" i="64"/>
  <c r="O54" i="64"/>
  <c r="M54" i="64"/>
  <c r="K54" i="64"/>
  <c r="I54" i="64"/>
  <c r="O53" i="64"/>
  <c r="M53" i="64"/>
  <c r="K53" i="64"/>
  <c r="I53" i="64"/>
  <c r="O52" i="64"/>
  <c r="M52" i="64"/>
  <c r="O51" i="64"/>
  <c r="M51" i="64"/>
  <c r="K51" i="64"/>
  <c r="I51" i="64"/>
  <c r="O50" i="64"/>
  <c r="M50" i="64"/>
  <c r="K50" i="64"/>
  <c r="I50" i="64"/>
  <c r="O49" i="64"/>
  <c r="O61" i="64" s="1"/>
  <c r="M49" i="64"/>
  <c r="K49" i="64"/>
  <c r="K61" i="64" s="1"/>
  <c r="I49" i="64"/>
  <c r="G49" i="64"/>
  <c r="Q48" i="64"/>
  <c r="R48" i="64" s="1"/>
  <c r="O48" i="64"/>
  <c r="M48" i="64"/>
  <c r="M61" i="64" s="1"/>
  <c r="K48" i="64"/>
  <c r="I48" i="64"/>
  <c r="I61" i="64" s="1"/>
  <c r="G48" i="64"/>
  <c r="C6" i="67"/>
  <c r="D6" i="67"/>
  <c r="C7" i="67"/>
  <c r="D7" i="67"/>
  <c r="C8" i="67"/>
  <c r="D8" i="67"/>
  <c r="C9" i="67"/>
  <c r="D9" i="67"/>
  <c r="C10" i="67"/>
  <c r="D10" i="67"/>
  <c r="C11" i="67"/>
  <c r="D11" i="67"/>
  <c r="C12" i="67"/>
  <c r="D12" i="67"/>
  <c r="C13" i="67"/>
  <c r="D13" i="67"/>
  <c r="C14" i="67"/>
  <c r="D14" i="67"/>
  <c r="C15" i="67"/>
  <c r="D15" i="67"/>
  <c r="C16" i="67"/>
  <c r="D16" i="67"/>
  <c r="C17" i="67"/>
  <c r="D17" i="67"/>
  <c r="D18" i="67"/>
  <c r="B2" i="66"/>
  <c r="F2" i="66"/>
  <c r="B3" i="66"/>
  <c r="F3" i="66"/>
  <c r="G3" i="66"/>
  <c r="B4" i="66"/>
  <c r="F4" i="66"/>
  <c r="G4" i="66" s="1"/>
  <c r="B5" i="66"/>
  <c r="F5" i="66"/>
  <c r="G5" i="66"/>
  <c r="B6" i="66"/>
  <c r="F6" i="66"/>
  <c r="G6" i="66" s="1"/>
  <c r="B7" i="66"/>
  <c r="F7" i="66"/>
  <c r="G7" i="66"/>
  <c r="B8" i="66"/>
  <c r="F8" i="66"/>
  <c r="G8" i="66" s="1"/>
  <c r="B9" i="66"/>
  <c r="F9" i="66"/>
  <c r="G9" i="66"/>
  <c r="B10" i="66"/>
  <c r="F10" i="66"/>
  <c r="G10" i="66" s="1"/>
  <c r="B11" i="66"/>
  <c r="F11" i="66"/>
  <c r="G11" i="66"/>
  <c r="B12" i="66"/>
  <c r="F12" i="66"/>
  <c r="G12" i="66" s="1"/>
  <c r="B13" i="66"/>
  <c r="F13" i="66"/>
  <c r="G13" i="66"/>
  <c r="B14" i="66"/>
  <c r="F14" i="66"/>
  <c r="G14" i="66" s="1"/>
  <c r="B15" i="66"/>
  <c r="F15" i="66"/>
  <c r="G15" i="66"/>
  <c r="B16" i="66"/>
  <c r="F16" i="66"/>
  <c r="G16" i="66" s="1"/>
  <c r="B17" i="66"/>
  <c r="F17" i="66"/>
  <c r="G17" i="66"/>
  <c r="B18" i="66"/>
  <c r="F18" i="66"/>
  <c r="G18" i="66"/>
  <c r="B19" i="66"/>
  <c r="F19" i="66"/>
  <c r="G19" i="66"/>
  <c r="B20" i="66"/>
  <c r="F20" i="66"/>
  <c r="G20" i="66" s="1"/>
  <c r="B21" i="66"/>
  <c r="F21" i="66"/>
  <c r="G21" i="66"/>
  <c r="B22" i="66"/>
  <c r="F22" i="66"/>
  <c r="G22" i="66"/>
  <c r="B23" i="66"/>
  <c r="F23" i="66"/>
  <c r="G23" i="66"/>
  <c r="B24" i="66"/>
  <c r="F24" i="66"/>
  <c r="G24" i="66" s="1"/>
  <c r="B25" i="66"/>
  <c r="F25" i="66"/>
  <c r="G25" i="66"/>
  <c r="B26" i="66"/>
  <c r="F26" i="66"/>
  <c r="G26" i="66"/>
  <c r="B27" i="66"/>
  <c r="F27" i="66"/>
  <c r="G27" i="66"/>
  <c r="B28" i="66"/>
  <c r="F28" i="66"/>
  <c r="B29" i="66"/>
  <c r="F29" i="66"/>
  <c r="B30" i="66"/>
  <c r="F30" i="66"/>
  <c r="B31" i="66"/>
  <c r="F31" i="66"/>
  <c r="B32" i="66"/>
  <c r="F32" i="66"/>
  <c r="B33" i="66"/>
  <c r="F33" i="66"/>
  <c r="B34" i="66"/>
  <c r="F34" i="66"/>
  <c r="B35" i="66"/>
  <c r="F35" i="66"/>
  <c r="B36" i="66"/>
  <c r="F36" i="66"/>
  <c r="B37" i="66"/>
  <c r="F37" i="66"/>
  <c r="B38" i="66"/>
  <c r="F38" i="66"/>
  <c r="B39" i="66"/>
  <c r="F39" i="66"/>
  <c r="D17" i="65"/>
  <c r="O19" i="64"/>
  <c r="O20" i="64"/>
  <c r="O21" i="64"/>
  <c r="O22" i="64"/>
  <c r="O23" i="64"/>
  <c r="O24" i="64"/>
  <c r="O25" i="64"/>
  <c r="O26" i="64"/>
  <c r="O27" i="64"/>
  <c r="O28" i="64"/>
  <c r="O29" i="64"/>
  <c r="O30" i="64"/>
  <c r="O31" i="64"/>
  <c r="O32" i="64"/>
  <c r="O33" i="64"/>
  <c r="O34" i="64"/>
  <c r="O35" i="64"/>
  <c r="O36" i="64"/>
  <c r="O37" i="64"/>
  <c r="O38" i="64"/>
  <c r="O39" i="64"/>
  <c r="C40" i="64"/>
  <c r="D40" i="64"/>
  <c r="E40" i="64"/>
  <c r="F40" i="64"/>
  <c r="G40" i="64"/>
  <c r="H40" i="64"/>
  <c r="I40" i="64"/>
  <c r="J40" i="64"/>
  <c r="K40" i="64"/>
  <c r="L40" i="64"/>
  <c r="M40" i="64"/>
  <c r="N40" i="64"/>
  <c r="O40" i="64"/>
  <c r="C18" i="67" l="1"/>
  <c r="R80" i="64"/>
  <c r="C93" i="64"/>
  <c r="C63" i="64"/>
  <c r="G50" i="64"/>
  <c r="Q50" i="64"/>
  <c r="Q49" i="64"/>
  <c r="R49" i="64" s="1"/>
  <c r="C94" i="64" l="1"/>
  <c r="Q81" i="64"/>
  <c r="Q51" i="64"/>
  <c r="G51" i="64"/>
  <c r="C64" i="64"/>
  <c r="R50" i="64"/>
  <c r="R81" i="64" l="1"/>
  <c r="C95" i="64"/>
  <c r="Q82" i="64"/>
  <c r="R82" i="64" s="1"/>
  <c r="G82" i="64"/>
  <c r="R51" i="64"/>
  <c r="Q52" i="64"/>
  <c r="G52" i="64"/>
  <c r="C65" i="64"/>
  <c r="C96" i="64" l="1"/>
  <c r="Q83" i="64"/>
  <c r="G83" i="64"/>
  <c r="R52" i="64"/>
  <c r="G53" i="64"/>
  <c r="C66" i="64"/>
  <c r="Q53" i="64"/>
  <c r="G84" i="64" l="1"/>
  <c r="C97" i="64"/>
  <c r="Q84" i="64"/>
  <c r="R83" i="64"/>
  <c r="R53" i="64"/>
  <c r="C67" i="64"/>
  <c r="Q54" i="64"/>
  <c r="G54" i="64"/>
  <c r="R84" i="64" l="1"/>
  <c r="C98" i="64"/>
  <c r="Q85" i="64"/>
  <c r="R85" i="64" s="1"/>
  <c r="G85" i="64"/>
  <c r="R54" i="64"/>
  <c r="G55" i="64"/>
  <c r="C68" i="64"/>
  <c r="Q55" i="64"/>
  <c r="R55" i="64" s="1"/>
  <c r="C99" i="64" l="1"/>
  <c r="Q86" i="64"/>
  <c r="R86" i="64" s="1"/>
  <c r="G86" i="64"/>
  <c r="G56" i="64"/>
  <c r="C69" i="64"/>
  <c r="Q56" i="64"/>
  <c r="R56" i="64" s="1"/>
  <c r="G87" i="64" l="1"/>
  <c r="C100" i="64"/>
  <c r="Q87" i="64"/>
  <c r="R87" i="64" s="1"/>
  <c r="G57" i="64"/>
  <c r="C70" i="64"/>
  <c r="Q57" i="64"/>
  <c r="R57" i="64" s="1"/>
  <c r="G88" i="64" l="1"/>
  <c r="Q88" i="64"/>
  <c r="R88" i="64" s="1"/>
  <c r="C101" i="64"/>
  <c r="C71" i="64"/>
  <c r="Q58" i="64"/>
  <c r="R58" i="64" s="1"/>
  <c r="G58" i="64"/>
  <c r="C102" i="64" l="1"/>
  <c r="Q89" i="64"/>
  <c r="G89" i="64"/>
  <c r="Q59" i="64"/>
  <c r="G59" i="64"/>
  <c r="G61" i="64" s="1"/>
  <c r="R89" i="64" l="1"/>
  <c r="G90" i="64"/>
  <c r="G92" i="64" s="1"/>
  <c r="Q90" i="64"/>
  <c r="R59" i="64"/>
  <c r="R61" i="64" s="1"/>
  <c r="Q61" i="64"/>
  <c r="R90" i="64" l="1"/>
  <c r="R92" i="64" s="1"/>
  <c r="Q92" i="64"/>
  <c r="D201" i="61" l="1"/>
  <c r="D185" i="61"/>
  <c r="D168" i="61"/>
  <c r="D152" i="61"/>
  <c r="D134" i="61"/>
  <c r="D118" i="61"/>
  <c r="D105" i="61"/>
  <c r="D94" i="61"/>
  <c r="D78" i="61"/>
  <c r="D62" i="61"/>
  <c r="D40" i="61"/>
  <c r="C91" i="60"/>
  <c r="C92" i="60" s="1"/>
  <c r="O89" i="60"/>
  <c r="M89" i="60"/>
  <c r="K89" i="60"/>
  <c r="I89" i="60"/>
  <c r="O88" i="60"/>
  <c r="M88" i="60"/>
  <c r="K88" i="60"/>
  <c r="I88" i="60"/>
  <c r="O87" i="60"/>
  <c r="M87" i="60"/>
  <c r="K87" i="60"/>
  <c r="I87" i="60"/>
  <c r="O86" i="60"/>
  <c r="M86" i="60"/>
  <c r="K86" i="60"/>
  <c r="I86" i="60"/>
  <c r="O85" i="60"/>
  <c r="M85" i="60"/>
  <c r="K85" i="60"/>
  <c r="I85" i="60"/>
  <c r="O84" i="60"/>
  <c r="M84" i="60"/>
  <c r="K84" i="60"/>
  <c r="I84" i="60"/>
  <c r="O83" i="60"/>
  <c r="M83" i="60"/>
  <c r="K83" i="60"/>
  <c r="I83" i="60"/>
  <c r="O82" i="60"/>
  <c r="M82" i="60"/>
  <c r="K82" i="60"/>
  <c r="I82" i="60"/>
  <c r="O81" i="60"/>
  <c r="M81" i="60"/>
  <c r="K81" i="60"/>
  <c r="I81" i="60"/>
  <c r="O80" i="60"/>
  <c r="M80" i="60"/>
  <c r="M91" i="60" s="1"/>
  <c r="K80" i="60"/>
  <c r="I80" i="60"/>
  <c r="Q79" i="60"/>
  <c r="O79" i="60"/>
  <c r="M79" i="60"/>
  <c r="K79" i="60"/>
  <c r="I79" i="60"/>
  <c r="Q78" i="60"/>
  <c r="O78" i="60"/>
  <c r="O91" i="60" s="1"/>
  <c r="M78" i="60"/>
  <c r="K78" i="60"/>
  <c r="K91" i="60" s="1"/>
  <c r="I78" i="60"/>
  <c r="I91" i="60" s="1"/>
  <c r="G78" i="60"/>
  <c r="C60" i="60"/>
  <c r="G48" i="60" s="1"/>
  <c r="O58" i="60"/>
  <c r="M58" i="60"/>
  <c r="K58" i="60"/>
  <c r="I58" i="60"/>
  <c r="O57" i="60"/>
  <c r="M57" i="60"/>
  <c r="K57" i="60"/>
  <c r="I57" i="60"/>
  <c r="O56" i="60"/>
  <c r="M56" i="60"/>
  <c r="K56" i="60"/>
  <c r="I56" i="60"/>
  <c r="O55" i="60"/>
  <c r="M55" i="60"/>
  <c r="K55" i="60"/>
  <c r="I55" i="60"/>
  <c r="O54" i="60"/>
  <c r="M54" i="60"/>
  <c r="K54" i="60"/>
  <c r="I54" i="60"/>
  <c r="O53" i="60"/>
  <c r="M53" i="60"/>
  <c r="K53" i="60"/>
  <c r="I53" i="60"/>
  <c r="O52" i="60"/>
  <c r="M52" i="60"/>
  <c r="K52" i="60"/>
  <c r="I52" i="60"/>
  <c r="O51" i="60"/>
  <c r="M51" i="60"/>
  <c r="O50" i="60"/>
  <c r="M50" i="60"/>
  <c r="K50" i="60"/>
  <c r="I50" i="60"/>
  <c r="O49" i="60"/>
  <c r="M49" i="60"/>
  <c r="K49" i="60"/>
  <c r="I49" i="60"/>
  <c r="Q48" i="60"/>
  <c r="O48" i="60"/>
  <c r="M48" i="60"/>
  <c r="M60" i="60" s="1"/>
  <c r="K48" i="60"/>
  <c r="I48" i="60"/>
  <c r="I60" i="60" s="1"/>
  <c r="Q47" i="60"/>
  <c r="O47" i="60"/>
  <c r="O60" i="60" s="1"/>
  <c r="M47" i="60"/>
  <c r="K47" i="60"/>
  <c r="K60" i="60" s="1"/>
  <c r="I47" i="60"/>
  <c r="G47" i="60"/>
  <c r="C6" i="63"/>
  <c r="D6" i="63"/>
  <c r="D18" i="63" s="1"/>
  <c r="C7" i="63"/>
  <c r="C18" i="63" s="1"/>
  <c r="D7" i="63"/>
  <c r="C8" i="63"/>
  <c r="D8" i="63"/>
  <c r="C9" i="63"/>
  <c r="D9" i="63"/>
  <c r="C10" i="63"/>
  <c r="D10" i="63"/>
  <c r="C11" i="63"/>
  <c r="D11" i="63"/>
  <c r="C12" i="63"/>
  <c r="D12" i="63"/>
  <c r="C13" i="63"/>
  <c r="D13" i="63"/>
  <c r="C14" i="63"/>
  <c r="D14" i="63"/>
  <c r="C15" i="63"/>
  <c r="D15" i="63"/>
  <c r="C16" i="63"/>
  <c r="D16" i="63"/>
  <c r="C17" i="63"/>
  <c r="D17" i="63"/>
  <c r="F78" i="62"/>
  <c r="G78" i="62" s="1"/>
  <c r="B78" i="62"/>
  <c r="F77" i="62"/>
  <c r="G77" i="62" s="1"/>
  <c r="B77" i="62"/>
  <c r="G76" i="62"/>
  <c r="F76" i="62"/>
  <c r="B76" i="62"/>
  <c r="F75" i="62"/>
  <c r="G75" i="62" s="1"/>
  <c r="B75" i="62"/>
  <c r="F74" i="62"/>
  <c r="G74" i="62" s="1"/>
  <c r="B74" i="62"/>
  <c r="F73" i="62"/>
  <c r="G73" i="62" s="1"/>
  <c r="B73" i="62"/>
  <c r="G72" i="62"/>
  <c r="F72" i="62"/>
  <c r="B72" i="62"/>
  <c r="F71" i="62"/>
  <c r="G71" i="62" s="1"/>
  <c r="B71" i="62"/>
  <c r="F70" i="62"/>
  <c r="G70" i="62" s="1"/>
  <c r="B70" i="62"/>
  <c r="F69" i="62"/>
  <c r="G69" i="62" s="1"/>
  <c r="B69" i="62"/>
  <c r="G68" i="62"/>
  <c r="F68" i="62"/>
  <c r="B68" i="62"/>
  <c r="F67" i="62"/>
  <c r="G67" i="62" s="1"/>
  <c r="B67" i="62"/>
  <c r="F66" i="62"/>
  <c r="G66" i="62" s="1"/>
  <c r="B66" i="62"/>
  <c r="F65" i="62"/>
  <c r="G65" i="62" s="1"/>
  <c r="B65" i="62"/>
  <c r="G64" i="62"/>
  <c r="F64" i="62"/>
  <c r="B64" i="62"/>
  <c r="F63" i="62"/>
  <c r="G63" i="62" s="1"/>
  <c r="B63" i="62"/>
  <c r="F62" i="62"/>
  <c r="G62" i="62" s="1"/>
  <c r="B62" i="62"/>
  <c r="F61" i="62"/>
  <c r="G61" i="62" s="1"/>
  <c r="B61" i="62"/>
  <c r="G60" i="62"/>
  <c r="F60" i="62"/>
  <c r="B60" i="62"/>
  <c r="F59" i="62"/>
  <c r="G59" i="62" s="1"/>
  <c r="B59" i="62"/>
  <c r="F58" i="62"/>
  <c r="G58" i="62" s="1"/>
  <c r="B58" i="62"/>
  <c r="F57" i="62"/>
  <c r="G57" i="62" s="1"/>
  <c r="B57" i="62"/>
  <c r="G56" i="62"/>
  <c r="F56" i="62"/>
  <c r="B56" i="62"/>
  <c r="F55" i="62"/>
  <c r="G55" i="62" s="1"/>
  <c r="B55" i="62"/>
  <c r="F54" i="62"/>
  <c r="G54" i="62" s="1"/>
  <c r="B54" i="62"/>
  <c r="F53" i="62"/>
  <c r="G53" i="62" s="1"/>
  <c r="B53" i="62"/>
  <c r="G52" i="62"/>
  <c r="F52" i="62"/>
  <c r="B52" i="62"/>
  <c r="F51" i="62"/>
  <c r="G51" i="62" s="1"/>
  <c r="B51" i="62"/>
  <c r="F50" i="62"/>
  <c r="G50" i="62" s="1"/>
  <c r="B50" i="62"/>
  <c r="F49" i="62"/>
  <c r="G49" i="62" s="1"/>
  <c r="B49" i="62"/>
  <c r="G48" i="62"/>
  <c r="F48" i="62"/>
  <c r="B48" i="62"/>
  <c r="F47" i="62"/>
  <c r="G47" i="62" s="1"/>
  <c r="B47" i="62"/>
  <c r="F46" i="62"/>
  <c r="G46" i="62" s="1"/>
  <c r="B46" i="62"/>
  <c r="F45" i="62"/>
  <c r="G45" i="62" s="1"/>
  <c r="B45" i="62"/>
  <c r="G44" i="62"/>
  <c r="F44" i="62"/>
  <c r="B44" i="62"/>
  <c r="F43" i="62"/>
  <c r="G43" i="62" s="1"/>
  <c r="B43" i="62"/>
  <c r="B3" i="62"/>
  <c r="F3" i="62"/>
  <c r="G3" i="62"/>
  <c r="B4" i="62"/>
  <c r="F4" i="62"/>
  <c r="G4" i="62" s="1"/>
  <c r="B5" i="62"/>
  <c r="F5" i="62"/>
  <c r="G5" i="62"/>
  <c r="B6" i="62"/>
  <c r="F6" i="62"/>
  <c r="G6" i="62" s="1"/>
  <c r="B7" i="62"/>
  <c r="F7" i="62"/>
  <c r="G7" i="62"/>
  <c r="B8" i="62"/>
  <c r="F8" i="62"/>
  <c r="G8" i="62"/>
  <c r="B9" i="62"/>
  <c r="F9" i="62"/>
  <c r="G9" i="62"/>
  <c r="B10" i="62"/>
  <c r="F10" i="62"/>
  <c r="G10" i="62" s="1"/>
  <c r="B11" i="62"/>
  <c r="F11" i="62"/>
  <c r="G11" i="62"/>
  <c r="B12" i="62"/>
  <c r="F12" i="62"/>
  <c r="G12" i="62"/>
  <c r="B13" i="62"/>
  <c r="F13" i="62"/>
  <c r="G13" i="62"/>
  <c r="B14" i="62"/>
  <c r="F14" i="62"/>
  <c r="G14" i="62" s="1"/>
  <c r="B15" i="62"/>
  <c r="F15" i="62"/>
  <c r="G15" i="62"/>
  <c r="B16" i="62"/>
  <c r="F16" i="62"/>
  <c r="G16" i="62"/>
  <c r="B17" i="62"/>
  <c r="F17" i="62"/>
  <c r="G17" i="62"/>
  <c r="B18" i="62"/>
  <c r="F18" i="62"/>
  <c r="G18" i="62" s="1"/>
  <c r="B19" i="62"/>
  <c r="F19" i="62"/>
  <c r="G19" i="62"/>
  <c r="B20" i="62"/>
  <c r="F20" i="62"/>
  <c r="G20" i="62"/>
  <c r="B21" i="62"/>
  <c r="F21" i="62"/>
  <c r="G21" i="62"/>
  <c r="B22" i="62"/>
  <c r="F22" i="62"/>
  <c r="G22" i="62" s="1"/>
  <c r="B23" i="62"/>
  <c r="F23" i="62"/>
  <c r="G23" i="62"/>
  <c r="B24" i="62"/>
  <c r="F24" i="62"/>
  <c r="G24" i="62"/>
  <c r="B25" i="62"/>
  <c r="F25" i="62"/>
  <c r="G25" i="62"/>
  <c r="B26" i="62"/>
  <c r="F26" i="62"/>
  <c r="G26" i="62" s="1"/>
  <c r="B27" i="62"/>
  <c r="F27" i="62"/>
  <c r="G27" i="62"/>
  <c r="B28" i="62"/>
  <c r="F28" i="62"/>
  <c r="G28" i="62"/>
  <c r="B29" i="62"/>
  <c r="F29" i="62"/>
  <c r="G29" i="62"/>
  <c r="B30" i="62"/>
  <c r="F30" i="62"/>
  <c r="G30" i="62" s="1"/>
  <c r="B31" i="62"/>
  <c r="F31" i="62"/>
  <c r="G31" i="62"/>
  <c r="B32" i="62"/>
  <c r="F32" i="62"/>
  <c r="G32" i="62"/>
  <c r="B33" i="62"/>
  <c r="F33" i="62"/>
  <c r="G33" i="62"/>
  <c r="B34" i="62"/>
  <c r="F34" i="62"/>
  <c r="G34" i="62" s="1"/>
  <c r="B35" i="62"/>
  <c r="F35" i="62"/>
  <c r="G35" i="62"/>
  <c r="B36" i="62"/>
  <c r="F36" i="62"/>
  <c r="G36" i="62"/>
  <c r="B37" i="62"/>
  <c r="F37" i="62"/>
  <c r="G37" i="62"/>
  <c r="B38" i="62"/>
  <c r="F38" i="62"/>
  <c r="G38" i="62" s="1"/>
  <c r="D23" i="61"/>
  <c r="O19" i="60"/>
  <c r="O20" i="60"/>
  <c r="O21" i="60"/>
  <c r="O22" i="60"/>
  <c r="O23" i="60"/>
  <c r="O24" i="60"/>
  <c r="O25" i="60"/>
  <c r="O26" i="60"/>
  <c r="O27" i="60"/>
  <c r="O28" i="60"/>
  <c r="O29" i="60"/>
  <c r="O30" i="60"/>
  <c r="O31" i="60"/>
  <c r="O32" i="60"/>
  <c r="O33" i="60"/>
  <c r="O34" i="60"/>
  <c r="O35" i="60"/>
  <c r="O36" i="60"/>
  <c r="O37" i="60"/>
  <c r="O38" i="60"/>
  <c r="C39" i="60"/>
  <c r="D39" i="60"/>
  <c r="E39" i="60"/>
  <c r="F39" i="60"/>
  <c r="G39" i="60"/>
  <c r="H39" i="60"/>
  <c r="I39" i="60"/>
  <c r="J39" i="60"/>
  <c r="K39" i="60"/>
  <c r="L39" i="60"/>
  <c r="M39" i="60"/>
  <c r="N39" i="60"/>
  <c r="O39" i="60"/>
  <c r="R79" i="60" l="1"/>
  <c r="C93" i="60"/>
  <c r="Q80" i="60"/>
  <c r="R80" i="60" s="1"/>
  <c r="G80" i="60"/>
  <c r="R78" i="60"/>
  <c r="G79" i="60"/>
  <c r="R48" i="60"/>
  <c r="C61" i="60"/>
  <c r="R47" i="60"/>
  <c r="G81" i="60" l="1"/>
  <c r="C94" i="60"/>
  <c r="Q81" i="60"/>
  <c r="C62" i="60"/>
  <c r="Q49" i="60"/>
  <c r="G49" i="60"/>
  <c r="R81" i="60" l="1"/>
  <c r="G82" i="60"/>
  <c r="C95" i="60"/>
  <c r="Q82" i="60"/>
  <c r="R49" i="60"/>
  <c r="Q50" i="60"/>
  <c r="G50" i="60"/>
  <c r="C63" i="60"/>
  <c r="R82" i="60" l="1"/>
  <c r="C96" i="60"/>
  <c r="Q83" i="60"/>
  <c r="G83" i="60"/>
  <c r="R50" i="60"/>
  <c r="Q51" i="60"/>
  <c r="C64" i="60"/>
  <c r="G51" i="60"/>
  <c r="R83" i="60" l="1"/>
  <c r="C97" i="60"/>
  <c r="Q84" i="60"/>
  <c r="G84" i="60"/>
  <c r="R51" i="60"/>
  <c r="Q52" i="60"/>
  <c r="R52" i="60" s="1"/>
  <c r="C65" i="60"/>
  <c r="G52" i="60"/>
  <c r="G85" i="60" l="1"/>
  <c r="C98" i="60"/>
  <c r="Q85" i="60"/>
  <c r="R85" i="60" s="1"/>
  <c r="R84" i="60"/>
  <c r="C66" i="60"/>
  <c r="Q53" i="60"/>
  <c r="G53" i="60"/>
  <c r="G86" i="60" l="1"/>
  <c r="C99" i="60"/>
  <c r="Q86" i="60"/>
  <c r="R86" i="60" s="1"/>
  <c r="G54" i="60"/>
  <c r="C67" i="60"/>
  <c r="Q54" i="60"/>
  <c r="R54" i="60" s="1"/>
  <c r="R53" i="60"/>
  <c r="C100" i="60" l="1"/>
  <c r="Q87" i="60"/>
  <c r="R87" i="60" s="1"/>
  <c r="G87" i="60"/>
  <c r="Q55" i="60"/>
  <c r="R55" i="60" s="1"/>
  <c r="G55" i="60"/>
  <c r="C68" i="60"/>
  <c r="C101" i="60" l="1"/>
  <c r="Q88" i="60"/>
  <c r="G88" i="60"/>
  <c r="Q56" i="60"/>
  <c r="R56" i="60" s="1"/>
  <c r="C69" i="60"/>
  <c r="G56" i="60"/>
  <c r="R88" i="60" l="1"/>
  <c r="G89" i="60"/>
  <c r="G91" i="60" s="1"/>
  <c r="Q89" i="60"/>
  <c r="C70" i="60"/>
  <c r="Q57" i="60"/>
  <c r="R57" i="60" s="1"/>
  <c r="G57" i="60"/>
  <c r="R89" i="60" l="1"/>
  <c r="R91" i="60" s="1"/>
  <c r="Q91" i="60"/>
  <c r="G58" i="60"/>
  <c r="G60" i="60" s="1"/>
  <c r="Q58" i="60"/>
  <c r="R58" i="60" l="1"/>
  <c r="R60" i="60" s="1"/>
  <c r="Q60" i="60"/>
  <c r="G80" i="58" l="1"/>
  <c r="F80" i="58"/>
  <c r="B80" i="58"/>
  <c r="G79" i="58"/>
  <c r="F79" i="58"/>
  <c r="B79" i="58"/>
  <c r="F78" i="58"/>
  <c r="G78" i="58" s="1"/>
  <c r="B78" i="58"/>
  <c r="F77" i="58"/>
  <c r="G77" i="58" s="1"/>
  <c r="B77" i="58"/>
  <c r="F76" i="58"/>
  <c r="G76" i="58" s="1"/>
  <c r="B76" i="58"/>
  <c r="F75" i="58"/>
  <c r="G75" i="58" s="1"/>
  <c r="B75" i="58"/>
  <c r="F74" i="58"/>
  <c r="G74" i="58" s="1"/>
  <c r="B74" i="58"/>
  <c r="F73" i="58"/>
  <c r="G73" i="58" s="1"/>
  <c r="B73" i="58"/>
  <c r="G72" i="58"/>
  <c r="F72" i="58"/>
  <c r="B72" i="58"/>
  <c r="G71" i="58"/>
  <c r="F71" i="58"/>
  <c r="B71" i="58"/>
  <c r="F70" i="58"/>
  <c r="G70" i="58" s="1"/>
  <c r="B70" i="58"/>
  <c r="F69" i="58"/>
  <c r="G69" i="58" s="1"/>
  <c r="B69" i="58"/>
  <c r="F68" i="58"/>
  <c r="G68" i="58" s="1"/>
  <c r="B68" i="58"/>
  <c r="F67" i="58"/>
  <c r="G67" i="58" s="1"/>
  <c r="B67" i="58"/>
  <c r="F66" i="58"/>
  <c r="G66" i="58" s="1"/>
  <c r="B66" i="58"/>
  <c r="F65" i="58"/>
  <c r="G65" i="58" s="1"/>
  <c r="B65" i="58"/>
  <c r="G64" i="58"/>
  <c r="F64" i="58"/>
  <c r="B64" i="58"/>
  <c r="G63" i="58"/>
  <c r="F63" i="58"/>
  <c r="B63" i="58"/>
  <c r="F62" i="58"/>
  <c r="G62" i="58" s="1"/>
  <c r="B62" i="58"/>
  <c r="F61" i="58"/>
  <c r="G61" i="58" s="1"/>
  <c r="F60" i="58"/>
  <c r="G60" i="58" s="1"/>
  <c r="B60" i="58"/>
  <c r="F59" i="58"/>
  <c r="G59" i="58" s="1"/>
  <c r="B59" i="58"/>
  <c r="F58" i="58"/>
  <c r="G58" i="58" s="1"/>
  <c r="B58" i="58"/>
  <c r="G57" i="58"/>
  <c r="F57" i="58"/>
  <c r="F56" i="58"/>
  <c r="G56" i="58" s="1"/>
  <c r="G55" i="58"/>
  <c r="F55" i="58"/>
  <c r="B55" i="58"/>
  <c r="F54" i="58"/>
  <c r="G54" i="58" s="1"/>
  <c r="B54" i="58"/>
  <c r="F53" i="58"/>
  <c r="G53" i="58" s="1"/>
  <c r="B53" i="58"/>
  <c r="F52" i="58"/>
  <c r="G52" i="58" s="1"/>
  <c r="B52" i="58"/>
  <c r="F51" i="58"/>
  <c r="G51" i="58" s="1"/>
  <c r="B51" i="58"/>
  <c r="G50" i="58"/>
  <c r="F50" i="58"/>
  <c r="B50" i="58"/>
  <c r="F49" i="58"/>
  <c r="G49" i="58" s="1"/>
  <c r="B49" i="58"/>
  <c r="F48" i="58"/>
  <c r="G48" i="58" s="1"/>
  <c r="B48" i="58"/>
  <c r="G47" i="58"/>
  <c r="F47" i="58"/>
  <c r="B47" i="58"/>
  <c r="F46" i="58"/>
  <c r="G46" i="58" s="1"/>
  <c r="B46" i="58"/>
  <c r="F45" i="58"/>
  <c r="G45" i="58" s="1"/>
  <c r="B45" i="58"/>
  <c r="F44" i="58"/>
  <c r="G44" i="58" s="1"/>
  <c r="B44" i="58"/>
  <c r="D193" i="57"/>
  <c r="D177" i="57"/>
  <c r="D160" i="57"/>
  <c r="D144" i="57"/>
  <c r="D126" i="57"/>
  <c r="D110" i="57"/>
  <c r="D97" i="57"/>
  <c r="D86" i="57"/>
  <c r="D72" i="57"/>
  <c r="D54" i="57"/>
  <c r="D33" i="57"/>
  <c r="C91" i="56"/>
  <c r="C92" i="56" s="1"/>
  <c r="O89" i="56"/>
  <c r="M89" i="56"/>
  <c r="K89" i="56"/>
  <c r="I89" i="56"/>
  <c r="O88" i="56"/>
  <c r="M88" i="56"/>
  <c r="K88" i="56"/>
  <c r="I88" i="56"/>
  <c r="O87" i="56"/>
  <c r="M87" i="56"/>
  <c r="K87" i="56"/>
  <c r="I87" i="56"/>
  <c r="O86" i="56"/>
  <c r="M86" i="56"/>
  <c r="K86" i="56"/>
  <c r="I86" i="56"/>
  <c r="O85" i="56"/>
  <c r="M85" i="56"/>
  <c r="K85" i="56"/>
  <c r="I85" i="56"/>
  <c r="O84" i="56"/>
  <c r="M84" i="56"/>
  <c r="K84" i="56"/>
  <c r="I84" i="56"/>
  <c r="O83" i="56"/>
  <c r="M83" i="56"/>
  <c r="K83" i="56"/>
  <c r="I83" i="56"/>
  <c r="O82" i="56"/>
  <c r="M82" i="56"/>
  <c r="K82" i="56"/>
  <c r="I82" i="56"/>
  <c r="O81" i="56"/>
  <c r="M81" i="56"/>
  <c r="K81" i="56"/>
  <c r="K91" i="56" s="1"/>
  <c r="O80" i="56"/>
  <c r="M80" i="56"/>
  <c r="K80" i="56"/>
  <c r="I80" i="56"/>
  <c r="Q79" i="56"/>
  <c r="R79" i="56" s="1"/>
  <c r="O79" i="56"/>
  <c r="M79" i="56"/>
  <c r="K79" i="56"/>
  <c r="I79" i="56"/>
  <c r="G79" i="56"/>
  <c r="Q78" i="56"/>
  <c r="O78" i="56"/>
  <c r="O91" i="56" s="1"/>
  <c r="M78" i="56"/>
  <c r="M91" i="56" s="1"/>
  <c r="K78" i="56"/>
  <c r="I78" i="56"/>
  <c r="G78" i="56"/>
  <c r="C60" i="56"/>
  <c r="C61" i="56" s="1"/>
  <c r="O58" i="56"/>
  <c r="M58" i="56"/>
  <c r="K58" i="56"/>
  <c r="I58" i="56"/>
  <c r="O57" i="56"/>
  <c r="M57" i="56"/>
  <c r="K57" i="56"/>
  <c r="I57" i="56"/>
  <c r="O56" i="56"/>
  <c r="M56" i="56"/>
  <c r="K56" i="56"/>
  <c r="I56" i="56"/>
  <c r="O55" i="56"/>
  <c r="M55" i="56"/>
  <c r="K55" i="56"/>
  <c r="I55" i="56"/>
  <c r="O54" i="56"/>
  <c r="M54" i="56"/>
  <c r="K54" i="56"/>
  <c r="I54" i="56"/>
  <c r="O53" i="56"/>
  <c r="M53" i="56"/>
  <c r="K53" i="56"/>
  <c r="I53" i="56"/>
  <c r="O52" i="56"/>
  <c r="M52" i="56"/>
  <c r="K52" i="56"/>
  <c r="I52" i="56"/>
  <c r="O51" i="56"/>
  <c r="M51" i="56"/>
  <c r="O50" i="56"/>
  <c r="M50" i="56"/>
  <c r="K50" i="56"/>
  <c r="I50" i="56"/>
  <c r="O49" i="56"/>
  <c r="M49" i="56"/>
  <c r="K49" i="56"/>
  <c r="I49" i="56"/>
  <c r="Q48" i="56"/>
  <c r="O48" i="56"/>
  <c r="M48" i="56"/>
  <c r="K48" i="56"/>
  <c r="K60" i="56" s="1"/>
  <c r="I48" i="56"/>
  <c r="G48" i="56"/>
  <c r="Q47" i="56"/>
  <c r="R47" i="56" s="1"/>
  <c r="O47" i="56"/>
  <c r="O60" i="56" s="1"/>
  <c r="M47" i="56"/>
  <c r="M60" i="56" s="1"/>
  <c r="K47" i="56"/>
  <c r="I47" i="56"/>
  <c r="I60" i="56" s="1"/>
  <c r="G47" i="56"/>
  <c r="C6" i="59"/>
  <c r="D6" i="59"/>
  <c r="C7" i="59"/>
  <c r="C18" i="59" s="1"/>
  <c r="D7" i="59"/>
  <c r="D18" i="59" s="1"/>
  <c r="C8" i="59"/>
  <c r="D8" i="59"/>
  <c r="C9" i="59"/>
  <c r="D9" i="59"/>
  <c r="C10" i="59"/>
  <c r="D10" i="59"/>
  <c r="C11" i="59"/>
  <c r="D11" i="59"/>
  <c r="C12" i="59"/>
  <c r="D12" i="59"/>
  <c r="C13" i="59"/>
  <c r="D13" i="59"/>
  <c r="C14" i="59"/>
  <c r="D14" i="59"/>
  <c r="C15" i="59"/>
  <c r="D15" i="59"/>
  <c r="C16" i="59"/>
  <c r="D16" i="59"/>
  <c r="C17" i="59"/>
  <c r="D17" i="59"/>
  <c r="B3" i="58"/>
  <c r="F3" i="58"/>
  <c r="G3" i="58" s="1"/>
  <c r="B4" i="58"/>
  <c r="F4" i="58"/>
  <c r="G4" i="58" s="1"/>
  <c r="B5" i="58"/>
  <c r="F5" i="58"/>
  <c r="G5" i="58"/>
  <c r="B6" i="58"/>
  <c r="F6" i="58"/>
  <c r="G6" i="58" s="1"/>
  <c r="B7" i="58"/>
  <c r="F7" i="58"/>
  <c r="G7" i="58"/>
  <c r="B8" i="58"/>
  <c r="F8" i="58"/>
  <c r="G8" i="58" s="1"/>
  <c r="B9" i="58"/>
  <c r="F9" i="58"/>
  <c r="G9" i="58"/>
  <c r="B10" i="58"/>
  <c r="F10" i="58"/>
  <c r="G10" i="58" s="1"/>
  <c r="B11" i="58"/>
  <c r="F11" i="58"/>
  <c r="G11" i="58" s="1"/>
  <c r="B12" i="58"/>
  <c r="F12" i="58"/>
  <c r="G12" i="58" s="1"/>
  <c r="B13" i="58"/>
  <c r="F13" i="58"/>
  <c r="G13" i="58" s="1"/>
  <c r="B14" i="58"/>
  <c r="F14" i="58"/>
  <c r="G14" i="58" s="1"/>
  <c r="F15" i="58"/>
  <c r="G15" i="58" s="1"/>
  <c r="F16" i="58"/>
  <c r="G16" i="58" s="1"/>
  <c r="B17" i="58"/>
  <c r="F17" i="58"/>
  <c r="G17" i="58" s="1"/>
  <c r="B18" i="58"/>
  <c r="F18" i="58"/>
  <c r="G18" i="58" s="1"/>
  <c r="B19" i="58"/>
  <c r="F19" i="58"/>
  <c r="G19" i="58"/>
  <c r="F20" i="58"/>
  <c r="G20" i="58"/>
  <c r="B21" i="58"/>
  <c r="F21" i="58"/>
  <c r="G21" i="58" s="1"/>
  <c r="B22" i="58"/>
  <c r="F22" i="58"/>
  <c r="G22" i="58" s="1"/>
  <c r="B23" i="58"/>
  <c r="F23" i="58"/>
  <c r="G23" i="58" s="1"/>
  <c r="B24" i="58"/>
  <c r="F24" i="58"/>
  <c r="G24" i="58"/>
  <c r="B25" i="58"/>
  <c r="F25" i="58"/>
  <c r="G25" i="58" s="1"/>
  <c r="B26" i="58"/>
  <c r="F26" i="58"/>
  <c r="G26" i="58"/>
  <c r="B27" i="58"/>
  <c r="F27" i="58"/>
  <c r="G27" i="58" s="1"/>
  <c r="B28" i="58"/>
  <c r="F28" i="58"/>
  <c r="G28" i="58"/>
  <c r="B29" i="58"/>
  <c r="F29" i="58"/>
  <c r="G29" i="58" s="1"/>
  <c r="B30" i="58"/>
  <c r="F30" i="58"/>
  <c r="G30" i="58" s="1"/>
  <c r="B31" i="58"/>
  <c r="F31" i="58"/>
  <c r="G31" i="58" s="1"/>
  <c r="B32" i="58"/>
  <c r="F32" i="58"/>
  <c r="G32" i="58"/>
  <c r="B33" i="58"/>
  <c r="F33" i="58"/>
  <c r="G33" i="58" s="1"/>
  <c r="B34" i="58"/>
  <c r="F34" i="58"/>
  <c r="G34" i="58"/>
  <c r="B35" i="58"/>
  <c r="F35" i="58"/>
  <c r="G35" i="58" s="1"/>
  <c r="B36" i="58"/>
  <c r="F36" i="58"/>
  <c r="G36" i="58"/>
  <c r="B37" i="58"/>
  <c r="F37" i="58"/>
  <c r="G37" i="58" s="1"/>
  <c r="B38" i="58"/>
  <c r="F38" i="58"/>
  <c r="G38" i="58" s="1"/>
  <c r="B39" i="58"/>
  <c r="F39" i="58"/>
  <c r="G39" i="58" s="1"/>
  <c r="D15" i="57"/>
  <c r="O19" i="56"/>
  <c r="O20" i="56"/>
  <c r="O21" i="56"/>
  <c r="O22" i="56"/>
  <c r="O23" i="56"/>
  <c r="O24" i="56"/>
  <c r="O25" i="56"/>
  <c r="O26" i="56"/>
  <c r="O27" i="56"/>
  <c r="O28" i="56"/>
  <c r="O29" i="56"/>
  <c r="O30" i="56"/>
  <c r="O31" i="56"/>
  <c r="O32" i="56"/>
  <c r="O33" i="56"/>
  <c r="O34" i="56"/>
  <c r="O35" i="56"/>
  <c r="O36" i="56"/>
  <c r="O37" i="56"/>
  <c r="O38" i="56"/>
  <c r="C39" i="56"/>
  <c r="D39" i="56"/>
  <c r="E39" i="56"/>
  <c r="F39" i="56"/>
  <c r="G39" i="56"/>
  <c r="H39" i="56"/>
  <c r="I39" i="56"/>
  <c r="J39" i="56"/>
  <c r="K39" i="56"/>
  <c r="L39" i="56"/>
  <c r="M39" i="56"/>
  <c r="N39" i="56"/>
  <c r="O39" i="56"/>
  <c r="C93" i="56" l="1"/>
  <c r="Q80" i="56"/>
  <c r="G80" i="56"/>
  <c r="R78" i="56"/>
  <c r="C62" i="56"/>
  <c r="Q49" i="56"/>
  <c r="G49" i="56"/>
  <c r="R48" i="56"/>
  <c r="G81" i="56" l="1"/>
  <c r="C94" i="56"/>
  <c r="Q81" i="56"/>
  <c r="I81" i="56"/>
  <c r="I91" i="56" s="1"/>
  <c r="R80" i="56"/>
  <c r="R49" i="56"/>
  <c r="Q50" i="56"/>
  <c r="G50" i="56"/>
  <c r="C63" i="56"/>
  <c r="Q82" i="56" l="1"/>
  <c r="C95" i="56"/>
  <c r="R81" i="56"/>
  <c r="R50" i="56"/>
  <c r="Q51" i="56"/>
  <c r="R51" i="56" s="1"/>
  <c r="G51" i="56"/>
  <c r="C64" i="56"/>
  <c r="C96" i="56" l="1"/>
  <c r="Q83" i="56"/>
  <c r="R83" i="56" s="1"/>
  <c r="G83" i="56"/>
  <c r="R82" i="56"/>
  <c r="C65" i="56"/>
  <c r="Q52" i="56"/>
  <c r="G52" i="56"/>
  <c r="C97" i="56" l="1"/>
  <c r="G84" i="56"/>
  <c r="Q84" i="56"/>
  <c r="R84" i="56" s="1"/>
  <c r="R52" i="56"/>
  <c r="C66" i="56"/>
  <c r="Q53" i="56"/>
  <c r="R53" i="56" s="1"/>
  <c r="G53" i="56"/>
  <c r="G85" i="56" l="1"/>
  <c r="C98" i="56"/>
  <c r="Q85" i="56"/>
  <c r="G54" i="56"/>
  <c r="C67" i="56"/>
  <c r="Q54" i="56"/>
  <c r="R54" i="56" s="1"/>
  <c r="R85" i="56" l="1"/>
  <c r="Q86" i="56"/>
  <c r="G86" i="56"/>
  <c r="C99" i="56"/>
  <c r="Q55" i="56"/>
  <c r="C68" i="56"/>
  <c r="G55" i="56"/>
  <c r="C100" i="56" l="1"/>
  <c r="Q87" i="56"/>
  <c r="G87" i="56"/>
  <c r="R86" i="56"/>
  <c r="G56" i="56"/>
  <c r="C69" i="56"/>
  <c r="Q56" i="56"/>
  <c r="R55" i="56"/>
  <c r="R87" i="56" l="1"/>
  <c r="C101" i="56"/>
  <c r="Q88" i="56"/>
  <c r="G88" i="56"/>
  <c r="R56" i="56"/>
  <c r="C70" i="56"/>
  <c r="G57" i="56"/>
  <c r="Q57" i="56"/>
  <c r="R88" i="56" l="1"/>
  <c r="G89" i="56"/>
  <c r="G91" i="56" s="1"/>
  <c r="Q89" i="56"/>
  <c r="R57" i="56"/>
  <c r="G58" i="56"/>
  <c r="G60" i="56" s="1"/>
  <c r="Q58" i="56"/>
  <c r="R89" i="56" l="1"/>
  <c r="R91" i="56" s="1"/>
  <c r="Q91" i="56"/>
  <c r="R58" i="56"/>
  <c r="R60" i="56" s="1"/>
  <c r="Q60" i="56"/>
  <c r="D181" i="53" l="1"/>
  <c r="D165" i="53"/>
  <c r="D148" i="53"/>
  <c r="D132" i="53"/>
  <c r="D114" i="53"/>
  <c r="D98" i="53"/>
  <c r="D85" i="53"/>
  <c r="D74" i="53"/>
  <c r="D59" i="53"/>
  <c r="D43" i="53"/>
  <c r="D28" i="53"/>
  <c r="F78" i="54"/>
  <c r="B78" i="54"/>
  <c r="F77" i="54"/>
  <c r="B77" i="54"/>
  <c r="F76" i="54"/>
  <c r="B76" i="54"/>
  <c r="F75" i="54"/>
  <c r="B75" i="54"/>
  <c r="F74" i="54"/>
  <c r="B74" i="54"/>
  <c r="F73" i="54"/>
  <c r="B73" i="54"/>
  <c r="F72" i="54"/>
  <c r="B72" i="54"/>
  <c r="F71" i="54"/>
  <c r="B71" i="54"/>
  <c r="F70" i="54"/>
  <c r="B70" i="54"/>
  <c r="F69" i="54"/>
  <c r="B69" i="54"/>
  <c r="F68" i="54"/>
  <c r="B68" i="54"/>
  <c r="F67" i="54"/>
  <c r="B67" i="54"/>
  <c r="F66" i="54"/>
  <c r="B66" i="54"/>
  <c r="F65" i="54"/>
  <c r="B65" i="54"/>
  <c r="F64" i="54"/>
  <c r="B64" i="54"/>
  <c r="F63" i="54"/>
  <c r="B63" i="54"/>
  <c r="F62" i="54"/>
  <c r="B62" i="54"/>
  <c r="F61" i="54"/>
  <c r="B61" i="54"/>
  <c r="F60" i="54"/>
  <c r="B60" i="54"/>
  <c r="F59" i="54"/>
  <c r="B59" i="54"/>
  <c r="F58" i="54"/>
  <c r="B58" i="54"/>
  <c r="F57" i="54"/>
  <c r="B57" i="54"/>
  <c r="F56" i="54"/>
  <c r="B56" i="54"/>
  <c r="F55" i="54"/>
  <c r="B55" i="54"/>
  <c r="F54" i="54"/>
  <c r="B54" i="54"/>
  <c r="F53" i="54"/>
  <c r="B53" i="54"/>
  <c r="F52" i="54"/>
  <c r="B52" i="54"/>
  <c r="G51" i="54"/>
  <c r="F51" i="54"/>
  <c r="B51" i="54"/>
  <c r="F50" i="54"/>
  <c r="G50" i="54" s="1"/>
  <c r="B50" i="54"/>
  <c r="G49" i="54"/>
  <c r="F49" i="54"/>
  <c r="B49" i="54"/>
  <c r="F48" i="54"/>
  <c r="G48" i="54" s="1"/>
  <c r="B48" i="54"/>
  <c r="G47" i="54"/>
  <c r="F47" i="54"/>
  <c r="B47" i="54"/>
  <c r="F46" i="54"/>
  <c r="G46" i="54" s="1"/>
  <c r="B46" i="54"/>
  <c r="G45" i="54"/>
  <c r="F45" i="54"/>
  <c r="B45" i="54"/>
  <c r="F44" i="54"/>
  <c r="G44" i="54" s="1"/>
  <c r="B44" i="54"/>
  <c r="G43" i="54"/>
  <c r="F43" i="54"/>
  <c r="B43" i="54"/>
  <c r="C93" i="52"/>
  <c r="C94" i="52" s="1"/>
  <c r="O91" i="52"/>
  <c r="M91" i="52"/>
  <c r="K91" i="52"/>
  <c r="I91" i="52"/>
  <c r="O90" i="52"/>
  <c r="M90" i="52"/>
  <c r="K90" i="52"/>
  <c r="I90" i="52"/>
  <c r="O89" i="52"/>
  <c r="M89" i="52"/>
  <c r="K89" i="52"/>
  <c r="I89" i="52"/>
  <c r="O88" i="52"/>
  <c r="M88" i="52"/>
  <c r="K88" i="52"/>
  <c r="I88" i="52"/>
  <c r="O87" i="52"/>
  <c r="M87" i="52"/>
  <c r="K87" i="52"/>
  <c r="I87" i="52"/>
  <c r="O86" i="52"/>
  <c r="M86" i="52"/>
  <c r="K86" i="52"/>
  <c r="I86" i="52"/>
  <c r="O85" i="52"/>
  <c r="M85" i="52"/>
  <c r="K85" i="52"/>
  <c r="I85" i="52"/>
  <c r="O84" i="52"/>
  <c r="M84" i="52"/>
  <c r="K84" i="52"/>
  <c r="I84" i="52"/>
  <c r="O83" i="52"/>
  <c r="M83" i="52"/>
  <c r="K83" i="52"/>
  <c r="I83" i="52"/>
  <c r="I93" i="52" s="1"/>
  <c r="O82" i="52"/>
  <c r="M82" i="52"/>
  <c r="K82" i="52"/>
  <c r="I82" i="52"/>
  <c r="Q81" i="52"/>
  <c r="O81" i="52"/>
  <c r="R81" i="52" s="1"/>
  <c r="M81" i="52"/>
  <c r="K81" i="52"/>
  <c r="I81" i="52"/>
  <c r="G81" i="52"/>
  <c r="Q80" i="52"/>
  <c r="O80" i="52"/>
  <c r="O93" i="52" s="1"/>
  <c r="M80" i="52"/>
  <c r="M93" i="52" s="1"/>
  <c r="K80" i="52"/>
  <c r="K93" i="52" s="1"/>
  <c r="I80" i="52"/>
  <c r="G80" i="52"/>
  <c r="C62" i="52"/>
  <c r="C63" i="52" s="1"/>
  <c r="R60" i="52"/>
  <c r="R59" i="52"/>
  <c r="R58" i="52"/>
  <c r="R57" i="52"/>
  <c r="R56" i="52"/>
  <c r="O55" i="52"/>
  <c r="M55" i="52"/>
  <c r="K55" i="52"/>
  <c r="I55" i="52"/>
  <c r="O54" i="52"/>
  <c r="M54" i="52"/>
  <c r="K54" i="52"/>
  <c r="I54" i="52"/>
  <c r="O53" i="52"/>
  <c r="M53" i="52"/>
  <c r="O52" i="52"/>
  <c r="M52" i="52"/>
  <c r="K52" i="52"/>
  <c r="K62" i="52" s="1"/>
  <c r="I52" i="52"/>
  <c r="O51" i="52"/>
  <c r="M51" i="52"/>
  <c r="K51" i="52"/>
  <c r="I51" i="52"/>
  <c r="Q50" i="52"/>
  <c r="R50" i="52" s="1"/>
  <c r="O50" i="52"/>
  <c r="M50" i="52"/>
  <c r="K50" i="52"/>
  <c r="I50" i="52"/>
  <c r="G50" i="52"/>
  <c r="Q49" i="52"/>
  <c r="O49" i="52"/>
  <c r="O62" i="52" s="1"/>
  <c r="M49" i="52"/>
  <c r="M62" i="52" s="1"/>
  <c r="K49" i="52"/>
  <c r="I49" i="52"/>
  <c r="I62" i="52" s="1"/>
  <c r="G49" i="52"/>
  <c r="C6" i="55"/>
  <c r="D6" i="55"/>
  <c r="D18" i="55" s="1"/>
  <c r="C7" i="55"/>
  <c r="D7" i="55"/>
  <c r="C8" i="55"/>
  <c r="D8" i="55"/>
  <c r="C9" i="55"/>
  <c r="D9" i="55"/>
  <c r="C10" i="55"/>
  <c r="D10" i="55"/>
  <c r="C11" i="55"/>
  <c r="D11" i="55"/>
  <c r="C12" i="55"/>
  <c r="D12" i="55"/>
  <c r="C13" i="55"/>
  <c r="D13" i="55"/>
  <c r="C14" i="55"/>
  <c r="D14" i="55"/>
  <c r="C15" i="55"/>
  <c r="D15" i="55"/>
  <c r="C16" i="55"/>
  <c r="D16" i="55"/>
  <c r="C17" i="55"/>
  <c r="D17" i="55"/>
  <c r="B3" i="54"/>
  <c r="F3" i="54"/>
  <c r="G3" i="54" s="1"/>
  <c r="B4" i="54"/>
  <c r="F4" i="54"/>
  <c r="G4" i="54" s="1"/>
  <c r="B5" i="54"/>
  <c r="F5" i="54"/>
  <c r="G5" i="54"/>
  <c r="B6" i="54"/>
  <c r="F6" i="54"/>
  <c r="G6" i="54"/>
  <c r="B7" i="54"/>
  <c r="F7" i="54"/>
  <c r="G7" i="54" s="1"/>
  <c r="B8" i="54"/>
  <c r="F8" i="54"/>
  <c r="G8" i="54" s="1"/>
  <c r="B9" i="54"/>
  <c r="F9" i="54"/>
  <c r="G9" i="54"/>
  <c r="B10" i="54"/>
  <c r="F10" i="54"/>
  <c r="G10" i="54"/>
  <c r="B11" i="54"/>
  <c r="F11" i="54"/>
  <c r="G11" i="54" s="1"/>
  <c r="B12" i="54"/>
  <c r="F12" i="54"/>
  <c r="B13" i="54"/>
  <c r="F13" i="54"/>
  <c r="B14" i="54"/>
  <c r="F14" i="54"/>
  <c r="B15" i="54"/>
  <c r="F15" i="54"/>
  <c r="B16" i="54"/>
  <c r="F16" i="54"/>
  <c r="B17" i="54"/>
  <c r="F17" i="54"/>
  <c r="B18" i="54"/>
  <c r="F18" i="54"/>
  <c r="B19" i="54"/>
  <c r="F19" i="54"/>
  <c r="B20" i="54"/>
  <c r="F20" i="54"/>
  <c r="B21" i="54"/>
  <c r="F21" i="54"/>
  <c r="B22" i="54"/>
  <c r="F22" i="54"/>
  <c r="B23" i="54"/>
  <c r="F23" i="54"/>
  <c r="B24" i="54"/>
  <c r="F24" i="54"/>
  <c r="B25" i="54"/>
  <c r="F25" i="54"/>
  <c r="B26" i="54"/>
  <c r="F26" i="54"/>
  <c r="B27" i="54"/>
  <c r="F27" i="54"/>
  <c r="B28" i="54"/>
  <c r="F28" i="54"/>
  <c r="B29" i="54"/>
  <c r="F29" i="54"/>
  <c r="B30" i="54"/>
  <c r="F30" i="54"/>
  <c r="B31" i="54"/>
  <c r="F31" i="54"/>
  <c r="B32" i="54"/>
  <c r="F32" i="54"/>
  <c r="B33" i="54"/>
  <c r="F33" i="54"/>
  <c r="B34" i="54"/>
  <c r="F34" i="54"/>
  <c r="B35" i="54"/>
  <c r="F35" i="54"/>
  <c r="B36" i="54"/>
  <c r="F36" i="54"/>
  <c r="B37" i="54"/>
  <c r="F37" i="54"/>
  <c r="B38" i="54"/>
  <c r="F38" i="54"/>
  <c r="D12" i="53"/>
  <c r="O19" i="52"/>
  <c r="O20" i="52"/>
  <c r="O39" i="52" s="1"/>
  <c r="O21" i="52"/>
  <c r="O22" i="52"/>
  <c r="O23" i="52"/>
  <c r="O24" i="52"/>
  <c r="O25" i="52"/>
  <c r="O26" i="52"/>
  <c r="O27" i="52"/>
  <c r="O28" i="52"/>
  <c r="O29" i="52"/>
  <c r="O30" i="52"/>
  <c r="O31" i="52"/>
  <c r="O32" i="52"/>
  <c r="O33" i="52"/>
  <c r="O34" i="52"/>
  <c r="O35" i="52"/>
  <c r="O36" i="52"/>
  <c r="O37" i="52"/>
  <c r="O38" i="52"/>
  <c r="C39" i="52"/>
  <c r="D39" i="52"/>
  <c r="E39" i="52"/>
  <c r="F39" i="52"/>
  <c r="G39" i="52"/>
  <c r="H39" i="52"/>
  <c r="I39" i="52"/>
  <c r="J39" i="52"/>
  <c r="K39" i="52"/>
  <c r="L39" i="52"/>
  <c r="M39" i="52"/>
  <c r="N39" i="52"/>
  <c r="C18" i="55" l="1"/>
  <c r="C95" i="52"/>
  <c r="Q82" i="52"/>
  <c r="G82" i="52"/>
  <c r="R80" i="52"/>
  <c r="C64" i="52"/>
  <c r="Q51" i="52"/>
  <c r="R51" i="52" s="1"/>
  <c r="G51" i="52"/>
  <c r="R49" i="52"/>
  <c r="R82" i="52" l="1"/>
  <c r="G83" i="52"/>
  <c r="C96" i="52"/>
  <c r="Q83" i="52"/>
  <c r="G52" i="52"/>
  <c r="C65" i="52"/>
  <c r="Q52" i="52"/>
  <c r="Q84" i="52" l="1"/>
  <c r="G84" i="52"/>
  <c r="C97" i="52"/>
  <c r="R83" i="52"/>
  <c r="C66" i="52"/>
  <c r="G53" i="52"/>
  <c r="Q53" i="52"/>
  <c r="R52" i="52"/>
  <c r="C98" i="52" l="1"/>
  <c r="Q85" i="52"/>
  <c r="G85" i="52"/>
  <c r="R84" i="52"/>
  <c r="R53" i="52"/>
  <c r="G54" i="52"/>
  <c r="C67" i="52"/>
  <c r="Q54" i="52"/>
  <c r="R54" i="52" s="1"/>
  <c r="C99" i="52" l="1"/>
  <c r="Q86" i="52"/>
  <c r="G86" i="52"/>
  <c r="R85" i="52"/>
  <c r="C68" i="52"/>
  <c r="C69" i="52" s="1"/>
  <c r="C70" i="52" s="1"/>
  <c r="C71" i="52" s="1"/>
  <c r="C72" i="52" s="1"/>
  <c r="Q55" i="52"/>
  <c r="G55" i="52"/>
  <c r="G62" i="52" s="1"/>
  <c r="R86" i="52" l="1"/>
  <c r="G87" i="52"/>
  <c r="C100" i="52"/>
  <c r="Q87" i="52"/>
  <c r="R55" i="52"/>
  <c r="R62" i="52" s="1"/>
  <c r="Q62" i="52"/>
  <c r="R87" i="52" l="1"/>
  <c r="Q88" i="52"/>
  <c r="R88" i="52" s="1"/>
  <c r="G88" i="52"/>
  <c r="C101" i="52"/>
  <c r="C102" i="52" l="1"/>
  <c r="Q89" i="52"/>
  <c r="R89" i="52" s="1"/>
  <c r="G89" i="52"/>
  <c r="C103" i="52" l="1"/>
  <c r="Q90" i="52"/>
  <c r="G90" i="52"/>
  <c r="R90" i="52" l="1"/>
  <c r="G91" i="52"/>
  <c r="G93" i="52" s="1"/>
  <c r="Q91" i="52"/>
  <c r="R91" i="52" l="1"/>
  <c r="R93" i="52" s="1"/>
  <c r="Q93" i="52"/>
  <c r="D180" i="49" l="1"/>
  <c r="D164" i="49"/>
  <c r="D147" i="49"/>
  <c r="D131" i="49"/>
  <c r="D113" i="49"/>
  <c r="D97" i="49"/>
  <c r="D84" i="49"/>
  <c r="D73" i="49"/>
  <c r="D58" i="49"/>
  <c r="D42" i="49"/>
  <c r="D28" i="49"/>
  <c r="F78" i="50"/>
  <c r="G78" i="50" s="1"/>
  <c r="B78" i="50"/>
  <c r="F77" i="50"/>
  <c r="G77" i="50" s="1"/>
  <c r="B77" i="50"/>
  <c r="G76" i="50"/>
  <c r="F76" i="50"/>
  <c r="B76" i="50"/>
  <c r="F75" i="50"/>
  <c r="G75" i="50" s="1"/>
  <c r="B75" i="50"/>
  <c r="F74" i="50"/>
  <c r="G74" i="50" s="1"/>
  <c r="B74" i="50"/>
  <c r="F73" i="50"/>
  <c r="G73" i="50" s="1"/>
  <c r="B73" i="50"/>
  <c r="G72" i="50"/>
  <c r="F72" i="50"/>
  <c r="B72" i="50"/>
  <c r="F71" i="50"/>
  <c r="G71" i="50" s="1"/>
  <c r="B71" i="50"/>
  <c r="F70" i="50"/>
  <c r="G70" i="50" s="1"/>
  <c r="B70" i="50"/>
  <c r="F69" i="50"/>
  <c r="G69" i="50" s="1"/>
  <c r="B69" i="50"/>
  <c r="G68" i="50"/>
  <c r="F68" i="50"/>
  <c r="B68" i="50"/>
  <c r="F67" i="50"/>
  <c r="G67" i="50" s="1"/>
  <c r="B67" i="50"/>
  <c r="F66" i="50"/>
  <c r="G66" i="50" s="1"/>
  <c r="B66" i="50"/>
  <c r="F65" i="50"/>
  <c r="G65" i="50" s="1"/>
  <c r="B65" i="50"/>
  <c r="G64" i="50"/>
  <c r="F64" i="50"/>
  <c r="B64" i="50"/>
  <c r="F63" i="50"/>
  <c r="G63" i="50" s="1"/>
  <c r="B63" i="50"/>
  <c r="F62" i="50"/>
  <c r="G62" i="50" s="1"/>
  <c r="B62" i="50"/>
  <c r="F61" i="50"/>
  <c r="G61" i="50" s="1"/>
  <c r="B61" i="50"/>
  <c r="G60" i="50"/>
  <c r="F60" i="50"/>
  <c r="B60" i="50"/>
  <c r="F59" i="50"/>
  <c r="G59" i="50" s="1"/>
  <c r="B59" i="50"/>
  <c r="F58" i="50"/>
  <c r="G58" i="50" s="1"/>
  <c r="B58" i="50"/>
  <c r="F57" i="50"/>
  <c r="G57" i="50" s="1"/>
  <c r="B57" i="50"/>
  <c r="G56" i="50"/>
  <c r="F56" i="50"/>
  <c r="B56" i="50"/>
  <c r="F55" i="50"/>
  <c r="G55" i="50" s="1"/>
  <c r="B55" i="50"/>
  <c r="F54" i="50"/>
  <c r="G54" i="50" s="1"/>
  <c r="B54" i="50"/>
  <c r="G53" i="50"/>
  <c r="F53" i="50"/>
  <c r="B53" i="50"/>
  <c r="G52" i="50"/>
  <c r="F52" i="50"/>
  <c r="B52" i="50"/>
  <c r="F51" i="50"/>
  <c r="G51" i="50" s="1"/>
  <c r="B51" i="50"/>
  <c r="F50" i="50"/>
  <c r="G50" i="50" s="1"/>
  <c r="B50" i="50"/>
  <c r="G49" i="50"/>
  <c r="F49" i="50"/>
  <c r="B49" i="50"/>
  <c r="G48" i="50"/>
  <c r="F48" i="50"/>
  <c r="B48" i="50"/>
  <c r="F47" i="50"/>
  <c r="G47" i="50" s="1"/>
  <c r="B47" i="50"/>
  <c r="F46" i="50"/>
  <c r="G46" i="50" s="1"/>
  <c r="B46" i="50"/>
  <c r="F45" i="50"/>
  <c r="G45" i="50" s="1"/>
  <c r="B45" i="50"/>
  <c r="F44" i="50"/>
  <c r="G44" i="50" s="1"/>
  <c r="B44" i="50"/>
  <c r="F43" i="50"/>
  <c r="G43" i="50" s="1"/>
  <c r="B43" i="50"/>
  <c r="C91" i="48"/>
  <c r="C92" i="48" s="1"/>
  <c r="O89" i="48"/>
  <c r="M89" i="48"/>
  <c r="K89" i="48"/>
  <c r="I89" i="48"/>
  <c r="O88" i="48"/>
  <c r="M88" i="48"/>
  <c r="K88" i="48"/>
  <c r="I88" i="48"/>
  <c r="O87" i="48"/>
  <c r="M87" i="48"/>
  <c r="K87" i="48"/>
  <c r="I87" i="48"/>
  <c r="O86" i="48"/>
  <c r="M86" i="48"/>
  <c r="K86" i="48"/>
  <c r="I86" i="48"/>
  <c r="O85" i="48"/>
  <c r="M85" i="48"/>
  <c r="K85" i="48"/>
  <c r="I85" i="48"/>
  <c r="O84" i="48"/>
  <c r="M84" i="48"/>
  <c r="K84" i="48"/>
  <c r="I84" i="48"/>
  <c r="O83" i="48"/>
  <c r="M83" i="48"/>
  <c r="K83" i="48"/>
  <c r="I83" i="48"/>
  <c r="O82" i="48"/>
  <c r="M82" i="48"/>
  <c r="K82" i="48"/>
  <c r="I82" i="48"/>
  <c r="O81" i="48"/>
  <c r="M81" i="48"/>
  <c r="I81" i="48"/>
  <c r="O80" i="48"/>
  <c r="M80" i="48"/>
  <c r="K80" i="48"/>
  <c r="I80" i="48"/>
  <c r="Q79" i="48"/>
  <c r="R79" i="48" s="1"/>
  <c r="O79" i="48"/>
  <c r="M79" i="48"/>
  <c r="K79" i="48"/>
  <c r="I79" i="48"/>
  <c r="G79" i="48"/>
  <c r="Q78" i="48"/>
  <c r="O78" i="48"/>
  <c r="O91" i="48" s="1"/>
  <c r="M78" i="48"/>
  <c r="M91" i="48" s="1"/>
  <c r="K78" i="48"/>
  <c r="I78" i="48"/>
  <c r="I91" i="48" s="1"/>
  <c r="G78" i="48"/>
  <c r="C60" i="48"/>
  <c r="C61" i="48" s="1"/>
  <c r="O58" i="48"/>
  <c r="M58" i="48"/>
  <c r="K58" i="48"/>
  <c r="I58" i="48"/>
  <c r="O57" i="48"/>
  <c r="M57" i="48"/>
  <c r="K57" i="48"/>
  <c r="I57" i="48"/>
  <c r="O56" i="48"/>
  <c r="M56" i="48"/>
  <c r="K56" i="48"/>
  <c r="I56" i="48"/>
  <c r="O55" i="48"/>
  <c r="M55" i="48"/>
  <c r="K55" i="48"/>
  <c r="I55" i="48"/>
  <c r="O54" i="48"/>
  <c r="M54" i="48"/>
  <c r="K54" i="48"/>
  <c r="I54" i="48"/>
  <c r="O53" i="48"/>
  <c r="M53" i="48"/>
  <c r="K53" i="48"/>
  <c r="I53" i="48"/>
  <c r="O52" i="48"/>
  <c r="M52" i="48"/>
  <c r="K52" i="48"/>
  <c r="I52" i="48"/>
  <c r="O51" i="48"/>
  <c r="M51" i="48"/>
  <c r="O50" i="48"/>
  <c r="M50" i="48"/>
  <c r="K50" i="48"/>
  <c r="I50" i="48"/>
  <c r="O49" i="48"/>
  <c r="M49" i="48"/>
  <c r="K49" i="48"/>
  <c r="I49" i="48"/>
  <c r="Q48" i="48"/>
  <c r="O48" i="48"/>
  <c r="M48" i="48"/>
  <c r="K48" i="48"/>
  <c r="K60" i="48" s="1"/>
  <c r="I48" i="48"/>
  <c r="G48" i="48"/>
  <c r="Q47" i="48"/>
  <c r="R47" i="48" s="1"/>
  <c r="O47" i="48"/>
  <c r="O60" i="48" s="1"/>
  <c r="M47" i="48"/>
  <c r="M60" i="48" s="1"/>
  <c r="K47" i="48"/>
  <c r="I47" i="48"/>
  <c r="I60" i="48" s="1"/>
  <c r="G47" i="48"/>
  <c r="C6" i="51"/>
  <c r="D6" i="51"/>
  <c r="C7" i="51"/>
  <c r="D7" i="51"/>
  <c r="D18" i="51" s="1"/>
  <c r="C8" i="51"/>
  <c r="D8" i="51"/>
  <c r="C9" i="51"/>
  <c r="D9" i="51"/>
  <c r="C10" i="51"/>
  <c r="D10" i="51"/>
  <c r="C11" i="51"/>
  <c r="D11" i="51"/>
  <c r="C12" i="51"/>
  <c r="D12" i="51"/>
  <c r="C13" i="51"/>
  <c r="D13" i="51"/>
  <c r="C14" i="51"/>
  <c r="D14" i="51"/>
  <c r="C15" i="51"/>
  <c r="D15" i="51"/>
  <c r="C16" i="51"/>
  <c r="D16" i="51"/>
  <c r="C17" i="51"/>
  <c r="D17" i="51"/>
  <c r="C18" i="51"/>
  <c r="B3" i="50"/>
  <c r="F3" i="50"/>
  <c r="G3" i="50"/>
  <c r="B4" i="50"/>
  <c r="F4" i="50"/>
  <c r="G4" i="50" s="1"/>
  <c r="B5" i="50"/>
  <c r="F5" i="50"/>
  <c r="G5" i="50"/>
  <c r="B6" i="50"/>
  <c r="F6" i="50"/>
  <c r="G6" i="50" s="1"/>
  <c r="B7" i="50"/>
  <c r="F7" i="50"/>
  <c r="G7" i="50"/>
  <c r="B8" i="50"/>
  <c r="F8" i="50"/>
  <c r="G8" i="50" s="1"/>
  <c r="B9" i="50"/>
  <c r="F9" i="50"/>
  <c r="G9" i="50"/>
  <c r="B10" i="50"/>
  <c r="F10" i="50"/>
  <c r="G10" i="50" s="1"/>
  <c r="B11" i="50"/>
  <c r="F11" i="50"/>
  <c r="G11" i="50"/>
  <c r="B12" i="50"/>
  <c r="F12" i="50"/>
  <c r="G12" i="50" s="1"/>
  <c r="B13" i="50"/>
  <c r="F13" i="50"/>
  <c r="G13" i="50"/>
  <c r="B14" i="50"/>
  <c r="F14" i="50"/>
  <c r="G14" i="50" s="1"/>
  <c r="B15" i="50"/>
  <c r="F15" i="50"/>
  <c r="G15" i="50"/>
  <c r="B16" i="50"/>
  <c r="F16" i="50"/>
  <c r="G16" i="50" s="1"/>
  <c r="B17" i="50"/>
  <c r="F17" i="50"/>
  <c r="G17" i="50"/>
  <c r="B18" i="50"/>
  <c r="F18" i="50"/>
  <c r="G18" i="50" s="1"/>
  <c r="B19" i="50"/>
  <c r="F19" i="50"/>
  <c r="G19" i="50"/>
  <c r="B20" i="50"/>
  <c r="F20" i="50"/>
  <c r="G20" i="50" s="1"/>
  <c r="B21" i="50"/>
  <c r="F21" i="50"/>
  <c r="G21" i="50"/>
  <c r="B22" i="50"/>
  <c r="F22" i="50"/>
  <c r="G22" i="50" s="1"/>
  <c r="B23" i="50"/>
  <c r="F23" i="50"/>
  <c r="G23" i="50"/>
  <c r="B24" i="50"/>
  <c r="F24" i="50"/>
  <c r="G24" i="50" s="1"/>
  <c r="B25" i="50"/>
  <c r="F25" i="50"/>
  <c r="G25" i="50"/>
  <c r="B26" i="50"/>
  <c r="F26" i="50"/>
  <c r="G26" i="50" s="1"/>
  <c r="B27" i="50"/>
  <c r="F27" i="50"/>
  <c r="G27" i="50"/>
  <c r="B28" i="50"/>
  <c r="F28" i="50"/>
  <c r="G28" i="50" s="1"/>
  <c r="B29" i="50"/>
  <c r="F29" i="50"/>
  <c r="G29" i="50"/>
  <c r="B30" i="50"/>
  <c r="F30" i="50"/>
  <c r="G30" i="50" s="1"/>
  <c r="B31" i="50"/>
  <c r="F31" i="50"/>
  <c r="G31" i="50"/>
  <c r="B32" i="50"/>
  <c r="F32" i="50"/>
  <c r="G32" i="50" s="1"/>
  <c r="B33" i="50"/>
  <c r="F33" i="50"/>
  <c r="G33" i="50"/>
  <c r="B34" i="50"/>
  <c r="F34" i="50"/>
  <c r="G34" i="50" s="1"/>
  <c r="B35" i="50"/>
  <c r="F35" i="50"/>
  <c r="G35" i="50"/>
  <c r="B36" i="50"/>
  <c r="F36" i="50"/>
  <c r="G36" i="50" s="1"/>
  <c r="B37" i="50"/>
  <c r="F37" i="50"/>
  <c r="G37" i="50"/>
  <c r="B38" i="50"/>
  <c r="F38" i="50"/>
  <c r="G38" i="50" s="1"/>
  <c r="D11" i="49"/>
  <c r="O19" i="48"/>
  <c r="O20" i="48"/>
  <c r="O21" i="48"/>
  <c r="O39" i="48" s="1"/>
  <c r="O22" i="48"/>
  <c r="O23" i="48"/>
  <c r="O24" i="48"/>
  <c r="O25" i="48"/>
  <c r="O26" i="48"/>
  <c r="O27" i="48"/>
  <c r="O28" i="48"/>
  <c r="O29" i="48"/>
  <c r="O30" i="48"/>
  <c r="O31" i="48"/>
  <c r="O32" i="48"/>
  <c r="O33" i="48"/>
  <c r="O34" i="48"/>
  <c r="O35" i="48"/>
  <c r="O36" i="48"/>
  <c r="O37" i="48"/>
  <c r="O38" i="48"/>
  <c r="C39" i="48"/>
  <c r="D39" i="48"/>
  <c r="E39" i="48"/>
  <c r="F39" i="48"/>
  <c r="G39" i="48"/>
  <c r="H39" i="48"/>
  <c r="I39" i="48"/>
  <c r="J39" i="48"/>
  <c r="K39" i="48"/>
  <c r="L39" i="48"/>
  <c r="M39" i="48"/>
  <c r="N39" i="48"/>
  <c r="C93" i="48" l="1"/>
  <c r="Q80" i="48"/>
  <c r="R80" i="48" s="1"/>
  <c r="G80" i="48"/>
  <c r="R78" i="48"/>
  <c r="C62" i="48"/>
  <c r="Q49" i="48"/>
  <c r="G49" i="48"/>
  <c r="R48" i="48"/>
  <c r="C94" i="48" l="1"/>
  <c r="Q81" i="48"/>
  <c r="R81" i="48" s="1"/>
  <c r="G81" i="48"/>
  <c r="K81" i="48"/>
  <c r="K91" i="48" s="1"/>
  <c r="Q50" i="48"/>
  <c r="G50" i="48"/>
  <c r="C63" i="48"/>
  <c r="R49" i="48"/>
  <c r="Q82" i="48" l="1"/>
  <c r="C95" i="48"/>
  <c r="G82" i="48"/>
  <c r="R50" i="48"/>
  <c r="Q51" i="48"/>
  <c r="C64" i="48"/>
  <c r="G51" i="48"/>
  <c r="R82" i="48" l="1"/>
  <c r="C96" i="48"/>
  <c r="Q83" i="48"/>
  <c r="G83" i="48"/>
  <c r="C65" i="48"/>
  <c r="Q52" i="48"/>
  <c r="G52" i="48"/>
  <c r="R51" i="48"/>
  <c r="R83" i="48" l="1"/>
  <c r="C97" i="48"/>
  <c r="G84" i="48"/>
  <c r="Q84" i="48"/>
  <c r="R52" i="48"/>
  <c r="C66" i="48"/>
  <c r="G53" i="48"/>
  <c r="Q53" i="48"/>
  <c r="R53" i="48" s="1"/>
  <c r="R84" i="48" l="1"/>
  <c r="G85" i="48"/>
  <c r="C98" i="48"/>
  <c r="Q85" i="48"/>
  <c r="R85" i="48" s="1"/>
  <c r="G54" i="48"/>
  <c r="C67" i="48"/>
  <c r="Q54" i="48"/>
  <c r="Q86" i="48" l="1"/>
  <c r="R86" i="48" s="1"/>
  <c r="G86" i="48"/>
  <c r="C99" i="48"/>
  <c r="R54" i="48"/>
  <c r="Q55" i="48"/>
  <c r="R55" i="48" s="1"/>
  <c r="G55" i="48"/>
  <c r="C68" i="48"/>
  <c r="G87" i="48" l="1"/>
  <c r="C100" i="48"/>
  <c r="Q87" i="48"/>
  <c r="R87" i="48" s="1"/>
  <c r="G56" i="48"/>
  <c r="C69" i="48"/>
  <c r="Q56" i="48"/>
  <c r="R56" i="48" s="1"/>
  <c r="C101" i="48" l="1"/>
  <c r="G88" i="48"/>
  <c r="Q88" i="48"/>
  <c r="R88" i="48" s="1"/>
  <c r="C70" i="48"/>
  <c r="Q57" i="48"/>
  <c r="G57" i="48"/>
  <c r="G89" i="48" l="1"/>
  <c r="G91" i="48" s="1"/>
  <c r="Q89" i="48"/>
  <c r="R57" i="48"/>
  <c r="G58" i="48"/>
  <c r="G60" i="48" s="1"/>
  <c r="Q58" i="48"/>
  <c r="R89" i="48" l="1"/>
  <c r="R91" i="48" s="1"/>
  <c r="Q91" i="48"/>
  <c r="R58" i="48"/>
  <c r="R60" i="48" s="1"/>
  <c r="Q60" i="48"/>
  <c r="D199" i="45" l="1"/>
  <c r="D183" i="45"/>
  <c r="D171" i="45"/>
  <c r="D154" i="45"/>
  <c r="D135" i="45"/>
  <c r="D122" i="45"/>
  <c r="D109" i="45"/>
  <c r="D98" i="45"/>
  <c r="D83" i="45"/>
  <c r="D67" i="45"/>
  <c r="D42" i="45"/>
  <c r="C6" i="47"/>
  <c r="D6" i="47"/>
  <c r="C7" i="47"/>
  <c r="D7" i="47"/>
  <c r="C8" i="47"/>
  <c r="D8" i="47"/>
  <c r="C9" i="47"/>
  <c r="D9" i="47"/>
  <c r="C10" i="47"/>
  <c r="D10" i="47"/>
  <c r="C11" i="47"/>
  <c r="D11" i="47"/>
  <c r="C12" i="47"/>
  <c r="D12" i="47"/>
  <c r="C13" i="47"/>
  <c r="D13" i="47"/>
  <c r="C14" i="47"/>
  <c r="D14" i="47"/>
  <c r="C15" i="47"/>
  <c r="D15" i="47"/>
  <c r="C16" i="47"/>
  <c r="D16" i="47"/>
  <c r="C17" i="47"/>
  <c r="D17" i="47"/>
  <c r="C18" i="47"/>
  <c r="D18" i="47"/>
  <c r="G78" i="46"/>
  <c r="F78" i="46"/>
  <c r="B78" i="46"/>
  <c r="F77" i="46"/>
  <c r="G77" i="46" s="1"/>
  <c r="B77" i="46"/>
  <c r="G76" i="46"/>
  <c r="F76" i="46"/>
  <c r="B76" i="46"/>
  <c r="F75" i="46"/>
  <c r="G75" i="46" s="1"/>
  <c r="B75" i="46"/>
  <c r="G74" i="46"/>
  <c r="F74" i="46"/>
  <c r="B74" i="46"/>
  <c r="F73" i="46"/>
  <c r="G73" i="46" s="1"/>
  <c r="B73" i="46"/>
  <c r="G72" i="46"/>
  <c r="F72" i="46"/>
  <c r="B72" i="46"/>
  <c r="F71" i="46"/>
  <c r="G71" i="46" s="1"/>
  <c r="B71" i="46"/>
  <c r="G70" i="46"/>
  <c r="F70" i="46"/>
  <c r="B70" i="46"/>
  <c r="F69" i="46"/>
  <c r="G69" i="46" s="1"/>
  <c r="B69" i="46"/>
  <c r="G68" i="46"/>
  <c r="F68" i="46"/>
  <c r="B68" i="46"/>
  <c r="F67" i="46"/>
  <c r="G67" i="46" s="1"/>
  <c r="B67" i="46"/>
  <c r="G66" i="46"/>
  <c r="F66" i="46"/>
  <c r="B66" i="46"/>
  <c r="F65" i="46"/>
  <c r="G65" i="46" s="1"/>
  <c r="B65" i="46"/>
  <c r="G64" i="46"/>
  <c r="F64" i="46"/>
  <c r="B64" i="46"/>
  <c r="F63" i="46"/>
  <c r="G63" i="46" s="1"/>
  <c r="B63" i="46"/>
  <c r="G62" i="46"/>
  <c r="F62" i="46"/>
  <c r="B62" i="46"/>
  <c r="F61" i="46"/>
  <c r="G61" i="46" s="1"/>
  <c r="B61" i="46"/>
  <c r="G60" i="46"/>
  <c r="F60" i="46"/>
  <c r="B60" i="46"/>
  <c r="F59" i="46"/>
  <c r="G59" i="46" s="1"/>
  <c r="B59" i="46"/>
  <c r="G58" i="46"/>
  <c r="F58" i="46"/>
  <c r="B58" i="46"/>
  <c r="F57" i="46"/>
  <c r="G57" i="46" s="1"/>
  <c r="B57" i="46"/>
  <c r="G56" i="46"/>
  <c r="F56" i="46"/>
  <c r="B56" i="46"/>
  <c r="F55" i="46"/>
  <c r="G55" i="46" s="1"/>
  <c r="B55" i="46"/>
  <c r="G54" i="46"/>
  <c r="F54" i="46"/>
  <c r="B54" i="46"/>
  <c r="F53" i="46"/>
  <c r="G53" i="46" s="1"/>
  <c r="B53" i="46"/>
  <c r="G52" i="46"/>
  <c r="F52" i="46"/>
  <c r="B52" i="46"/>
  <c r="F51" i="46"/>
  <c r="G51" i="46" s="1"/>
  <c r="B51" i="46"/>
  <c r="G50" i="46"/>
  <c r="F50" i="46"/>
  <c r="B50" i="46"/>
  <c r="F49" i="46"/>
  <c r="G49" i="46" s="1"/>
  <c r="B49" i="46"/>
  <c r="G48" i="46"/>
  <c r="F48" i="46"/>
  <c r="B48" i="46"/>
  <c r="F47" i="46"/>
  <c r="G47" i="46" s="1"/>
  <c r="B47" i="46"/>
  <c r="G46" i="46"/>
  <c r="F46" i="46"/>
  <c r="B46" i="46"/>
  <c r="F45" i="46"/>
  <c r="G45" i="46" s="1"/>
  <c r="B45" i="46"/>
  <c r="G44" i="46"/>
  <c r="F44" i="46"/>
  <c r="B44" i="46"/>
  <c r="F43" i="46"/>
  <c r="G43" i="46" s="1"/>
  <c r="B43" i="46"/>
  <c r="G42" i="46"/>
  <c r="G2" i="46"/>
  <c r="B3" i="46"/>
  <c r="F3" i="46"/>
  <c r="G3" i="46" s="1"/>
  <c r="B4" i="46"/>
  <c r="F4" i="46"/>
  <c r="G4" i="46"/>
  <c r="B5" i="46"/>
  <c r="F5" i="46"/>
  <c r="G5" i="46"/>
  <c r="B6" i="46"/>
  <c r="F6" i="46"/>
  <c r="G6" i="46"/>
  <c r="B7" i="46"/>
  <c r="F7" i="46"/>
  <c r="G7" i="46" s="1"/>
  <c r="B8" i="46"/>
  <c r="F8" i="46"/>
  <c r="G8" i="46"/>
  <c r="B9" i="46"/>
  <c r="F9" i="46"/>
  <c r="G9" i="46"/>
  <c r="B10" i="46"/>
  <c r="F10" i="46"/>
  <c r="G10" i="46"/>
  <c r="B11" i="46"/>
  <c r="F11" i="46"/>
  <c r="G11" i="46" s="1"/>
  <c r="B12" i="46"/>
  <c r="F12" i="46"/>
  <c r="G12" i="46"/>
  <c r="B13" i="46"/>
  <c r="F13" i="46"/>
  <c r="G13" i="46"/>
  <c r="B14" i="46"/>
  <c r="F14" i="46"/>
  <c r="G14" i="46"/>
  <c r="B15" i="46"/>
  <c r="F15" i="46"/>
  <c r="G15" i="46" s="1"/>
  <c r="B16" i="46"/>
  <c r="F16" i="46"/>
  <c r="G16" i="46"/>
  <c r="B17" i="46"/>
  <c r="F17" i="46"/>
  <c r="G17" i="46" s="1"/>
  <c r="B18" i="46"/>
  <c r="F18" i="46"/>
  <c r="G18" i="46"/>
  <c r="B19" i="46"/>
  <c r="F19" i="46"/>
  <c r="G19" i="46" s="1"/>
  <c r="B20" i="46"/>
  <c r="F20" i="46"/>
  <c r="G20" i="46"/>
  <c r="B21" i="46"/>
  <c r="F21" i="46"/>
  <c r="G21" i="46"/>
  <c r="B22" i="46"/>
  <c r="F22" i="46"/>
  <c r="G22" i="46"/>
  <c r="B23" i="46"/>
  <c r="F23" i="46"/>
  <c r="G23" i="46" s="1"/>
  <c r="B24" i="46"/>
  <c r="F24" i="46"/>
  <c r="G24" i="46"/>
  <c r="B25" i="46"/>
  <c r="F25" i="46"/>
  <c r="G25" i="46"/>
  <c r="B26" i="46"/>
  <c r="F26" i="46"/>
  <c r="G26" i="46" s="1"/>
  <c r="B27" i="46"/>
  <c r="F27" i="46"/>
  <c r="G27" i="46" s="1"/>
  <c r="B28" i="46"/>
  <c r="F28" i="46"/>
  <c r="G28" i="46"/>
  <c r="B29" i="46"/>
  <c r="F29" i="46"/>
  <c r="G29" i="46"/>
  <c r="B30" i="46"/>
  <c r="F30" i="46"/>
  <c r="G30" i="46"/>
  <c r="B31" i="46"/>
  <c r="F31" i="46"/>
  <c r="G31" i="46" s="1"/>
  <c r="B32" i="46"/>
  <c r="F32" i="46"/>
  <c r="G32" i="46"/>
  <c r="B33" i="46"/>
  <c r="F33" i="46"/>
  <c r="G33" i="46"/>
  <c r="B34" i="46"/>
  <c r="F34" i="46"/>
  <c r="G34" i="46"/>
  <c r="B35" i="46"/>
  <c r="F35" i="46"/>
  <c r="G35" i="46" s="1"/>
  <c r="B36" i="46"/>
  <c r="F36" i="46"/>
  <c r="G36" i="46"/>
  <c r="B37" i="46"/>
  <c r="F37" i="46"/>
  <c r="G37" i="46"/>
  <c r="B38" i="46"/>
  <c r="F38" i="46"/>
  <c r="G38" i="46" s="1"/>
  <c r="D18" i="45"/>
  <c r="O19" i="44"/>
  <c r="O20" i="44"/>
  <c r="O21" i="44"/>
  <c r="O22" i="44"/>
  <c r="O23" i="44"/>
  <c r="O24" i="44"/>
  <c r="O25" i="44"/>
  <c r="O26" i="44"/>
  <c r="O27" i="44"/>
  <c r="O28" i="44"/>
  <c r="O29" i="44"/>
  <c r="O30" i="44"/>
  <c r="O31" i="44"/>
  <c r="O32" i="44"/>
  <c r="O33" i="44"/>
  <c r="O34" i="44"/>
  <c r="O35" i="44"/>
  <c r="O36" i="44"/>
  <c r="O37" i="44"/>
  <c r="O38" i="44"/>
  <c r="C39" i="44"/>
  <c r="D39" i="44"/>
  <c r="E39" i="44"/>
  <c r="F39" i="44"/>
  <c r="G39" i="44"/>
  <c r="H39" i="44"/>
  <c r="I39" i="44"/>
  <c r="J39" i="44"/>
  <c r="K39" i="44"/>
  <c r="L39" i="44"/>
  <c r="M39" i="44"/>
  <c r="N39" i="44"/>
  <c r="O39" i="44"/>
  <c r="C6" i="43" l="1"/>
  <c r="D6" i="43"/>
  <c r="D18" i="43" s="1"/>
  <c r="C7" i="43"/>
  <c r="D7" i="43"/>
  <c r="C8" i="43"/>
  <c r="D8" i="43"/>
  <c r="C9" i="43"/>
  <c r="D9" i="43"/>
  <c r="C10" i="43"/>
  <c r="D10" i="43"/>
  <c r="C11" i="43"/>
  <c r="D11" i="43"/>
  <c r="C12" i="43"/>
  <c r="D12" i="43"/>
  <c r="C13" i="43"/>
  <c r="D13" i="43"/>
  <c r="C14" i="43"/>
  <c r="D14" i="43"/>
  <c r="C15" i="43"/>
  <c r="D15" i="43"/>
  <c r="C16" i="43"/>
  <c r="D16" i="43"/>
  <c r="C17" i="43"/>
  <c r="D17" i="43"/>
  <c r="F78" i="42"/>
  <c r="G78" i="42" s="1"/>
  <c r="B78" i="42"/>
  <c r="F77" i="42"/>
  <c r="G77" i="42" s="1"/>
  <c r="B77" i="42"/>
  <c r="G76" i="42"/>
  <c r="F76" i="42"/>
  <c r="B76" i="42"/>
  <c r="F75" i="42"/>
  <c r="G75" i="42" s="1"/>
  <c r="B75" i="42"/>
  <c r="F74" i="42"/>
  <c r="G74" i="42" s="1"/>
  <c r="B74" i="42"/>
  <c r="F73" i="42"/>
  <c r="G73" i="42" s="1"/>
  <c r="B73" i="42"/>
  <c r="G72" i="42"/>
  <c r="F72" i="42"/>
  <c r="B72" i="42"/>
  <c r="F71" i="42"/>
  <c r="G71" i="42" s="1"/>
  <c r="B71" i="42"/>
  <c r="F70" i="42"/>
  <c r="G70" i="42" s="1"/>
  <c r="B70" i="42"/>
  <c r="F69" i="42"/>
  <c r="G69" i="42" s="1"/>
  <c r="B69" i="42"/>
  <c r="G68" i="42"/>
  <c r="F68" i="42"/>
  <c r="B68" i="42"/>
  <c r="F67" i="42"/>
  <c r="G67" i="42" s="1"/>
  <c r="B67" i="42"/>
  <c r="F66" i="42"/>
  <c r="G66" i="42" s="1"/>
  <c r="B66" i="42"/>
  <c r="F65" i="42"/>
  <c r="G65" i="42" s="1"/>
  <c r="B65" i="42"/>
  <c r="G64" i="42"/>
  <c r="F64" i="42"/>
  <c r="B64" i="42"/>
  <c r="F63" i="42"/>
  <c r="G63" i="42" s="1"/>
  <c r="B63" i="42"/>
  <c r="F62" i="42"/>
  <c r="G62" i="42" s="1"/>
  <c r="B62" i="42"/>
  <c r="F61" i="42"/>
  <c r="G61" i="42" s="1"/>
  <c r="B61" i="42"/>
  <c r="G60" i="42"/>
  <c r="F60" i="42"/>
  <c r="B60" i="42"/>
  <c r="F59" i="42"/>
  <c r="G59" i="42" s="1"/>
  <c r="B59" i="42"/>
  <c r="F58" i="42"/>
  <c r="G58" i="42" s="1"/>
  <c r="B58" i="42"/>
  <c r="F57" i="42"/>
  <c r="G57" i="42" s="1"/>
  <c r="B57" i="42"/>
  <c r="G56" i="42"/>
  <c r="F56" i="42"/>
  <c r="B56" i="42"/>
  <c r="F55" i="42"/>
  <c r="G55" i="42" s="1"/>
  <c r="B55" i="42"/>
  <c r="F54" i="42"/>
  <c r="G54" i="42" s="1"/>
  <c r="B54" i="42"/>
  <c r="F53" i="42"/>
  <c r="G53" i="42" s="1"/>
  <c r="B53" i="42"/>
  <c r="G52" i="42"/>
  <c r="F52" i="42"/>
  <c r="B52" i="42"/>
  <c r="F51" i="42"/>
  <c r="G51" i="42" s="1"/>
  <c r="B51" i="42"/>
  <c r="F50" i="42"/>
  <c r="G50" i="42" s="1"/>
  <c r="B50" i="42"/>
  <c r="F49" i="42"/>
  <c r="G49" i="42" s="1"/>
  <c r="B49" i="42"/>
  <c r="G48" i="42"/>
  <c r="F48" i="42"/>
  <c r="B48" i="42"/>
  <c r="F47" i="42"/>
  <c r="G47" i="42" s="1"/>
  <c r="B47" i="42"/>
  <c r="G46" i="42"/>
  <c r="F46" i="42"/>
  <c r="B46" i="42"/>
  <c r="F45" i="42"/>
  <c r="G45" i="42" s="1"/>
  <c r="B45" i="42"/>
  <c r="G44" i="42"/>
  <c r="F44" i="42"/>
  <c r="B44" i="42"/>
  <c r="F43" i="42"/>
  <c r="G43" i="42" s="1"/>
  <c r="B43" i="42"/>
  <c r="G42" i="42"/>
  <c r="G2" i="42"/>
  <c r="B3" i="42"/>
  <c r="F3" i="42"/>
  <c r="G3" i="42" s="1"/>
  <c r="B4" i="42"/>
  <c r="F4" i="42"/>
  <c r="G4" i="42"/>
  <c r="B5" i="42"/>
  <c r="F5" i="42"/>
  <c r="G5" i="42"/>
  <c r="B6" i="42"/>
  <c r="F6" i="42"/>
  <c r="G6" i="42"/>
  <c r="B7" i="42"/>
  <c r="F7" i="42"/>
  <c r="G7" i="42" s="1"/>
  <c r="B8" i="42"/>
  <c r="F8" i="42"/>
  <c r="G8" i="42"/>
  <c r="B9" i="42"/>
  <c r="F9" i="42"/>
  <c r="G9" i="42"/>
  <c r="B10" i="42"/>
  <c r="F10" i="42"/>
  <c r="G10" i="42"/>
  <c r="B11" i="42"/>
  <c r="F11" i="42"/>
  <c r="G11" i="42" s="1"/>
  <c r="B12" i="42"/>
  <c r="F12" i="42"/>
  <c r="G12" i="42"/>
  <c r="B13" i="42"/>
  <c r="F13" i="42"/>
  <c r="G13" i="42"/>
  <c r="B14" i="42"/>
  <c r="F14" i="42"/>
  <c r="G14" i="42"/>
  <c r="B15" i="42"/>
  <c r="F15" i="42"/>
  <c r="G15" i="42" s="1"/>
  <c r="B16" i="42"/>
  <c r="F16" i="42"/>
  <c r="G16" i="42"/>
  <c r="B17" i="42"/>
  <c r="F17" i="42"/>
  <c r="G17" i="42"/>
  <c r="B18" i="42"/>
  <c r="F18" i="42"/>
  <c r="G18" i="42"/>
  <c r="B19" i="42"/>
  <c r="F19" i="42"/>
  <c r="G19" i="42" s="1"/>
  <c r="B20" i="42"/>
  <c r="F20" i="42"/>
  <c r="G20" i="42"/>
  <c r="B21" i="42"/>
  <c r="F21" i="42"/>
  <c r="G21" i="42"/>
  <c r="B22" i="42"/>
  <c r="F22" i="42"/>
  <c r="G22" i="42"/>
  <c r="B23" i="42"/>
  <c r="F23" i="42"/>
  <c r="G23" i="42" s="1"/>
  <c r="B24" i="42"/>
  <c r="F24" i="42"/>
  <c r="G24" i="42"/>
  <c r="B25" i="42"/>
  <c r="F25" i="42"/>
  <c r="G25" i="42"/>
  <c r="B26" i="42"/>
  <c r="F26" i="42"/>
  <c r="G26" i="42" s="1"/>
  <c r="B27" i="42"/>
  <c r="F27" i="42"/>
  <c r="G27" i="42" s="1"/>
  <c r="B28" i="42"/>
  <c r="F28" i="42"/>
  <c r="G28" i="42"/>
  <c r="B29" i="42"/>
  <c r="F29" i="42"/>
  <c r="G29" i="42"/>
  <c r="B30" i="42"/>
  <c r="F30" i="42"/>
  <c r="G30" i="42" s="1"/>
  <c r="B31" i="42"/>
  <c r="F31" i="42"/>
  <c r="G31" i="42" s="1"/>
  <c r="B32" i="42"/>
  <c r="F32" i="42"/>
  <c r="G32" i="42"/>
  <c r="B33" i="42"/>
  <c r="F33" i="42"/>
  <c r="G33" i="42"/>
  <c r="B34" i="42"/>
  <c r="F34" i="42"/>
  <c r="G34" i="42"/>
  <c r="B35" i="42"/>
  <c r="F35" i="42"/>
  <c r="G35" i="42" s="1"/>
  <c r="B36" i="42"/>
  <c r="F36" i="42"/>
  <c r="G36" i="42"/>
  <c r="B37" i="42"/>
  <c r="F37" i="42"/>
  <c r="G37" i="42"/>
  <c r="B38" i="42"/>
  <c r="F38" i="42"/>
  <c r="G38" i="42" s="1"/>
  <c r="D52" i="41"/>
  <c r="D38" i="41"/>
  <c r="D22" i="41"/>
  <c r="C95" i="40"/>
  <c r="C96" i="40" s="1"/>
  <c r="O93" i="40"/>
  <c r="M93" i="40"/>
  <c r="K93" i="40"/>
  <c r="I93" i="40"/>
  <c r="O92" i="40"/>
  <c r="M92" i="40"/>
  <c r="K92" i="40"/>
  <c r="I92" i="40"/>
  <c r="O91" i="40"/>
  <c r="M91" i="40"/>
  <c r="K91" i="40"/>
  <c r="I91" i="40"/>
  <c r="O90" i="40"/>
  <c r="M90" i="40"/>
  <c r="K90" i="40"/>
  <c r="I90" i="40"/>
  <c r="O89" i="40"/>
  <c r="M89" i="40"/>
  <c r="K89" i="40"/>
  <c r="I89" i="40"/>
  <c r="O88" i="40"/>
  <c r="M88" i="40"/>
  <c r="K88" i="40"/>
  <c r="I88" i="40"/>
  <c r="O87" i="40"/>
  <c r="M87" i="40"/>
  <c r="K87" i="40"/>
  <c r="I87" i="40"/>
  <c r="O86" i="40"/>
  <c r="M86" i="40"/>
  <c r="K86" i="40"/>
  <c r="I86" i="40"/>
  <c r="O85" i="40"/>
  <c r="M85" i="40"/>
  <c r="K85" i="40"/>
  <c r="K95" i="40" s="1"/>
  <c r="I85" i="40"/>
  <c r="O84" i="40"/>
  <c r="M84" i="40"/>
  <c r="K84" i="40"/>
  <c r="I84" i="40"/>
  <c r="Q83" i="40"/>
  <c r="R83" i="40" s="1"/>
  <c r="O83" i="40"/>
  <c r="M83" i="40"/>
  <c r="K83" i="40"/>
  <c r="I83" i="40"/>
  <c r="G83" i="40"/>
  <c r="Q82" i="40"/>
  <c r="O82" i="40"/>
  <c r="O95" i="40" s="1"/>
  <c r="M82" i="40"/>
  <c r="M95" i="40" s="1"/>
  <c r="K82" i="40"/>
  <c r="I82" i="40"/>
  <c r="I95" i="40" s="1"/>
  <c r="G82" i="40"/>
  <c r="C64" i="40"/>
  <c r="G52" i="40" s="1"/>
  <c r="O62" i="40"/>
  <c r="M62" i="40"/>
  <c r="K62" i="40"/>
  <c r="I62" i="40"/>
  <c r="O61" i="40"/>
  <c r="M61" i="40"/>
  <c r="K61" i="40"/>
  <c r="I61" i="40"/>
  <c r="O60" i="40"/>
  <c r="M60" i="40"/>
  <c r="K60" i="40"/>
  <c r="I60" i="40"/>
  <c r="O59" i="40"/>
  <c r="M59" i="40"/>
  <c r="K59" i="40"/>
  <c r="I59" i="40"/>
  <c r="O58" i="40"/>
  <c r="M58" i="40"/>
  <c r="K58" i="40"/>
  <c r="I58" i="40"/>
  <c r="O57" i="40"/>
  <c r="M57" i="40"/>
  <c r="K57" i="40"/>
  <c r="I57" i="40"/>
  <c r="O56" i="40"/>
  <c r="M56" i="40"/>
  <c r="K56" i="40"/>
  <c r="I56" i="40"/>
  <c r="O55" i="40"/>
  <c r="M55" i="40"/>
  <c r="O54" i="40"/>
  <c r="M54" i="40"/>
  <c r="K54" i="40"/>
  <c r="I54" i="40"/>
  <c r="O53" i="40"/>
  <c r="M53" i="40"/>
  <c r="K53" i="40"/>
  <c r="I53" i="40"/>
  <c r="Q52" i="40"/>
  <c r="O52" i="40"/>
  <c r="M52" i="40"/>
  <c r="M64" i="40" s="1"/>
  <c r="K52" i="40"/>
  <c r="I52" i="40"/>
  <c r="Q51" i="40"/>
  <c r="O51" i="40"/>
  <c r="O64" i="40" s="1"/>
  <c r="M51" i="40"/>
  <c r="K51" i="40"/>
  <c r="K64" i="40" s="1"/>
  <c r="I51" i="40"/>
  <c r="I64" i="40" s="1"/>
  <c r="G51" i="40"/>
  <c r="O19" i="40"/>
  <c r="O20" i="40"/>
  <c r="O21" i="40"/>
  <c r="O22" i="40"/>
  <c r="O23" i="40"/>
  <c r="O24" i="40"/>
  <c r="O25" i="40"/>
  <c r="O26" i="40"/>
  <c r="O27" i="40"/>
  <c r="O28" i="40"/>
  <c r="O29" i="40"/>
  <c r="O30" i="40"/>
  <c r="O31" i="40"/>
  <c r="O32" i="40"/>
  <c r="O33" i="40"/>
  <c r="O34" i="40"/>
  <c r="O35" i="40"/>
  <c r="O36" i="40"/>
  <c r="O37" i="40"/>
  <c r="O38" i="40"/>
  <c r="C39" i="40"/>
  <c r="D39" i="40"/>
  <c r="E39" i="40"/>
  <c r="F39" i="40"/>
  <c r="G39" i="40"/>
  <c r="H39" i="40"/>
  <c r="I39" i="40"/>
  <c r="J39" i="40"/>
  <c r="K39" i="40"/>
  <c r="L39" i="40"/>
  <c r="M39" i="40"/>
  <c r="N39" i="40"/>
  <c r="O39" i="40"/>
  <c r="C18" i="43" l="1"/>
  <c r="Q84" i="40"/>
  <c r="G84" i="40"/>
  <c r="C97" i="40"/>
  <c r="R82" i="40"/>
  <c r="R52" i="40"/>
  <c r="R51" i="40"/>
  <c r="C65" i="40"/>
  <c r="R84" i="40" l="1"/>
  <c r="C98" i="40"/>
  <c r="Q85" i="40"/>
  <c r="G85" i="40"/>
  <c r="C66" i="40"/>
  <c r="Q53" i="40"/>
  <c r="G53" i="40"/>
  <c r="R85" i="40" l="1"/>
  <c r="G86" i="40"/>
  <c r="C99" i="40"/>
  <c r="Q86" i="40"/>
  <c r="R86" i="40" s="1"/>
  <c r="R53" i="40"/>
  <c r="Q54" i="40"/>
  <c r="G54" i="40"/>
  <c r="C67" i="40"/>
  <c r="C100" i="40" l="1"/>
  <c r="Q87" i="40"/>
  <c r="G87" i="40"/>
  <c r="Q55" i="40"/>
  <c r="R55" i="40" s="1"/>
  <c r="C68" i="40"/>
  <c r="G55" i="40"/>
  <c r="R54" i="40"/>
  <c r="R87" i="40" l="1"/>
  <c r="Q88" i="40"/>
  <c r="R88" i="40" s="1"/>
  <c r="G88" i="40"/>
  <c r="C101" i="40"/>
  <c r="C69" i="40"/>
  <c r="G56" i="40"/>
  <c r="Q56" i="40"/>
  <c r="R56" i="40" s="1"/>
  <c r="G89" i="40" l="1"/>
  <c r="C102" i="40"/>
  <c r="Q89" i="40"/>
  <c r="R89" i="40" s="1"/>
  <c r="C70" i="40"/>
  <c r="Q57" i="40"/>
  <c r="G57" i="40"/>
  <c r="Q90" i="40" l="1"/>
  <c r="G90" i="40"/>
  <c r="C103" i="40"/>
  <c r="R57" i="40"/>
  <c r="G58" i="40"/>
  <c r="C71" i="40"/>
  <c r="Q58" i="40"/>
  <c r="R58" i="40" s="1"/>
  <c r="Q91" i="40" l="1"/>
  <c r="C104" i="40"/>
  <c r="G91" i="40"/>
  <c r="R90" i="40"/>
  <c r="Q59" i="40"/>
  <c r="R59" i="40" s="1"/>
  <c r="G59" i="40"/>
  <c r="C72" i="40"/>
  <c r="G92" i="40" l="1"/>
  <c r="C105" i="40"/>
  <c r="Q92" i="40"/>
  <c r="R92" i="40" s="1"/>
  <c r="R91" i="40"/>
  <c r="C73" i="40"/>
  <c r="Q60" i="40"/>
  <c r="G60" i="40"/>
  <c r="Q93" i="40" l="1"/>
  <c r="G93" i="40"/>
  <c r="G95" i="40" s="1"/>
  <c r="C74" i="40"/>
  <c r="Q61" i="40"/>
  <c r="G61" i="40"/>
  <c r="R60" i="40"/>
  <c r="R93" i="40" l="1"/>
  <c r="R95" i="40" s="1"/>
  <c r="Q95" i="40"/>
  <c r="R61" i="40"/>
  <c r="G62" i="40"/>
  <c r="G64" i="40" s="1"/>
  <c r="Q62" i="40"/>
  <c r="R62" i="40" l="1"/>
  <c r="R64" i="40" s="1"/>
  <c r="Q64" i="40"/>
  <c r="C6" i="38" l="1"/>
  <c r="D6" i="38"/>
  <c r="C7" i="38"/>
  <c r="C18" i="38" s="1"/>
  <c r="D7" i="38"/>
  <c r="C8" i="38"/>
  <c r="D8" i="38"/>
  <c r="C9" i="38"/>
  <c r="D9" i="38"/>
  <c r="C10" i="38"/>
  <c r="D10" i="38"/>
  <c r="C11" i="38"/>
  <c r="D11" i="38"/>
  <c r="C12" i="38"/>
  <c r="D12" i="38"/>
  <c r="C13" i="38"/>
  <c r="D13" i="38"/>
  <c r="C14" i="38"/>
  <c r="D14" i="38"/>
  <c r="C15" i="38"/>
  <c r="D15" i="38"/>
  <c r="C16" i="38"/>
  <c r="D16" i="38"/>
  <c r="C17" i="38"/>
  <c r="D17" i="38"/>
  <c r="D18" i="38"/>
  <c r="F78" i="37"/>
  <c r="G78" i="37" s="1"/>
  <c r="B78" i="37"/>
  <c r="F77" i="37"/>
  <c r="G77" i="37" s="1"/>
  <c r="B77" i="37"/>
  <c r="G76" i="37"/>
  <c r="F76" i="37"/>
  <c r="B76" i="37"/>
  <c r="F75" i="37"/>
  <c r="G75" i="37" s="1"/>
  <c r="B75" i="37"/>
  <c r="F74" i="37"/>
  <c r="G74" i="37" s="1"/>
  <c r="B74" i="37"/>
  <c r="F73" i="37"/>
  <c r="G73" i="37" s="1"/>
  <c r="B73" i="37"/>
  <c r="G72" i="37"/>
  <c r="F72" i="37"/>
  <c r="B72" i="37"/>
  <c r="F71" i="37"/>
  <c r="G71" i="37" s="1"/>
  <c r="B71" i="37"/>
  <c r="F70" i="37"/>
  <c r="G70" i="37" s="1"/>
  <c r="B70" i="37"/>
  <c r="F69" i="37"/>
  <c r="G69" i="37" s="1"/>
  <c r="B69" i="37"/>
  <c r="G68" i="37"/>
  <c r="F68" i="37"/>
  <c r="B68" i="37"/>
  <c r="F67" i="37"/>
  <c r="G67" i="37" s="1"/>
  <c r="B67" i="37"/>
  <c r="F66" i="37"/>
  <c r="G66" i="37" s="1"/>
  <c r="B66" i="37"/>
  <c r="F65" i="37"/>
  <c r="G65" i="37" s="1"/>
  <c r="B65" i="37"/>
  <c r="G64" i="37"/>
  <c r="F64" i="37"/>
  <c r="B64" i="37"/>
  <c r="F63" i="37"/>
  <c r="G63" i="37" s="1"/>
  <c r="B63" i="37"/>
  <c r="F62" i="37"/>
  <c r="G62" i="37" s="1"/>
  <c r="B62" i="37"/>
  <c r="F61" i="37"/>
  <c r="G61" i="37" s="1"/>
  <c r="B61" i="37"/>
  <c r="G60" i="37"/>
  <c r="F60" i="37"/>
  <c r="B60" i="37"/>
  <c r="F59" i="37"/>
  <c r="G59" i="37" s="1"/>
  <c r="B59" i="37"/>
  <c r="F58" i="37"/>
  <c r="G58" i="37" s="1"/>
  <c r="B58" i="37"/>
  <c r="F57" i="37"/>
  <c r="G57" i="37" s="1"/>
  <c r="B57" i="37"/>
  <c r="G56" i="37"/>
  <c r="F56" i="37"/>
  <c r="B56" i="37"/>
  <c r="F55" i="37"/>
  <c r="G55" i="37" s="1"/>
  <c r="B55" i="37"/>
  <c r="F54" i="37"/>
  <c r="G54" i="37" s="1"/>
  <c r="B54" i="37"/>
  <c r="F53" i="37"/>
  <c r="G53" i="37" s="1"/>
  <c r="B53" i="37"/>
  <c r="G52" i="37"/>
  <c r="F52" i="37"/>
  <c r="B52" i="37"/>
  <c r="F51" i="37"/>
  <c r="G51" i="37" s="1"/>
  <c r="B51" i="37"/>
  <c r="F50" i="37"/>
  <c r="G50" i="37" s="1"/>
  <c r="B50" i="37"/>
  <c r="F49" i="37"/>
  <c r="G49" i="37" s="1"/>
  <c r="B49" i="37"/>
  <c r="G48" i="37"/>
  <c r="F48" i="37"/>
  <c r="B48" i="37"/>
  <c r="F47" i="37"/>
  <c r="G47" i="37" s="1"/>
  <c r="B47" i="37"/>
  <c r="F46" i="37"/>
  <c r="G46" i="37" s="1"/>
  <c r="B46" i="37"/>
  <c r="F45" i="37"/>
  <c r="G45" i="37" s="1"/>
  <c r="B45" i="37"/>
  <c r="G44" i="37"/>
  <c r="F44" i="37"/>
  <c r="B44" i="37"/>
  <c r="F43" i="37"/>
  <c r="G43" i="37" s="1"/>
  <c r="B43" i="37"/>
  <c r="G42" i="37"/>
  <c r="G2" i="37"/>
  <c r="B3" i="37"/>
  <c r="F3" i="37"/>
  <c r="G3" i="37" s="1"/>
  <c r="B4" i="37"/>
  <c r="F4" i="37"/>
  <c r="G4" i="37"/>
  <c r="B5" i="37"/>
  <c r="F5" i="37"/>
  <c r="G5" i="37" s="1"/>
  <c r="B6" i="37"/>
  <c r="F6" i="37"/>
  <c r="G6" i="37"/>
  <c r="B7" i="37"/>
  <c r="F7" i="37"/>
  <c r="G7" i="37" s="1"/>
  <c r="B8" i="37"/>
  <c r="F8" i="37"/>
  <c r="G8" i="37"/>
  <c r="B9" i="37"/>
  <c r="F9" i="37"/>
  <c r="G9" i="37" s="1"/>
  <c r="B10" i="37"/>
  <c r="F10" i="37"/>
  <c r="G10" i="37"/>
  <c r="B11" i="37"/>
  <c r="F11" i="37"/>
  <c r="G11" i="37" s="1"/>
  <c r="B12" i="37"/>
  <c r="F12" i="37"/>
  <c r="G12" i="37"/>
  <c r="B13" i="37"/>
  <c r="F13" i="37"/>
  <c r="G13" i="37" s="1"/>
  <c r="B14" i="37"/>
  <c r="F14" i="37"/>
  <c r="G14" i="37"/>
  <c r="B15" i="37"/>
  <c r="F15" i="37"/>
  <c r="G15" i="37" s="1"/>
  <c r="B16" i="37"/>
  <c r="F16" i="37"/>
  <c r="G16" i="37"/>
  <c r="B17" i="37"/>
  <c r="F17" i="37"/>
  <c r="G17" i="37" s="1"/>
  <c r="B18" i="37"/>
  <c r="F18" i="37"/>
  <c r="G18" i="37"/>
  <c r="B19" i="37"/>
  <c r="F19" i="37"/>
  <c r="G19" i="37" s="1"/>
  <c r="B20" i="37"/>
  <c r="F20" i="37"/>
  <c r="G20" i="37"/>
  <c r="B21" i="37"/>
  <c r="F21" i="37"/>
  <c r="G21" i="37" s="1"/>
  <c r="B22" i="37"/>
  <c r="F22" i="37"/>
  <c r="G22" i="37"/>
  <c r="B23" i="37"/>
  <c r="F23" i="37"/>
  <c r="G23" i="37" s="1"/>
  <c r="B24" i="37"/>
  <c r="F24" i="37"/>
  <c r="G24" i="37"/>
  <c r="B25" i="37"/>
  <c r="F25" i="37"/>
  <c r="G25" i="37" s="1"/>
  <c r="B26" i="37"/>
  <c r="F26" i="37"/>
  <c r="G26" i="37"/>
  <c r="B27" i="37"/>
  <c r="F27" i="37"/>
  <c r="G27" i="37" s="1"/>
  <c r="B28" i="37"/>
  <c r="F28" i="37"/>
  <c r="G28" i="37"/>
  <c r="B29" i="37"/>
  <c r="F29" i="37"/>
  <c r="G29" i="37" s="1"/>
  <c r="B30" i="37"/>
  <c r="F30" i="37"/>
  <c r="G30" i="37"/>
  <c r="B31" i="37"/>
  <c r="F31" i="37"/>
  <c r="G31" i="37" s="1"/>
  <c r="B32" i="37"/>
  <c r="F32" i="37"/>
  <c r="G32" i="37"/>
  <c r="B33" i="37"/>
  <c r="F33" i="37"/>
  <c r="G33" i="37" s="1"/>
  <c r="B34" i="37"/>
  <c r="F34" i="37"/>
  <c r="G34" i="37"/>
  <c r="B35" i="37"/>
  <c r="F35" i="37"/>
  <c r="G35" i="37" s="1"/>
  <c r="B36" i="37"/>
  <c r="F36" i="37"/>
  <c r="G36" i="37"/>
  <c r="B37" i="37"/>
  <c r="F37" i="37"/>
  <c r="G37" i="37" s="1"/>
  <c r="B38" i="37"/>
  <c r="F38" i="37"/>
  <c r="G38" i="37"/>
  <c r="D209" i="36"/>
  <c r="D188" i="36"/>
  <c r="D174" i="36"/>
  <c r="D154" i="36"/>
  <c r="D140" i="36"/>
  <c r="D122" i="36"/>
  <c r="D109" i="36"/>
  <c r="D95" i="36"/>
  <c r="D80" i="36"/>
  <c r="D64" i="36"/>
  <c r="D39" i="36" l="1"/>
  <c r="D17" i="36"/>
  <c r="O19" i="35"/>
  <c r="O20" i="35"/>
  <c r="O21" i="35"/>
  <c r="O22" i="35"/>
  <c r="O23" i="35"/>
  <c r="O24" i="35"/>
  <c r="O25" i="35"/>
  <c r="O26" i="35"/>
  <c r="O27" i="35"/>
  <c r="O28" i="35"/>
  <c r="O29" i="35"/>
  <c r="O30" i="35"/>
  <c r="O31" i="35"/>
  <c r="O32" i="35"/>
  <c r="O33" i="35"/>
  <c r="O34" i="35"/>
  <c r="O35" i="35"/>
  <c r="O36" i="35"/>
  <c r="O37" i="35"/>
  <c r="O38" i="35"/>
  <c r="C39" i="35"/>
  <c r="D39" i="35"/>
  <c r="E39" i="35"/>
  <c r="F39" i="35"/>
  <c r="G39" i="35"/>
  <c r="H39" i="35"/>
  <c r="I39" i="35"/>
  <c r="J39" i="35"/>
  <c r="K39" i="35"/>
  <c r="L39" i="35"/>
  <c r="M39" i="35"/>
  <c r="N39" i="35"/>
  <c r="O39" i="35"/>
  <c r="D17" i="34" l="1"/>
  <c r="C17" i="34"/>
  <c r="D16" i="34"/>
  <c r="C16" i="34"/>
  <c r="D15" i="34"/>
  <c r="C15" i="34"/>
  <c r="D14" i="34"/>
  <c r="C14" i="34"/>
  <c r="D13" i="34"/>
  <c r="C13" i="34"/>
  <c r="D12" i="34"/>
  <c r="C12" i="34"/>
  <c r="D11" i="34"/>
  <c r="C11" i="34"/>
  <c r="D10" i="34"/>
  <c r="C10" i="34"/>
  <c r="D9" i="34"/>
  <c r="C9" i="34"/>
  <c r="D8" i="34"/>
  <c r="C8" i="34"/>
  <c r="D7" i="34"/>
  <c r="C7" i="34"/>
  <c r="D6" i="34"/>
  <c r="D18" i="34" s="1"/>
  <c r="C6" i="34"/>
  <c r="C18" i="34" s="1"/>
  <c r="G78" i="33"/>
  <c r="F78" i="33"/>
  <c r="B78" i="33"/>
  <c r="G77" i="33"/>
  <c r="F77" i="33"/>
  <c r="B77" i="33"/>
  <c r="G76" i="33"/>
  <c r="F76" i="33"/>
  <c r="B76" i="33"/>
  <c r="G75" i="33"/>
  <c r="F75" i="33"/>
  <c r="B75" i="33"/>
  <c r="G74" i="33"/>
  <c r="F74" i="33"/>
  <c r="B74" i="33"/>
  <c r="G73" i="33"/>
  <c r="F73" i="33"/>
  <c r="B73" i="33"/>
  <c r="G72" i="33"/>
  <c r="F72" i="33"/>
  <c r="B72" i="33"/>
  <c r="G71" i="33"/>
  <c r="F71" i="33"/>
  <c r="B71" i="33"/>
  <c r="G70" i="33"/>
  <c r="F70" i="33"/>
  <c r="B70" i="33"/>
  <c r="G69" i="33"/>
  <c r="F69" i="33"/>
  <c r="B69" i="33"/>
  <c r="G68" i="33"/>
  <c r="F68" i="33"/>
  <c r="B68" i="33"/>
  <c r="G67" i="33"/>
  <c r="F67" i="33"/>
  <c r="B67" i="33"/>
  <c r="G66" i="33"/>
  <c r="F66" i="33"/>
  <c r="B66" i="33"/>
  <c r="G65" i="33"/>
  <c r="F65" i="33"/>
  <c r="B65" i="33"/>
  <c r="G64" i="33"/>
  <c r="F64" i="33"/>
  <c r="B64" i="33"/>
  <c r="G63" i="33"/>
  <c r="F63" i="33"/>
  <c r="B63" i="33"/>
  <c r="G62" i="33"/>
  <c r="F62" i="33"/>
  <c r="B62" i="33"/>
  <c r="G61" i="33"/>
  <c r="F61" i="33"/>
  <c r="B61" i="33"/>
  <c r="G60" i="33"/>
  <c r="F60" i="33"/>
  <c r="B60" i="33"/>
  <c r="G59" i="33"/>
  <c r="F59" i="33"/>
  <c r="B59" i="33"/>
  <c r="G58" i="33"/>
  <c r="F58" i="33"/>
  <c r="B58" i="33"/>
  <c r="G57" i="33"/>
  <c r="F57" i="33"/>
  <c r="B57" i="33"/>
  <c r="G56" i="33"/>
  <c r="F56" i="33"/>
  <c r="B56" i="33"/>
  <c r="G55" i="33"/>
  <c r="F55" i="33"/>
  <c r="B55" i="33"/>
  <c r="G54" i="33"/>
  <c r="F54" i="33"/>
  <c r="B54" i="33"/>
  <c r="G53" i="33"/>
  <c r="F53" i="33"/>
  <c r="B53" i="33"/>
  <c r="G52" i="33"/>
  <c r="F52" i="33"/>
  <c r="B52" i="33"/>
  <c r="G51" i="33"/>
  <c r="F51" i="33"/>
  <c r="B51" i="33"/>
  <c r="G50" i="33"/>
  <c r="F50" i="33"/>
  <c r="B50" i="33"/>
  <c r="G49" i="33"/>
  <c r="F49" i="33"/>
  <c r="B49" i="33"/>
  <c r="G48" i="33"/>
  <c r="F48" i="33"/>
  <c r="B48" i="33"/>
  <c r="F47" i="33"/>
  <c r="G47" i="33" s="1"/>
  <c r="B47" i="33"/>
  <c r="F46" i="33"/>
  <c r="G46" i="33" s="1"/>
  <c r="B46" i="33"/>
  <c r="G45" i="33"/>
  <c r="F45" i="33"/>
  <c r="B45" i="33"/>
  <c r="G44" i="33"/>
  <c r="F44" i="33"/>
  <c r="B44" i="33"/>
  <c r="G43" i="33"/>
  <c r="F43" i="33"/>
  <c r="B43" i="33"/>
  <c r="G42" i="33"/>
  <c r="G38" i="33"/>
  <c r="F38" i="33"/>
  <c r="B38" i="33"/>
  <c r="G37" i="33"/>
  <c r="F37" i="33"/>
  <c r="B37" i="33"/>
  <c r="G36" i="33"/>
  <c r="F36" i="33"/>
  <c r="B36" i="33"/>
  <c r="G35" i="33"/>
  <c r="F35" i="33"/>
  <c r="B35" i="33"/>
  <c r="G34" i="33"/>
  <c r="F34" i="33"/>
  <c r="B34" i="33"/>
  <c r="G33" i="33"/>
  <c r="F33" i="33"/>
  <c r="B33" i="33"/>
  <c r="G32" i="33"/>
  <c r="F32" i="33"/>
  <c r="B32" i="33"/>
  <c r="G31" i="33"/>
  <c r="F31" i="33"/>
  <c r="B31" i="33"/>
  <c r="G30" i="33"/>
  <c r="F30" i="33"/>
  <c r="B30" i="33"/>
  <c r="G29" i="33"/>
  <c r="F29" i="33"/>
  <c r="B29" i="33"/>
  <c r="G28" i="33"/>
  <c r="F28" i="33"/>
  <c r="B28" i="33"/>
  <c r="G27" i="33"/>
  <c r="F27" i="33"/>
  <c r="B27" i="33"/>
  <c r="G26" i="33"/>
  <c r="F26" i="33"/>
  <c r="B26" i="33"/>
  <c r="G25" i="33"/>
  <c r="F25" i="33"/>
  <c r="B25" i="33"/>
  <c r="G24" i="33"/>
  <c r="F24" i="33"/>
  <c r="B24" i="33"/>
  <c r="G23" i="33"/>
  <c r="F23" i="33"/>
  <c r="B23" i="33"/>
  <c r="G22" i="33"/>
  <c r="F22" i="33"/>
  <c r="B22" i="33"/>
  <c r="G21" i="33"/>
  <c r="F21" i="33"/>
  <c r="B21" i="33"/>
  <c r="G20" i="33"/>
  <c r="F20" i="33"/>
  <c r="B20" i="33"/>
  <c r="G19" i="33"/>
  <c r="F19" i="33"/>
  <c r="B19" i="33"/>
  <c r="G18" i="33"/>
  <c r="F18" i="33"/>
  <c r="B18" i="33"/>
  <c r="G17" i="33"/>
  <c r="F17" i="33"/>
  <c r="B17" i="33"/>
  <c r="G16" i="33"/>
  <c r="F16" i="33"/>
  <c r="B16" i="33"/>
  <c r="G15" i="33"/>
  <c r="F15" i="33"/>
  <c r="B15" i="33"/>
  <c r="G14" i="33"/>
  <c r="F14" i="33"/>
  <c r="B14" i="33"/>
  <c r="G13" i="33"/>
  <c r="F13" i="33"/>
  <c r="B13" i="33"/>
  <c r="G12" i="33"/>
  <c r="F12" i="33"/>
  <c r="B12" i="33"/>
  <c r="G11" i="33"/>
  <c r="F11" i="33"/>
  <c r="B11" i="33"/>
  <c r="G10" i="33"/>
  <c r="F10" i="33"/>
  <c r="B10" i="33"/>
  <c r="G9" i="33"/>
  <c r="F9" i="33"/>
  <c r="B9" i="33"/>
  <c r="G8" i="33"/>
  <c r="F8" i="33"/>
  <c r="B8" i="33"/>
  <c r="G7" i="33"/>
  <c r="F7" i="33"/>
  <c r="B7" i="33"/>
  <c r="G6" i="33"/>
  <c r="F6" i="33"/>
  <c r="B6" i="33"/>
  <c r="G5" i="33"/>
  <c r="F5" i="33"/>
  <c r="B5" i="33"/>
  <c r="G4" i="33"/>
  <c r="F4" i="33"/>
  <c r="B4" i="33"/>
  <c r="G3" i="33"/>
  <c r="F3" i="33"/>
  <c r="B3" i="33"/>
  <c r="G2" i="33"/>
  <c r="D182" i="32"/>
  <c r="D169" i="32"/>
  <c r="D155" i="32"/>
  <c r="D137" i="32"/>
  <c r="D124" i="32"/>
  <c r="D109" i="32"/>
  <c r="D94" i="32"/>
  <c r="D82" i="32"/>
  <c r="D67" i="32"/>
  <c r="D51" i="32"/>
  <c r="D37" i="32"/>
  <c r="D18" i="32"/>
  <c r="C101" i="31"/>
  <c r="C100" i="31"/>
  <c r="C99" i="31"/>
  <c r="C98" i="31"/>
  <c r="C97" i="31"/>
  <c r="C96" i="31"/>
  <c r="C95" i="31"/>
  <c r="C94" i="31"/>
  <c r="C93" i="31"/>
  <c r="C92" i="31"/>
  <c r="Q91" i="31"/>
  <c r="O91" i="31"/>
  <c r="M91" i="31"/>
  <c r="K91" i="31"/>
  <c r="I91" i="31"/>
  <c r="C91" i="31"/>
  <c r="R89" i="31"/>
  <c r="Q89" i="31"/>
  <c r="O89" i="31"/>
  <c r="M89" i="31"/>
  <c r="K89" i="31"/>
  <c r="I89" i="31"/>
  <c r="G89" i="31"/>
  <c r="R88" i="31"/>
  <c r="Q88" i="31"/>
  <c r="O88" i="31"/>
  <c r="M88" i="31"/>
  <c r="K88" i="31"/>
  <c r="I88" i="31"/>
  <c r="G88" i="31"/>
  <c r="R87" i="31"/>
  <c r="Q87" i="31"/>
  <c r="O87" i="31"/>
  <c r="M87" i="31"/>
  <c r="K87" i="31"/>
  <c r="I87" i="31"/>
  <c r="G87" i="31"/>
  <c r="R86" i="31"/>
  <c r="Q86" i="31"/>
  <c r="O86" i="31"/>
  <c r="M86" i="31"/>
  <c r="K86" i="31"/>
  <c r="I86" i="31"/>
  <c r="G86" i="31"/>
  <c r="R85" i="31"/>
  <c r="Q85" i="31"/>
  <c r="O85" i="31"/>
  <c r="M85" i="31"/>
  <c r="K85" i="31"/>
  <c r="I85" i="31"/>
  <c r="G85" i="31"/>
  <c r="R84" i="31"/>
  <c r="Q84" i="31"/>
  <c r="O84" i="31"/>
  <c r="M84" i="31"/>
  <c r="K84" i="31"/>
  <c r="I84" i="31"/>
  <c r="G84" i="31"/>
  <c r="R83" i="31"/>
  <c r="Q83" i="31"/>
  <c r="O83" i="31"/>
  <c r="M83" i="31"/>
  <c r="K83" i="31"/>
  <c r="I83" i="31"/>
  <c r="G83" i="31"/>
  <c r="Q82" i="31"/>
  <c r="O82" i="31"/>
  <c r="M82" i="31"/>
  <c r="K82" i="31"/>
  <c r="I82" i="31"/>
  <c r="G82" i="31"/>
  <c r="G91" i="31" s="1"/>
  <c r="R81" i="31"/>
  <c r="Q81" i="31"/>
  <c r="O81" i="31"/>
  <c r="M81" i="31"/>
  <c r="K81" i="31"/>
  <c r="I81" i="31"/>
  <c r="G81" i="31"/>
  <c r="R80" i="31"/>
  <c r="Q80" i="31"/>
  <c r="O80" i="31"/>
  <c r="M80" i="31"/>
  <c r="K80" i="31"/>
  <c r="I80" i="31"/>
  <c r="G80" i="31"/>
  <c r="R79" i="31"/>
  <c r="Q79" i="31"/>
  <c r="O79" i="31"/>
  <c r="M79" i="31"/>
  <c r="K79" i="31"/>
  <c r="I79" i="31"/>
  <c r="G79" i="31"/>
  <c r="R78" i="31"/>
  <c r="Q78" i="31"/>
  <c r="O78" i="31"/>
  <c r="M78" i="31"/>
  <c r="K78" i="31"/>
  <c r="G78" i="31"/>
  <c r="C70" i="31"/>
  <c r="C69" i="31"/>
  <c r="C68" i="31"/>
  <c r="C67" i="31"/>
  <c r="C66" i="31"/>
  <c r="C65" i="31"/>
  <c r="C64" i="31"/>
  <c r="C63" i="31"/>
  <c r="C62" i="31"/>
  <c r="C61" i="31"/>
  <c r="R60" i="31"/>
  <c r="Q60" i="31"/>
  <c r="O60" i="31"/>
  <c r="M60" i="31"/>
  <c r="K60" i="31"/>
  <c r="I60" i="31"/>
  <c r="G60" i="31"/>
  <c r="C60" i="31"/>
  <c r="R58" i="31"/>
  <c r="Q58" i="31"/>
  <c r="O58" i="31"/>
  <c r="M58" i="31"/>
  <c r="K58" i="31"/>
  <c r="I58" i="31"/>
  <c r="G58" i="31"/>
  <c r="R57" i="31"/>
  <c r="Q57" i="31"/>
  <c r="O57" i="31"/>
  <c r="M57" i="31"/>
  <c r="K57" i="31"/>
  <c r="I57" i="31"/>
  <c r="G57" i="31"/>
  <c r="R56" i="31"/>
  <c r="Q56" i="31"/>
  <c r="O56" i="31"/>
  <c r="M56" i="31"/>
  <c r="K56" i="31"/>
  <c r="I56" i="31"/>
  <c r="G56" i="31"/>
  <c r="R55" i="31"/>
  <c r="Q55" i="31"/>
  <c r="O55" i="31"/>
  <c r="M55" i="31"/>
  <c r="K55" i="31"/>
  <c r="I55" i="31"/>
  <c r="G55" i="31"/>
  <c r="R54" i="31"/>
  <c r="Q54" i="31"/>
  <c r="O54" i="31"/>
  <c r="M54" i="31"/>
  <c r="K54" i="31"/>
  <c r="I54" i="31"/>
  <c r="G54" i="31"/>
  <c r="R53" i="31"/>
  <c r="Q53" i="31"/>
  <c r="O53" i="31"/>
  <c r="M53" i="31"/>
  <c r="K53" i="31"/>
  <c r="I53" i="31"/>
  <c r="G53" i="31"/>
  <c r="R52" i="31"/>
  <c r="Q52" i="31"/>
  <c r="O52" i="31"/>
  <c r="M52" i="31"/>
  <c r="K52" i="31"/>
  <c r="I52" i="31"/>
  <c r="G52" i="31"/>
  <c r="R51" i="31"/>
  <c r="Q51" i="31"/>
  <c r="O51" i="31"/>
  <c r="M51" i="31"/>
  <c r="K51" i="31"/>
  <c r="I51" i="31"/>
  <c r="G51" i="31"/>
  <c r="R50" i="31"/>
  <c r="Q50" i="31"/>
  <c r="O50" i="31"/>
  <c r="M50" i="31"/>
  <c r="K50" i="31"/>
  <c r="I50" i="31"/>
  <c r="G50" i="31"/>
  <c r="R49" i="31"/>
  <c r="Q49" i="31"/>
  <c r="O49" i="31"/>
  <c r="M49" i="31"/>
  <c r="K49" i="31"/>
  <c r="I49" i="31"/>
  <c r="G49" i="31"/>
  <c r="R48" i="31"/>
  <c r="Q48" i="31"/>
  <c r="O48" i="31"/>
  <c r="M48" i="31"/>
  <c r="K48" i="31"/>
  <c r="I48" i="31"/>
  <c r="G48" i="31"/>
  <c r="R47" i="31"/>
  <c r="Q47" i="31"/>
  <c r="O47" i="31"/>
  <c r="M47" i="31"/>
  <c r="K47" i="31"/>
  <c r="I47" i="31"/>
  <c r="G47" i="31"/>
  <c r="O39" i="31"/>
  <c r="N39" i="31"/>
  <c r="M39" i="31"/>
  <c r="L39" i="31"/>
  <c r="K39" i="31"/>
  <c r="J39" i="31"/>
  <c r="I39" i="31"/>
  <c r="H39" i="31"/>
  <c r="G39" i="31"/>
  <c r="F39" i="31"/>
  <c r="E39" i="31"/>
  <c r="D39" i="31"/>
  <c r="C39" i="31"/>
  <c r="O38" i="31"/>
  <c r="O37" i="31"/>
  <c r="O36" i="31"/>
  <c r="O35" i="31"/>
  <c r="O34" i="31"/>
  <c r="O33" i="31"/>
  <c r="O32" i="31"/>
  <c r="O31" i="31"/>
  <c r="O30" i="31"/>
  <c r="O29" i="31"/>
  <c r="O28" i="31"/>
  <c r="O27" i="31"/>
  <c r="O26" i="31"/>
  <c r="O25" i="31"/>
  <c r="O24" i="31"/>
  <c r="O23" i="31"/>
  <c r="O22" i="31"/>
  <c r="O21" i="31"/>
  <c r="O20" i="31"/>
  <c r="O19" i="31"/>
  <c r="D17" i="30"/>
  <c r="C17" i="30"/>
  <c r="D16" i="30"/>
  <c r="C16" i="30"/>
  <c r="D15" i="30"/>
  <c r="C15" i="30"/>
  <c r="D14" i="30"/>
  <c r="C14" i="30"/>
  <c r="D13" i="30"/>
  <c r="C13" i="30"/>
  <c r="D12" i="30"/>
  <c r="C12" i="30"/>
  <c r="D11" i="30"/>
  <c r="C11" i="30"/>
  <c r="D10" i="30"/>
  <c r="C10" i="30"/>
  <c r="D9" i="30"/>
  <c r="C9" i="30"/>
  <c r="D8" i="30"/>
  <c r="C8" i="30"/>
  <c r="D7" i="30"/>
  <c r="C7" i="30"/>
  <c r="D6" i="30"/>
  <c r="D18" i="30" s="1"/>
  <c r="C6" i="30"/>
  <c r="C18" i="30" s="1"/>
  <c r="G78" i="29"/>
  <c r="F78" i="29"/>
  <c r="B78" i="29"/>
  <c r="G77" i="29"/>
  <c r="F77" i="29"/>
  <c r="B77" i="29"/>
  <c r="G76" i="29"/>
  <c r="F76" i="29"/>
  <c r="B76" i="29"/>
  <c r="G75" i="29"/>
  <c r="F75" i="29"/>
  <c r="B75" i="29"/>
  <c r="G74" i="29"/>
  <c r="F74" i="29"/>
  <c r="B74" i="29"/>
  <c r="G73" i="29"/>
  <c r="F73" i="29"/>
  <c r="B73" i="29"/>
  <c r="G72" i="29"/>
  <c r="F72" i="29"/>
  <c r="B72" i="29"/>
  <c r="G71" i="29"/>
  <c r="F71" i="29"/>
  <c r="B71" i="29"/>
  <c r="G70" i="29"/>
  <c r="F70" i="29"/>
  <c r="B70" i="29"/>
  <c r="G69" i="29"/>
  <c r="F69" i="29"/>
  <c r="B69" i="29"/>
  <c r="G68" i="29"/>
  <c r="F68" i="29"/>
  <c r="B68" i="29"/>
  <c r="G67" i="29"/>
  <c r="F67" i="29"/>
  <c r="B67" i="29"/>
  <c r="G66" i="29"/>
  <c r="F66" i="29"/>
  <c r="B66" i="29"/>
  <c r="G65" i="29"/>
  <c r="F65" i="29"/>
  <c r="B65" i="29"/>
  <c r="G64" i="29"/>
  <c r="F64" i="29"/>
  <c r="B64" i="29"/>
  <c r="G63" i="29"/>
  <c r="F63" i="29"/>
  <c r="B63" i="29"/>
  <c r="G62" i="29"/>
  <c r="F62" i="29"/>
  <c r="B62" i="29"/>
  <c r="G61" i="29"/>
  <c r="F61" i="29"/>
  <c r="B61" i="29"/>
  <c r="G60" i="29"/>
  <c r="F60" i="29"/>
  <c r="B60" i="29"/>
  <c r="G59" i="29"/>
  <c r="F59" i="29"/>
  <c r="B59" i="29"/>
  <c r="G58" i="29"/>
  <c r="F58" i="29"/>
  <c r="B58" i="29"/>
  <c r="G57" i="29"/>
  <c r="F57" i="29"/>
  <c r="B57" i="29"/>
  <c r="G56" i="29"/>
  <c r="F56" i="29"/>
  <c r="B56" i="29"/>
  <c r="G55" i="29"/>
  <c r="F55" i="29"/>
  <c r="B55" i="29"/>
  <c r="G54" i="29"/>
  <c r="F54" i="29"/>
  <c r="B54" i="29"/>
  <c r="G53" i="29"/>
  <c r="F53" i="29"/>
  <c r="B53" i="29"/>
  <c r="G52" i="29"/>
  <c r="F52" i="29"/>
  <c r="B52" i="29"/>
  <c r="G51" i="29"/>
  <c r="F51" i="29"/>
  <c r="B51" i="29"/>
  <c r="G50" i="29"/>
  <c r="F50" i="29"/>
  <c r="B50" i="29"/>
  <c r="G49" i="29"/>
  <c r="F49" i="29"/>
  <c r="B49" i="29"/>
  <c r="G48" i="29"/>
  <c r="F48" i="29"/>
  <c r="B48" i="29"/>
  <c r="G47" i="29"/>
  <c r="F47" i="29"/>
  <c r="B47" i="29"/>
  <c r="G46" i="29"/>
  <c r="F46" i="29"/>
  <c r="B46" i="29"/>
  <c r="G45" i="29"/>
  <c r="F45" i="29"/>
  <c r="B45" i="29"/>
  <c r="G44" i="29"/>
  <c r="F44" i="29"/>
  <c r="B44" i="29"/>
  <c r="G43" i="29"/>
  <c r="F43" i="29"/>
  <c r="B43" i="29"/>
  <c r="G38" i="29"/>
  <c r="F38" i="29"/>
  <c r="B38" i="29"/>
  <c r="G37" i="29"/>
  <c r="F37" i="29"/>
  <c r="B37" i="29"/>
  <c r="G36" i="29"/>
  <c r="F36" i="29"/>
  <c r="B36" i="29"/>
  <c r="G35" i="29"/>
  <c r="F35" i="29"/>
  <c r="B35" i="29"/>
  <c r="G34" i="29"/>
  <c r="F34" i="29"/>
  <c r="B34" i="29"/>
  <c r="G33" i="29"/>
  <c r="F33" i="29"/>
  <c r="B33" i="29"/>
  <c r="G32" i="29"/>
  <c r="F32" i="29"/>
  <c r="B32" i="29"/>
  <c r="G31" i="29"/>
  <c r="F31" i="29"/>
  <c r="B31" i="29"/>
  <c r="G30" i="29"/>
  <c r="F30" i="29"/>
  <c r="B30" i="29"/>
  <c r="G29" i="29"/>
  <c r="F29" i="29"/>
  <c r="B29" i="29"/>
  <c r="G28" i="29"/>
  <c r="F28" i="29"/>
  <c r="B28" i="29"/>
  <c r="G27" i="29"/>
  <c r="F27" i="29"/>
  <c r="B27" i="29"/>
  <c r="G26" i="29"/>
  <c r="F26" i="29"/>
  <c r="B26" i="29"/>
  <c r="G25" i="29"/>
  <c r="F25" i="29"/>
  <c r="B25" i="29"/>
  <c r="G24" i="29"/>
  <c r="F24" i="29"/>
  <c r="B24" i="29"/>
  <c r="G23" i="29"/>
  <c r="F23" i="29"/>
  <c r="B23" i="29"/>
  <c r="G22" i="29"/>
  <c r="F22" i="29"/>
  <c r="B22" i="29"/>
  <c r="G21" i="29"/>
  <c r="F21" i="29"/>
  <c r="B21" i="29"/>
  <c r="G20" i="29"/>
  <c r="F20" i="29"/>
  <c r="B20" i="29"/>
  <c r="G19" i="29"/>
  <c r="F19" i="29"/>
  <c r="B19" i="29"/>
  <c r="G18" i="29"/>
  <c r="F18" i="29"/>
  <c r="G17" i="29"/>
  <c r="F17" i="29"/>
  <c r="B17" i="29"/>
  <c r="G16" i="29"/>
  <c r="F16" i="29"/>
  <c r="B16" i="29"/>
  <c r="G15" i="29"/>
  <c r="F15" i="29"/>
  <c r="B15" i="29"/>
  <c r="G14" i="29"/>
  <c r="F14" i="29"/>
  <c r="B14" i="29"/>
  <c r="G13" i="29"/>
  <c r="F13" i="29"/>
  <c r="B13" i="29"/>
  <c r="G12" i="29"/>
  <c r="F12" i="29"/>
  <c r="B12" i="29"/>
  <c r="G11" i="29"/>
  <c r="F11" i="29"/>
  <c r="B11" i="29"/>
  <c r="G10" i="29"/>
  <c r="F10" i="29"/>
  <c r="B10" i="29"/>
  <c r="G9" i="29"/>
  <c r="F9" i="29"/>
  <c r="B9" i="29"/>
  <c r="G8" i="29"/>
  <c r="F8" i="29"/>
  <c r="B8" i="29"/>
  <c r="G7" i="29"/>
  <c r="F7" i="29"/>
  <c r="B7" i="29"/>
  <c r="G6" i="29"/>
  <c r="F6" i="29"/>
  <c r="B6" i="29"/>
  <c r="G5" i="29"/>
  <c r="F5" i="29"/>
  <c r="B5" i="29"/>
  <c r="G4" i="29"/>
  <c r="F4" i="29"/>
  <c r="B4" i="29"/>
  <c r="G3" i="29"/>
  <c r="F3" i="29"/>
  <c r="B3" i="29"/>
  <c r="D218" i="28"/>
  <c r="D187" i="28"/>
  <c r="D169" i="28"/>
  <c r="D149" i="28"/>
  <c r="D135" i="28"/>
  <c r="D119" i="28"/>
  <c r="D108" i="28"/>
  <c r="D93" i="28"/>
  <c r="D77" i="28"/>
  <c r="D50" i="28"/>
  <c r="D25" i="28"/>
  <c r="C101" i="27"/>
  <c r="C100" i="27"/>
  <c r="C99" i="27"/>
  <c r="C98" i="27"/>
  <c r="C97" i="27"/>
  <c r="C96" i="27"/>
  <c r="C95" i="27"/>
  <c r="C94" i="27"/>
  <c r="C93" i="27"/>
  <c r="C92" i="27"/>
  <c r="R91" i="27"/>
  <c r="Q91" i="27"/>
  <c r="O91" i="27"/>
  <c r="M91" i="27"/>
  <c r="K91" i="27"/>
  <c r="I91" i="27"/>
  <c r="G91" i="27"/>
  <c r="C91" i="27"/>
  <c r="R89" i="27"/>
  <c r="Q89" i="27"/>
  <c r="O89" i="27"/>
  <c r="M89" i="27"/>
  <c r="K89" i="27"/>
  <c r="I89" i="27"/>
  <c r="G89" i="27"/>
  <c r="R88" i="27"/>
  <c r="Q88" i="27"/>
  <c r="O88" i="27"/>
  <c r="M88" i="27"/>
  <c r="K88" i="27"/>
  <c r="I88" i="27"/>
  <c r="G88" i="27"/>
  <c r="R87" i="27"/>
  <c r="Q87" i="27"/>
  <c r="O87" i="27"/>
  <c r="M87" i="27"/>
  <c r="K87" i="27"/>
  <c r="I87" i="27"/>
  <c r="G87" i="27"/>
  <c r="R86" i="27"/>
  <c r="Q86" i="27"/>
  <c r="O86" i="27"/>
  <c r="M86" i="27"/>
  <c r="K86" i="27"/>
  <c r="I86" i="27"/>
  <c r="G86" i="27"/>
  <c r="R85" i="27"/>
  <c r="Q85" i="27"/>
  <c r="O85" i="27"/>
  <c r="M85" i="27"/>
  <c r="K85" i="27"/>
  <c r="I85" i="27"/>
  <c r="G85" i="27"/>
  <c r="R84" i="27"/>
  <c r="Q84" i="27"/>
  <c r="O84" i="27"/>
  <c r="M84" i="27"/>
  <c r="K84" i="27"/>
  <c r="I84" i="27"/>
  <c r="G84" i="27"/>
  <c r="R83" i="27"/>
  <c r="Q83" i="27"/>
  <c r="O83" i="27"/>
  <c r="M83" i="27"/>
  <c r="K83" i="27"/>
  <c r="I83" i="27"/>
  <c r="G83" i="27"/>
  <c r="R82" i="27"/>
  <c r="Q82" i="27"/>
  <c r="O82" i="27"/>
  <c r="M82" i="27"/>
  <c r="K82" i="27"/>
  <c r="I82" i="27"/>
  <c r="G82" i="27"/>
  <c r="R81" i="27"/>
  <c r="Q81" i="27"/>
  <c r="O81" i="27"/>
  <c r="M81" i="27"/>
  <c r="K81" i="27"/>
  <c r="I81" i="27"/>
  <c r="G81" i="27"/>
  <c r="R80" i="27"/>
  <c r="Q80" i="27"/>
  <c r="O80" i="27"/>
  <c r="M80" i="27"/>
  <c r="K80" i="27"/>
  <c r="I80" i="27"/>
  <c r="G80" i="27"/>
  <c r="R79" i="27"/>
  <c r="Q79" i="27"/>
  <c r="O79" i="27"/>
  <c r="M79" i="27"/>
  <c r="K79" i="27"/>
  <c r="I79" i="27"/>
  <c r="G79" i="27"/>
  <c r="R78" i="27"/>
  <c r="Q78" i="27"/>
  <c r="O78" i="27"/>
  <c r="M78" i="27"/>
  <c r="K78" i="27"/>
  <c r="G78" i="27"/>
  <c r="C70" i="27"/>
  <c r="C69" i="27"/>
  <c r="C68" i="27"/>
  <c r="C67" i="27"/>
  <c r="C66" i="27"/>
  <c r="C65" i="27"/>
  <c r="C64" i="27"/>
  <c r="C63" i="27"/>
  <c r="C62" i="27"/>
  <c r="C61" i="27"/>
  <c r="R60" i="27"/>
  <c r="Q60" i="27"/>
  <c r="O60" i="27"/>
  <c r="M60" i="27"/>
  <c r="K60" i="27"/>
  <c r="I60" i="27"/>
  <c r="G60" i="27"/>
  <c r="C60" i="27"/>
  <c r="R58" i="27"/>
  <c r="Q58" i="27"/>
  <c r="O58" i="27"/>
  <c r="M58" i="27"/>
  <c r="K58" i="27"/>
  <c r="I58" i="27"/>
  <c r="G58" i="27"/>
  <c r="R57" i="27"/>
  <c r="Q57" i="27"/>
  <c r="O57" i="27"/>
  <c r="M57" i="27"/>
  <c r="K57" i="27"/>
  <c r="I57" i="27"/>
  <c r="G57" i="27"/>
  <c r="R56" i="27"/>
  <c r="Q56" i="27"/>
  <c r="O56" i="27"/>
  <c r="M56" i="27"/>
  <c r="K56" i="27"/>
  <c r="I56" i="27"/>
  <c r="G56" i="27"/>
  <c r="R55" i="27"/>
  <c r="Q55" i="27"/>
  <c r="O55" i="27"/>
  <c r="M55" i="27"/>
  <c r="K55" i="27"/>
  <c r="I55" i="27"/>
  <c r="G55" i="27"/>
  <c r="R54" i="27"/>
  <c r="Q54" i="27"/>
  <c r="O54" i="27"/>
  <c r="M54" i="27"/>
  <c r="K54" i="27"/>
  <c r="I54" i="27"/>
  <c r="G54" i="27"/>
  <c r="R53" i="27"/>
  <c r="Q53" i="27"/>
  <c r="O53" i="27"/>
  <c r="M53" i="27"/>
  <c r="K53" i="27"/>
  <c r="I53" i="27"/>
  <c r="G53" i="27"/>
  <c r="R52" i="27"/>
  <c r="Q52" i="27"/>
  <c r="O52" i="27"/>
  <c r="M52" i="27"/>
  <c r="K52" i="27"/>
  <c r="I52" i="27"/>
  <c r="G52" i="27"/>
  <c r="R51" i="27"/>
  <c r="Q51" i="27"/>
  <c r="O51" i="27"/>
  <c r="M51" i="27"/>
  <c r="K51" i="27"/>
  <c r="I51" i="27"/>
  <c r="G51" i="27"/>
  <c r="R50" i="27"/>
  <c r="Q50" i="27"/>
  <c r="O50" i="27"/>
  <c r="M50" i="27"/>
  <c r="K50" i="27"/>
  <c r="I50" i="27"/>
  <c r="G50" i="27"/>
  <c r="R49" i="27"/>
  <c r="Q49" i="27"/>
  <c r="O49" i="27"/>
  <c r="M49" i="27"/>
  <c r="K49" i="27"/>
  <c r="I49" i="27"/>
  <c r="G49" i="27"/>
  <c r="R48" i="27"/>
  <c r="Q48" i="27"/>
  <c r="O48" i="27"/>
  <c r="M48" i="27"/>
  <c r="K48" i="27"/>
  <c r="I48" i="27"/>
  <c r="G48" i="27"/>
  <c r="R47" i="27"/>
  <c r="Q47" i="27"/>
  <c r="O47" i="27"/>
  <c r="M47" i="27"/>
  <c r="K47" i="27"/>
  <c r="I47" i="27"/>
  <c r="G47" i="27"/>
  <c r="O39" i="27"/>
  <c r="N39" i="27"/>
  <c r="M39" i="27"/>
  <c r="L39" i="27"/>
  <c r="K39" i="27"/>
  <c r="J39" i="27"/>
  <c r="I39" i="27"/>
  <c r="H39" i="27"/>
  <c r="G39" i="27"/>
  <c r="F39" i="27"/>
  <c r="E39" i="27"/>
  <c r="D39" i="27"/>
  <c r="C39" i="27"/>
  <c r="O38" i="27"/>
  <c r="O37" i="27"/>
  <c r="O36" i="27"/>
  <c r="O35" i="27"/>
  <c r="O34" i="27"/>
  <c r="O33" i="27"/>
  <c r="O32" i="27"/>
  <c r="O31" i="27"/>
  <c r="O30" i="27"/>
  <c r="O29" i="27"/>
  <c r="O28" i="27"/>
  <c r="O27" i="27"/>
  <c r="O26" i="27"/>
  <c r="O25" i="27"/>
  <c r="O24" i="27"/>
  <c r="O23" i="27"/>
  <c r="O22" i="27"/>
  <c r="O21" i="27"/>
  <c r="O20" i="27"/>
  <c r="O19" i="27"/>
  <c r="D17" i="26"/>
  <c r="C17" i="26"/>
  <c r="D16" i="26"/>
  <c r="C16" i="26"/>
  <c r="D15" i="26"/>
  <c r="C15" i="26"/>
  <c r="D14" i="26"/>
  <c r="C14" i="26"/>
  <c r="D13" i="26"/>
  <c r="C13" i="26"/>
  <c r="D12" i="26"/>
  <c r="C12" i="26"/>
  <c r="D11" i="26"/>
  <c r="C11" i="26"/>
  <c r="D10" i="26"/>
  <c r="C10" i="26"/>
  <c r="D9" i="26"/>
  <c r="C9" i="26"/>
  <c r="D8" i="26"/>
  <c r="C8" i="26"/>
  <c r="D7" i="26"/>
  <c r="C7" i="26"/>
  <c r="D6" i="26"/>
  <c r="D18" i="26" s="1"/>
  <c r="C6" i="26"/>
  <c r="C18" i="26" s="1"/>
  <c r="G78" i="25"/>
  <c r="F78" i="25"/>
  <c r="B78" i="25"/>
  <c r="G77" i="25"/>
  <c r="F77" i="25"/>
  <c r="B77" i="25"/>
  <c r="G76" i="25"/>
  <c r="F76" i="25"/>
  <c r="B76" i="25"/>
  <c r="G75" i="25"/>
  <c r="F75" i="25"/>
  <c r="B75" i="25"/>
  <c r="G74" i="25"/>
  <c r="F74" i="25"/>
  <c r="B74" i="25"/>
  <c r="G73" i="25"/>
  <c r="F73" i="25"/>
  <c r="B73" i="25"/>
  <c r="G72" i="25"/>
  <c r="F72" i="25"/>
  <c r="B72" i="25"/>
  <c r="G71" i="25"/>
  <c r="F71" i="25"/>
  <c r="B71" i="25"/>
  <c r="G70" i="25"/>
  <c r="F70" i="25"/>
  <c r="B70" i="25"/>
  <c r="G69" i="25"/>
  <c r="F69" i="25"/>
  <c r="B69" i="25"/>
  <c r="G68" i="25"/>
  <c r="F68" i="25"/>
  <c r="B68" i="25"/>
  <c r="G67" i="25"/>
  <c r="F67" i="25"/>
  <c r="B67" i="25"/>
  <c r="G66" i="25"/>
  <c r="F66" i="25"/>
  <c r="B66" i="25"/>
  <c r="G65" i="25"/>
  <c r="F65" i="25"/>
  <c r="B65" i="25"/>
  <c r="G64" i="25"/>
  <c r="F64" i="25"/>
  <c r="B64" i="25"/>
  <c r="G63" i="25"/>
  <c r="F63" i="25"/>
  <c r="B63" i="25"/>
  <c r="G62" i="25"/>
  <c r="F62" i="25"/>
  <c r="B62" i="25"/>
  <c r="G61" i="25"/>
  <c r="F61" i="25"/>
  <c r="B61" i="25"/>
  <c r="G60" i="25"/>
  <c r="F60" i="25"/>
  <c r="B60" i="25"/>
  <c r="G59" i="25"/>
  <c r="F59" i="25"/>
  <c r="B59" i="25"/>
  <c r="G58" i="25"/>
  <c r="F58" i="25"/>
  <c r="B58" i="25"/>
  <c r="G57" i="25"/>
  <c r="F57" i="25"/>
  <c r="B57" i="25"/>
  <c r="G56" i="25"/>
  <c r="F56" i="25"/>
  <c r="B56" i="25"/>
  <c r="G55" i="25"/>
  <c r="F55" i="25"/>
  <c r="B55" i="25"/>
  <c r="G54" i="25"/>
  <c r="F54" i="25"/>
  <c r="B54" i="25"/>
  <c r="G53" i="25"/>
  <c r="F53" i="25"/>
  <c r="B53" i="25"/>
  <c r="G52" i="25"/>
  <c r="F52" i="25"/>
  <c r="B52" i="25"/>
  <c r="G51" i="25"/>
  <c r="F51" i="25"/>
  <c r="B51" i="25"/>
  <c r="G50" i="25"/>
  <c r="F50" i="25"/>
  <c r="B50" i="25"/>
  <c r="G49" i="25"/>
  <c r="F49" i="25"/>
  <c r="B49" i="25"/>
  <c r="G48" i="25"/>
  <c r="F48" i="25"/>
  <c r="B48" i="25"/>
  <c r="G47" i="25"/>
  <c r="F47" i="25"/>
  <c r="B47" i="25"/>
  <c r="G46" i="25"/>
  <c r="F46" i="25"/>
  <c r="B46" i="25"/>
  <c r="G45" i="25"/>
  <c r="F45" i="25"/>
  <c r="B45" i="25"/>
  <c r="G44" i="25"/>
  <c r="F44" i="25"/>
  <c r="B44" i="25"/>
  <c r="G43" i="25"/>
  <c r="F43" i="25"/>
  <c r="B43" i="25"/>
  <c r="G38" i="25"/>
  <c r="F38" i="25"/>
  <c r="B38" i="25"/>
  <c r="G37" i="25"/>
  <c r="F37" i="25"/>
  <c r="B37" i="25"/>
  <c r="G36" i="25"/>
  <c r="F36" i="25"/>
  <c r="B36" i="25"/>
  <c r="G35" i="25"/>
  <c r="F35" i="25"/>
  <c r="B35" i="25"/>
  <c r="G34" i="25"/>
  <c r="F34" i="25"/>
  <c r="B34" i="25"/>
  <c r="G33" i="25"/>
  <c r="F33" i="25"/>
  <c r="B33" i="25"/>
  <c r="G32" i="25"/>
  <c r="F32" i="25"/>
  <c r="B32" i="25"/>
  <c r="G31" i="25"/>
  <c r="F31" i="25"/>
  <c r="B31" i="25"/>
  <c r="G30" i="25"/>
  <c r="F30" i="25"/>
  <c r="B30" i="25"/>
  <c r="G29" i="25"/>
  <c r="F29" i="25"/>
  <c r="B29" i="25"/>
  <c r="G28" i="25"/>
  <c r="F28" i="25"/>
  <c r="B28" i="25"/>
  <c r="G27" i="25"/>
  <c r="F27" i="25"/>
  <c r="B27" i="25"/>
  <c r="G26" i="25"/>
  <c r="F26" i="25"/>
  <c r="B26" i="25"/>
  <c r="G25" i="25"/>
  <c r="F25" i="25"/>
  <c r="B25" i="25"/>
  <c r="G24" i="25"/>
  <c r="F24" i="25"/>
  <c r="B24" i="25"/>
  <c r="G23" i="25"/>
  <c r="F23" i="25"/>
  <c r="B23" i="25"/>
  <c r="G22" i="25"/>
  <c r="F22" i="25"/>
  <c r="B22" i="25"/>
  <c r="G21" i="25"/>
  <c r="F21" i="25"/>
  <c r="B21" i="25"/>
  <c r="G20" i="25"/>
  <c r="F20" i="25"/>
  <c r="B20" i="25"/>
  <c r="G19" i="25"/>
  <c r="F19" i="25"/>
  <c r="B19" i="25"/>
  <c r="G18" i="25"/>
  <c r="F18" i="25"/>
  <c r="B18" i="25"/>
  <c r="G17" i="25"/>
  <c r="F17" i="25"/>
  <c r="B17" i="25"/>
  <c r="G16" i="25"/>
  <c r="F16" i="25"/>
  <c r="B16" i="25"/>
  <c r="G15" i="25"/>
  <c r="F15" i="25"/>
  <c r="B15" i="25"/>
  <c r="G14" i="25"/>
  <c r="F14" i="25"/>
  <c r="B14" i="25"/>
  <c r="G13" i="25"/>
  <c r="F13" i="25"/>
  <c r="B13" i="25"/>
  <c r="G12" i="25"/>
  <c r="F12" i="25"/>
  <c r="B12" i="25"/>
  <c r="G11" i="25"/>
  <c r="F11" i="25"/>
  <c r="B11" i="25"/>
  <c r="G10" i="25"/>
  <c r="F10" i="25"/>
  <c r="B10" i="25"/>
  <c r="G9" i="25"/>
  <c r="F9" i="25"/>
  <c r="B9" i="25"/>
  <c r="G8" i="25"/>
  <c r="F8" i="25"/>
  <c r="B8" i="25"/>
  <c r="G7" i="25"/>
  <c r="F7" i="25"/>
  <c r="B7" i="25"/>
  <c r="G6" i="25"/>
  <c r="F6" i="25"/>
  <c r="B6" i="25"/>
  <c r="G5" i="25"/>
  <c r="F5" i="25"/>
  <c r="B5" i="25"/>
  <c r="G4" i="25"/>
  <c r="F4" i="25"/>
  <c r="B4" i="25"/>
  <c r="G3" i="25"/>
  <c r="F3" i="25"/>
  <c r="B3" i="25"/>
  <c r="D203" i="24"/>
  <c r="D185" i="24"/>
  <c r="D170" i="24"/>
  <c r="D150" i="24"/>
  <c r="D138" i="24"/>
  <c r="D118" i="24"/>
  <c r="D104" i="24"/>
  <c r="D93" i="24"/>
  <c r="D78" i="24"/>
  <c r="D54" i="24"/>
  <c r="D40" i="24"/>
  <c r="D18" i="24"/>
  <c r="C101" i="23"/>
  <c r="C100" i="23"/>
  <c r="C99" i="23"/>
  <c r="C98" i="23"/>
  <c r="C97" i="23"/>
  <c r="C96" i="23"/>
  <c r="C95" i="23"/>
  <c r="C94" i="23"/>
  <c r="C93" i="23"/>
  <c r="C92" i="23"/>
  <c r="R91" i="23"/>
  <c r="Q91" i="23"/>
  <c r="O91" i="23"/>
  <c r="M91" i="23"/>
  <c r="K91" i="23"/>
  <c r="I91" i="23"/>
  <c r="G91" i="23"/>
  <c r="C91" i="23"/>
  <c r="R89" i="23"/>
  <c r="Q89" i="23"/>
  <c r="O89" i="23"/>
  <c r="M89" i="23"/>
  <c r="K89" i="23"/>
  <c r="I89" i="23"/>
  <c r="G89" i="23"/>
  <c r="R88" i="23"/>
  <c r="Q88" i="23"/>
  <c r="O88" i="23"/>
  <c r="M88" i="23"/>
  <c r="K88" i="23"/>
  <c r="I88" i="23"/>
  <c r="G88" i="23"/>
  <c r="R87" i="23"/>
  <c r="Q87" i="23"/>
  <c r="O87" i="23"/>
  <c r="M87" i="23"/>
  <c r="K87" i="23"/>
  <c r="I87" i="23"/>
  <c r="G87" i="23"/>
  <c r="R86" i="23"/>
  <c r="Q86" i="23"/>
  <c r="O86" i="23"/>
  <c r="M86" i="23"/>
  <c r="K86" i="23"/>
  <c r="I86" i="23"/>
  <c r="G86" i="23"/>
  <c r="R85" i="23"/>
  <c r="Q85" i="23"/>
  <c r="O85" i="23"/>
  <c r="M85" i="23"/>
  <c r="K85" i="23"/>
  <c r="I85" i="23"/>
  <c r="G85" i="23"/>
  <c r="R84" i="23"/>
  <c r="Q84" i="23"/>
  <c r="O84" i="23"/>
  <c r="M84" i="23"/>
  <c r="K84" i="23"/>
  <c r="I84" i="23"/>
  <c r="G84" i="23"/>
  <c r="R83" i="23"/>
  <c r="Q83" i="23"/>
  <c r="O83" i="23"/>
  <c r="M83" i="23"/>
  <c r="K83" i="23"/>
  <c r="I83" i="23"/>
  <c r="G83" i="23"/>
  <c r="R82" i="23"/>
  <c r="Q82" i="23"/>
  <c r="O82" i="23"/>
  <c r="M82" i="23"/>
  <c r="K82" i="23"/>
  <c r="I82" i="23"/>
  <c r="G82" i="23"/>
  <c r="R81" i="23"/>
  <c r="Q81" i="23"/>
  <c r="O81" i="23"/>
  <c r="M81" i="23"/>
  <c r="K81" i="23"/>
  <c r="I81" i="23"/>
  <c r="G81" i="23"/>
  <c r="R80" i="23"/>
  <c r="Q80" i="23"/>
  <c r="O80" i="23"/>
  <c r="M80" i="23"/>
  <c r="K80" i="23"/>
  <c r="I80" i="23"/>
  <c r="G80" i="23"/>
  <c r="R79" i="23"/>
  <c r="Q79" i="23"/>
  <c r="O79" i="23"/>
  <c r="M79" i="23"/>
  <c r="K79" i="23"/>
  <c r="I79" i="23"/>
  <c r="G79" i="23"/>
  <c r="R78" i="23"/>
  <c r="Q78" i="23"/>
  <c r="O78" i="23"/>
  <c r="M78" i="23"/>
  <c r="K78" i="23"/>
  <c r="G78" i="23"/>
  <c r="C70" i="23"/>
  <c r="C69" i="23"/>
  <c r="C68" i="23"/>
  <c r="C67" i="23"/>
  <c r="C66" i="23"/>
  <c r="C65" i="23"/>
  <c r="C64" i="23"/>
  <c r="C63" i="23"/>
  <c r="C62" i="23"/>
  <c r="C61" i="23"/>
  <c r="R60" i="23"/>
  <c r="Q60" i="23"/>
  <c r="O60" i="23"/>
  <c r="M60" i="23"/>
  <c r="K60" i="23"/>
  <c r="I60" i="23"/>
  <c r="G60" i="23"/>
  <c r="C60" i="23"/>
  <c r="R58" i="23"/>
  <c r="R57" i="23"/>
  <c r="R56" i="23"/>
  <c r="R55" i="23"/>
  <c r="R54" i="23"/>
  <c r="R53" i="23"/>
  <c r="Q53" i="23"/>
  <c r="O53" i="23"/>
  <c r="M53" i="23"/>
  <c r="K53" i="23"/>
  <c r="I53" i="23"/>
  <c r="G53" i="23"/>
  <c r="R52" i="23"/>
  <c r="Q52" i="23"/>
  <c r="O52" i="23"/>
  <c r="M52" i="23"/>
  <c r="K52" i="23"/>
  <c r="I52" i="23"/>
  <c r="G52" i="23"/>
  <c r="R51" i="23"/>
  <c r="Q51" i="23"/>
  <c r="O51" i="23"/>
  <c r="M51" i="23"/>
  <c r="K51" i="23"/>
  <c r="I51" i="23"/>
  <c r="G51" i="23"/>
  <c r="R50" i="23"/>
  <c r="Q50" i="23"/>
  <c r="O50" i="23"/>
  <c r="M50" i="23"/>
  <c r="K50" i="23"/>
  <c r="I50" i="23"/>
  <c r="G50" i="23"/>
  <c r="R49" i="23"/>
  <c r="Q49" i="23"/>
  <c r="O49" i="23"/>
  <c r="M49" i="23"/>
  <c r="K49" i="23"/>
  <c r="I49" i="23"/>
  <c r="G49" i="23"/>
  <c r="R48" i="23"/>
  <c r="Q48" i="23"/>
  <c r="O48" i="23"/>
  <c r="M48" i="23"/>
  <c r="K48" i="23"/>
  <c r="I48" i="23"/>
  <c r="G48" i="23"/>
  <c r="R47" i="23"/>
  <c r="Q47" i="23"/>
  <c r="O47" i="23"/>
  <c r="M47" i="23"/>
  <c r="K47" i="23"/>
  <c r="I47" i="23"/>
  <c r="G47" i="23"/>
  <c r="O39" i="23"/>
  <c r="N39" i="23"/>
  <c r="M39" i="23"/>
  <c r="L39" i="23"/>
  <c r="K39" i="23"/>
  <c r="J39" i="23"/>
  <c r="I39" i="23"/>
  <c r="H39" i="23"/>
  <c r="G39" i="23"/>
  <c r="F39" i="23"/>
  <c r="E39" i="23"/>
  <c r="D39" i="23"/>
  <c r="C39" i="23"/>
  <c r="O38" i="23"/>
  <c r="O37" i="23"/>
  <c r="O36" i="23"/>
  <c r="O35" i="23"/>
  <c r="O34" i="23"/>
  <c r="O33" i="23"/>
  <c r="O32" i="23"/>
  <c r="O31" i="23"/>
  <c r="O30" i="23"/>
  <c r="O29" i="23"/>
  <c r="O28" i="23"/>
  <c r="O27" i="23"/>
  <c r="O26" i="23"/>
  <c r="O25" i="23"/>
  <c r="O24" i="23"/>
  <c r="O23" i="23"/>
  <c r="O22" i="23"/>
  <c r="O21" i="23"/>
  <c r="O20" i="23"/>
  <c r="O19" i="23"/>
  <c r="D18" i="22"/>
  <c r="C18" i="22"/>
  <c r="D17" i="22"/>
  <c r="C17" i="22"/>
  <c r="D16" i="22"/>
  <c r="C16" i="22"/>
  <c r="D15" i="22"/>
  <c r="C15" i="22"/>
  <c r="D14" i="22"/>
  <c r="C14" i="22"/>
  <c r="D13" i="22"/>
  <c r="C13" i="22"/>
  <c r="D12" i="22"/>
  <c r="C12" i="22"/>
  <c r="D11" i="22"/>
  <c r="C11" i="22"/>
  <c r="D10" i="22"/>
  <c r="C10" i="22"/>
  <c r="D9" i="22"/>
  <c r="C9" i="22"/>
  <c r="D8" i="22"/>
  <c r="C8" i="22"/>
  <c r="D7" i="22"/>
  <c r="C7" i="22"/>
  <c r="D6" i="22"/>
  <c r="C6" i="22"/>
  <c r="G38" i="21"/>
  <c r="F38" i="21"/>
  <c r="B38" i="21"/>
  <c r="G37" i="21"/>
  <c r="F37" i="21"/>
  <c r="B37" i="21"/>
  <c r="G36" i="21"/>
  <c r="F36" i="21"/>
  <c r="B36" i="21"/>
  <c r="G35" i="21"/>
  <c r="F35" i="21"/>
  <c r="B35" i="21"/>
  <c r="G34" i="21"/>
  <c r="F34" i="21"/>
  <c r="B34" i="21"/>
  <c r="G33" i="21"/>
  <c r="F33" i="21"/>
  <c r="B33" i="21"/>
  <c r="G32" i="21"/>
  <c r="F32" i="21"/>
  <c r="B32" i="21"/>
  <c r="G31" i="21"/>
  <c r="F31" i="21"/>
  <c r="B31" i="21"/>
  <c r="G30" i="21"/>
  <c r="F30" i="21"/>
  <c r="B30" i="21"/>
  <c r="G29" i="21"/>
  <c r="F29" i="21"/>
  <c r="B29" i="21"/>
  <c r="G28" i="21"/>
  <c r="F28" i="21"/>
  <c r="B28" i="21"/>
  <c r="G27" i="21"/>
  <c r="F27" i="21"/>
  <c r="B27" i="21"/>
  <c r="G26" i="21"/>
  <c r="F26" i="21"/>
  <c r="B26" i="21"/>
  <c r="G25" i="21"/>
  <c r="F25" i="21"/>
  <c r="B25" i="21"/>
  <c r="G24" i="21"/>
  <c r="F24" i="21"/>
  <c r="B24" i="21"/>
  <c r="G23" i="21"/>
  <c r="F23" i="21"/>
  <c r="B23" i="21"/>
  <c r="G22" i="21"/>
  <c r="F22" i="21"/>
  <c r="B22" i="21"/>
  <c r="G21" i="21"/>
  <c r="F21" i="21"/>
  <c r="B21" i="21"/>
  <c r="G20" i="21"/>
  <c r="F20" i="21"/>
  <c r="B20" i="21"/>
  <c r="G19" i="21"/>
  <c r="F19" i="21"/>
  <c r="B19" i="21"/>
  <c r="G18" i="21"/>
  <c r="F18" i="21"/>
  <c r="B18" i="21"/>
  <c r="G17" i="21"/>
  <c r="F17" i="21"/>
  <c r="B17" i="21"/>
  <c r="G16" i="21"/>
  <c r="F16" i="21"/>
  <c r="B16" i="21"/>
  <c r="G15" i="21"/>
  <c r="F15" i="21"/>
  <c r="B15" i="21"/>
  <c r="G14" i="21"/>
  <c r="F14" i="21"/>
  <c r="B14" i="21"/>
  <c r="G13" i="21"/>
  <c r="F13" i="21"/>
  <c r="B13" i="21"/>
  <c r="G12" i="21"/>
  <c r="F12" i="21"/>
  <c r="B12" i="21"/>
  <c r="G11" i="21"/>
  <c r="F11" i="21"/>
  <c r="B11" i="21"/>
  <c r="G10" i="21"/>
  <c r="F10" i="21"/>
  <c r="B10" i="21"/>
  <c r="G9" i="21"/>
  <c r="F9" i="21"/>
  <c r="B9" i="21"/>
  <c r="G8" i="21"/>
  <c r="F8" i="21"/>
  <c r="B8" i="21"/>
  <c r="G7" i="21"/>
  <c r="F7" i="21"/>
  <c r="B7" i="21"/>
  <c r="G6" i="21"/>
  <c r="F6" i="21"/>
  <c r="B6" i="21"/>
  <c r="G5" i="21"/>
  <c r="F5" i="21"/>
  <c r="B5" i="21"/>
  <c r="G4" i="21"/>
  <c r="F4" i="21"/>
  <c r="B4" i="21"/>
  <c r="G3" i="21"/>
  <c r="F3" i="21"/>
  <c r="B3" i="21"/>
  <c r="D195" i="19"/>
  <c r="D179" i="19"/>
  <c r="D167" i="19"/>
  <c r="D146" i="19"/>
  <c r="D128" i="19"/>
  <c r="D115" i="19"/>
  <c r="D99" i="19"/>
  <c r="D84" i="19"/>
  <c r="D68" i="19"/>
  <c r="D52" i="19"/>
  <c r="D33" i="19"/>
  <c r="D17" i="19"/>
  <c r="C102" i="18"/>
  <c r="C101" i="18"/>
  <c r="C100" i="18"/>
  <c r="C99" i="18"/>
  <c r="C98" i="18"/>
  <c r="C97" i="18"/>
  <c r="C96" i="18"/>
  <c r="C95" i="18"/>
  <c r="C94" i="18"/>
  <c r="C93" i="18"/>
  <c r="R92" i="18"/>
  <c r="Q92" i="18"/>
  <c r="O92" i="18"/>
  <c r="M92" i="18"/>
  <c r="K92" i="18"/>
  <c r="I92" i="18"/>
  <c r="G92" i="18"/>
  <c r="C92" i="18"/>
  <c r="R90" i="18"/>
  <c r="Q90" i="18"/>
  <c r="O90" i="18"/>
  <c r="M90" i="18"/>
  <c r="K90" i="18"/>
  <c r="I90" i="18"/>
  <c r="G90" i="18"/>
  <c r="R89" i="18"/>
  <c r="Q89" i="18"/>
  <c r="O89" i="18"/>
  <c r="M89" i="18"/>
  <c r="K89" i="18"/>
  <c r="I89" i="18"/>
  <c r="G89" i="18"/>
  <c r="R88" i="18"/>
  <c r="Q88" i="18"/>
  <c r="O88" i="18"/>
  <c r="M88" i="18"/>
  <c r="K88" i="18"/>
  <c r="I88" i="18"/>
  <c r="G88" i="18"/>
  <c r="R87" i="18"/>
  <c r="Q87" i="18"/>
  <c r="O87" i="18"/>
  <c r="M87" i="18"/>
  <c r="K87" i="18"/>
  <c r="I87" i="18"/>
  <c r="G87" i="18"/>
  <c r="R86" i="18"/>
  <c r="Q86" i="18"/>
  <c r="O86" i="18"/>
  <c r="M86" i="18"/>
  <c r="K86" i="18"/>
  <c r="I86" i="18"/>
  <c r="G86" i="18"/>
  <c r="R85" i="18"/>
  <c r="Q85" i="18"/>
  <c r="O85" i="18"/>
  <c r="M85" i="18"/>
  <c r="K85" i="18"/>
  <c r="I85" i="18"/>
  <c r="G85" i="18"/>
  <c r="R84" i="18"/>
  <c r="Q84" i="18"/>
  <c r="O84" i="18"/>
  <c r="M84" i="18"/>
  <c r="K84" i="18"/>
  <c r="I84" i="18"/>
  <c r="G84" i="18"/>
  <c r="R83" i="18"/>
  <c r="Q83" i="18"/>
  <c r="O83" i="18"/>
  <c r="M83" i="18"/>
  <c r="K83" i="18"/>
  <c r="I83" i="18"/>
  <c r="G83" i="18"/>
  <c r="R82" i="18"/>
  <c r="Q82" i="18"/>
  <c r="O82" i="18"/>
  <c r="M82" i="18"/>
  <c r="K82" i="18"/>
  <c r="I82" i="18"/>
  <c r="G82" i="18"/>
  <c r="R81" i="18"/>
  <c r="Q81" i="18"/>
  <c r="O81" i="18"/>
  <c r="M81" i="18"/>
  <c r="K81" i="18"/>
  <c r="I81" i="18"/>
  <c r="G81" i="18"/>
  <c r="R80" i="18"/>
  <c r="Q80" i="18"/>
  <c r="O80" i="18"/>
  <c r="M80" i="18"/>
  <c r="K80" i="18"/>
  <c r="I80" i="18"/>
  <c r="G80" i="18"/>
  <c r="R79" i="18"/>
  <c r="Q79" i="18"/>
  <c r="O79" i="18"/>
  <c r="M79" i="18"/>
  <c r="K79" i="18"/>
  <c r="I79" i="18"/>
  <c r="G79" i="18"/>
  <c r="C71" i="18"/>
  <c r="C70" i="18"/>
  <c r="C69" i="18"/>
  <c r="C68" i="18"/>
  <c r="C67" i="18"/>
  <c r="C66" i="18"/>
  <c r="C65" i="18"/>
  <c r="C64" i="18"/>
  <c r="C63" i="18"/>
  <c r="C62" i="18"/>
  <c r="R61" i="18"/>
  <c r="Q61" i="18"/>
  <c r="O61" i="18"/>
  <c r="M61" i="18"/>
  <c r="K61" i="18"/>
  <c r="I61" i="18"/>
  <c r="G61" i="18"/>
  <c r="C61" i="18"/>
  <c r="R59" i="18"/>
  <c r="Q59" i="18"/>
  <c r="O59" i="18"/>
  <c r="M59" i="18"/>
  <c r="K59" i="18"/>
  <c r="I59" i="18"/>
  <c r="G59" i="18"/>
  <c r="R58" i="18"/>
  <c r="Q58" i="18"/>
  <c r="O58" i="18"/>
  <c r="M58" i="18"/>
  <c r="K58" i="18"/>
  <c r="I58" i="18"/>
  <c r="G58" i="18"/>
  <c r="R57" i="18"/>
  <c r="Q57" i="18"/>
  <c r="O57" i="18"/>
  <c r="M57" i="18"/>
  <c r="K57" i="18"/>
  <c r="I57" i="18"/>
  <c r="G57" i="18"/>
  <c r="R56" i="18"/>
  <c r="Q56" i="18"/>
  <c r="O56" i="18"/>
  <c r="M56" i="18"/>
  <c r="K56" i="18"/>
  <c r="I56" i="18"/>
  <c r="G56" i="18"/>
  <c r="R55" i="18"/>
  <c r="Q55" i="18"/>
  <c r="O55" i="18"/>
  <c r="M55" i="18"/>
  <c r="K55" i="18"/>
  <c r="I55" i="18"/>
  <c r="G55" i="18"/>
  <c r="R54" i="18"/>
  <c r="Q54" i="18"/>
  <c r="O54" i="18"/>
  <c r="M54" i="18"/>
  <c r="K54" i="18"/>
  <c r="I54" i="18"/>
  <c r="G54" i="18"/>
  <c r="R53" i="18"/>
  <c r="Q53" i="18"/>
  <c r="O53" i="18"/>
  <c r="M53" i="18"/>
  <c r="K53" i="18"/>
  <c r="I53" i="18"/>
  <c r="G53" i="18"/>
  <c r="R52" i="18"/>
  <c r="Q52" i="18"/>
  <c r="O52" i="18"/>
  <c r="M52" i="18"/>
  <c r="K52" i="18"/>
  <c r="I52" i="18"/>
  <c r="G52" i="18"/>
  <c r="R51" i="18"/>
  <c r="Q51" i="18"/>
  <c r="O51" i="18"/>
  <c r="M51" i="18"/>
  <c r="K51" i="18"/>
  <c r="I51" i="18"/>
  <c r="G51" i="18"/>
  <c r="R50" i="18"/>
  <c r="Q50" i="18"/>
  <c r="O50" i="18"/>
  <c r="M50" i="18"/>
  <c r="K50" i="18"/>
  <c r="I50" i="18"/>
  <c r="G50" i="18"/>
  <c r="R49" i="18"/>
  <c r="Q49" i="18"/>
  <c r="O49" i="18"/>
  <c r="M49" i="18"/>
  <c r="K49" i="18"/>
  <c r="I49" i="18"/>
  <c r="G49" i="18"/>
  <c r="R48" i="18"/>
  <c r="Q48" i="18"/>
  <c r="O48" i="18"/>
  <c r="M48" i="18"/>
  <c r="K48" i="18"/>
  <c r="I48" i="18"/>
  <c r="G48" i="18"/>
  <c r="O39" i="18"/>
  <c r="N39" i="18"/>
  <c r="M39" i="18"/>
  <c r="L39" i="18"/>
  <c r="K39" i="18"/>
  <c r="J39" i="18"/>
  <c r="I39" i="18"/>
  <c r="H39" i="18"/>
  <c r="G39" i="18"/>
  <c r="F39" i="18"/>
  <c r="E39" i="18"/>
  <c r="D39" i="18"/>
  <c r="C39" i="18"/>
  <c r="O38" i="18"/>
  <c r="O37" i="18"/>
  <c r="O36" i="18"/>
  <c r="O35" i="18"/>
  <c r="O34" i="18"/>
  <c r="O33" i="18"/>
  <c r="O32" i="18"/>
  <c r="O31" i="18"/>
  <c r="O30" i="18"/>
  <c r="O29" i="18"/>
  <c r="O28" i="18"/>
  <c r="O27" i="18"/>
  <c r="O26" i="18"/>
  <c r="O25" i="18"/>
  <c r="O24" i="18"/>
  <c r="O23" i="18"/>
  <c r="O22" i="18"/>
  <c r="O21" i="18"/>
  <c r="O20" i="18"/>
  <c r="O19" i="18"/>
  <c r="D17" i="17"/>
  <c r="C17" i="17"/>
  <c r="D16" i="17"/>
  <c r="C16" i="17"/>
  <c r="D15" i="17"/>
  <c r="C15" i="17"/>
  <c r="D14" i="17"/>
  <c r="C14" i="17"/>
  <c r="D13" i="17"/>
  <c r="C13" i="17"/>
  <c r="D12" i="17"/>
  <c r="C12" i="17"/>
  <c r="D11" i="17"/>
  <c r="C11" i="17"/>
  <c r="D10" i="17"/>
  <c r="C10" i="17"/>
  <c r="D9" i="17"/>
  <c r="C9" i="17"/>
  <c r="D8" i="17"/>
  <c r="C8" i="17"/>
  <c r="D7" i="17"/>
  <c r="C7" i="17"/>
  <c r="D6" i="17"/>
  <c r="D18" i="17" s="1"/>
  <c r="C6" i="17"/>
  <c r="C18" i="17" s="1"/>
  <c r="F38" i="16"/>
  <c r="B38" i="16"/>
  <c r="F37" i="16"/>
  <c r="B37" i="16"/>
  <c r="F36" i="16"/>
  <c r="B36" i="16"/>
  <c r="F35" i="16"/>
  <c r="B35" i="16"/>
  <c r="F34" i="16"/>
  <c r="B34" i="16"/>
  <c r="F33" i="16"/>
  <c r="B33" i="16"/>
  <c r="G32" i="16"/>
  <c r="F32" i="16"/>
  <c r="B32" i="16"/>
  <c r="G31" i="16"/>
  <c r="F31" i="16"/>
  <c r="B31" i="16"/>
  <c r="G30" i="16"/>
  <c r="F30" i="16"/>
  <c r="B30" i="16"/>
  <c r="G29" i="16"/>
  <c r="F29" i="16"/>
  <c r="B29" i="16"/>
  <c r="G28" i="16"/>
  <c r="F28" i="16"/>
  <c r="B28" i="16"/>
  <c r="G27" i="16"/>
  <c r="F27" i="16"/>
  <c r="B27" i="16"/>
  <c r="G26" i="16"/>
  <c r="F26" i="16"/>
  <c r="B26" i="16"/>
  <c r="G25" i="16"/>
  <c r="F25" i="16"/>
  <c r="B25" i="16"/>
  <c r="G24" i="16"/>
  <c r="F24" i="16"/>
  <c r="B24" i="16"/>
  <c r="G23" i="16"/>
  <c r="F23" i="16"/>
  <c r="B23" i="16"/>
  <c r="G22" i="16"/>
  <c r="F22" i="16"/>
  <c r="B22" i="16"/>
  <c r="G21" i="16"/>
  <c r="F21" i="16"/>
  <c r="B21" i="16"/>
  <c r="G20" i="16"/>
  <c r="F20" i="16"/>
  <c r="B20" i="16"/>
  <c r="G19" i="16"/>
  <c r="F19" i="16"/>
  <c r="B19" i="16"/>
  <c r="G18" i="16"/>
  <c r="F18" i="16"/>
  <c r="B18" i="16"/>
  <c r="G17" i="16"/>
  <c r="F17" i="16"/>
  <c r="B17" i="16"/>
  <c r="G16" i="16"/>
  <c r="F16" i="16"/>
  <c r="B16" i="16"/>
  <c r="G15" i="16"/>
  <c r="F15" i="16"/>
  <c r="B15" i="16"/>
  <c r="G14" i="16"/>
  <c r="F14" i="16"/>
  <c r="B14" i="16"/>
  <c r="G13" i="16"/>
  <c r="F13" i="16"/>
  <c r="B13" i="16"/>
  <c r="G12" i="16"/>
  <c r="F12" i="16"/>
  <c r="B12" i="16"/>
  <c r="G11" i="16"/>
  <c r="F11" i="16"/>
  <c r="B11" i="16"/>
  <c r="G10" i="16"/>
  <c r="F10" i="16"/>
  <c r="B10" i="16"/>
  <c r="G9" i="16"/>
  <c r="F9" i="16"/>
  <c r="B9" i="16"/>
  <c r="G8" i="16"/>
  <c r="F8" i="16"/>
  <c r="B8" i="16"/>
  <c r="G7" i="16"/>
  <c r="F7" i="16"/>
  <c r="B7" i="16"/>
  <c r="G6" i="16"/>
  <c r="F6" i="16"/>
  <c r="B6" i="16"/>
  <c r="G5" i="16"/>
  <c r="F5" i="16"/>
  <c r="B5" i="16"/>
  <c r="G4" i="16"/>
  <c r="F4" i="16"/>
  <c r="B4" i="16"/>
  <c r="G3" i="16"/>
  <c r="F3" i="16"/>
  <c r="B3" i="16"/>
  <c r="D167" i="15"/>
  <c r="D139" i="15"/>
  <c r="D128" i="15"/>
  <c r="D114" i="15"/>
  <c r="D103" i="15"/>
  <c r="D88" i="15"/>
  <c r="D75" i="15"/>
  <c r="D60" i="15"/>
  <c r="D44" i="15"/>
  <c r="D30" i="15"/>
  <c r="D14" i="15"/>
  <c r="C101" i="14"/>
  <c r="C100" i="14"/>
  <c r="C99" i="14"/>
  <c r="C98" i="14"/>
  <c r="C97" i="14"/>
  <c r="C96" i="14"/>
  <c r="C95" i="14"/>
  <c r="C94" i="14"/>
  <c r="C93" i="14"/>
  <c r="C92" i="14"/>
  <c r="R91" i="14"/>
  <c r="Q91" i="14"/>
  <c r="O91" i="14"/>
  <c r="M91" i="14"/>
  <c r="K91" i="14"/>
  <c r="I91" i="14"/>
  <c r="G91" i="14"/>
  <c r="C91" i="14"/>
  <c r="R89" i="14"/>
  <c r="Q89" i="14"/>
  <c r="O89" i="14"/>
  <c r="M89" i="14"/>
  <c r="K89" i="14"/>
  <c r="I89" i="14"/>
  <c r="G89" i="14"/>
  <c r="R88" i="14"/>
  <c r="Q88" i="14"/>
  <c r="O88" i="14"/>
  <c r="M88" i="14"/>
  <c r="K88" i="14"/>
  <c r="I88" i="14"/>
  <c r="G88" i="14"/>
  <c r="R87" i="14"/>
  <c r="Q87" i="14"/>
  <c r="O87" i="14"/>
  <c r="M87" i="14"/>
  <c r="K87" i="14"/>
  <c r="I87" i="14"/>
  <c r="G87" i="14"/>
  <c r="R86" i="14"/>
  <c r="Q86" i="14"/>
  <c r="O86" i="14"/>
  <c r="M86" i="14"/>
  <c r="K86" i="14"/>
  <c r="I86" i="14"/>
  <c r="G86" i="14"/>
  <c r="R85" i="14"/>
  <c r="Q85" i="14"/>
  <c r="O85" i="14"/>
  <c r="M85" i="14"/>
  <c r="K85" i="14"/>
  <c r="I85" i="14"/>
  <c r="G85" i="14"/>
  <c r="R84" i="14"/>
  <c r="Q84" i="14"/>
  <c r="O84" i="14"/>
  <c r="M84" i="14"/>
  <c r="K84" i="14"/>
  <c r="I84" i="14"/>
  <c r="G84" i="14"/>
  <c r="R83" i="14"/>
  <c r="Q83" i="14"/>
  <c r="O83" i="14"/>
  <c r="M83" i="14"/>
  <c r="K83" i="14"/>
  <c r="I83" i="14"/>
  <c r="G83" i="14"/>
  <c r="R82" i="14"/>
  <c r="Q82" i="14"/>
  <c r="O82" i="14"/>
  <c r="M82" i="14"/>
  <c r="K82" i="14"/>
  <c r="I82" i="14"/>
  <c r="G82" i="14"/>
  <c r="R81" i="14"/>
  <c r="Q81" i="14"/>
  <c r="O81" i="14"/>
  <c r="M81" i="14"/>
  <c r="K81" i="14"/>
  <c r="I81" i="14"/>
  <c r="G81" i="14"/>
  <c r="R80" i="14"/>
  <c r="Q80" i="14"/>
  <c r="O80" i="14"/>
  <c r="M80" i="14"/>
  <c r="K80" i="14"/>
  <c r="I80" i="14"/>
  <c r="G80" i="14"/>
  <c r="R79" i="14"/>
  <c r="Q79" i="14"/>
  <c r="O79" i="14"/>
  <c r="M79" i="14"/>
  <c r="K79" i="14"/>
  <c r="I79" i="14"/>
  <c r="G79" i="14"/>
  <c r="R78" i="14"/>
  <c r="Q78" i="14"/>
  <c r="O78" i="14"/>
  <c r="M78" i="14"/>
  <c r="K78" i="14"/>
  <c r="I78" i="14"/>
  <c r="G78" i="14"/>
  <c r="C70" i="14"/>
  <c r="C69" i="14"/>
  <c r="C68" i="14"/>
  <c r="C67" i="14"/>
  <c r="C66" i="14"/>
  <c r="C65" i="14"/>
  <c r="C64" i="14"/>
  <c r="C63" i="14"/>
  <c r="C62" i="14"/>
  <c r="C61" i="14"/>
  <c r="R60" i="14"/>
  <c r="Q60" i="14"/>
  <c r="O60" i="14"/>
  <c r="M60" i="14"/>
  <c r="K60" i="14"/>
  <c r="I60" i="14"/>
  <c r="G60" i="14"/>
  <c r="C60" i="14"/>
  <c r="R58" i="14"/>
  <c r="R57" i="14"/>
  <c r="R56" i="14"/>
  <c r="R55" i="14"/>
  <c r="R54" i="14"/>
  <c r="R53" i="14"/>
  <c r="R52" i="14"/>
  <c r="R51" i="14"/>
  <c r="R50" i="14"/>
  <c r="Q50" i="14"/>
  <c r="O50" i="14"/>
  <c r="M50" i="14"/>
  <c r="K50" i="14"/>
  <c r="I50" i="14"/>
  <c r="G50" i="14"/>
  <c r="R49" i="14"/>
  <c r="Q49" i="14"/>
  <c r="O49" i="14"/>
  <c r="M49" i="14"/>
  <c r="K49" i="14"/>
  <c r="I49" i="14"/>
  <c r="G49" i="14"/>
  <c r="R48" i="14"/>
  <c r="Q48" i="14"/>
  <c r="O48" i="14"/>
  <c r="M48" i="14"/>
  <c r="K48" i="14"/>
  <c r="I48" i="14"/>
  <c r="G48" i="14"/>
  <c r="R47" i="14"/>
  <c r="Q47" i="14"/>
  <c r="O47" i="14"/>
  <c r="M47" i="14"/>
  <c r="K47" i="14"/>
  <c r="I47" i="14"/>
  <c r="G47" i="14"/>
  <c r="O39" i="14"/>
  <c r="N39" i="14"/>
  <c r="M39" i="14"/>
  <c r="L39" i="14"/>
  <c r="K39" i="14"/>
  <c r="J39" i="14"/>
  <c r="I39" i="14"/>
  <c r="H39" i="14"/>
  <c r="G39" i="14"/>
  <c r="F39" i="14"/>
  <c r="E39" i="14"/>
  <c r="D39" i="14"/>
  <c r="C39" i="14"/>
  <c r="O38" i="14"/>
  <c r="O37" i="14"/>
  <c r="O36" i="14"/>
  <c r="O35" i="14"/>
  <c r="O34" i="14"/>
  <c r="O33" i="14"/>
  <c r="O32" i="14"/>
  <c r="O31" i="14"/>
  <c r="O30" i="14"/>
  <c r="O29" i="14"/>
  <c r="O28" i="14"/>
  <c r="O27" i="14"/>
  <c r="O26" i="14"/>
  <c r="O25" i="14"/>
  <c r="O24" i="14"/>
  <c r="O23" i="14"/>
  <c r="O22" i="14"/>
  <c r="O21" i="14"/>
  <c r="O20" i="14"/>
  <c r="O19" i="14"/>
  <c r="D17" i="12"/>
  <c r="C17" i="12"/>
  <c r="D16" i="12"/>
  <c r="C16" i="12"/>
  <c r="D15" i="12"/>
  <c r="C15" i="12"/>
  <c r="D14" i="12"/>
  <c r="C14" i="12"/>
  <c r="D13" i="12"/>
  <c r="C13" i="12"/>
  <c r="D12" i="12"/>
  <c r="C12" i="12"/>
  <c r="D11" i="12"/>
  <c r="C11" i="12"/>
  <c r="D10" i="12"/>
  <c r="C10" i="12"/>
  <c r="D9" i="12"/>
  <c r="C9" i="12"/>
  <c r="D8" i="12"/>
  <c r="C8" i="12"/>
  <c r="D7" i="12"/>
  <c r="C7" i="12"/>
  <c r="D6" i="12"/>
  <c r="D18" i="12" s="1"/>
  <c r="C6" i="12"/>
  <c r="F38" i="11"/>
  <c r="B38" i="11"/>
  <c r="F37" i="11"/>
  <c r="B37" i="11"/>
  <c r="F36" i="11"/>
  <c r="B36" i="11"/>
  <c r="F35" i="11"/>
  <c r="B35" i="11"/>
  <c r="F34" i="11"/>
  <c r="B34" i="11"/>
  <c r="F33" i="11"/>
  <c r="B33" i="11"/>
  <c r="F32" i="11"/>
  <c r="B32" i="11"/>
  <c r="F31" i="11"/>
  <c r="B31" i="11"/>
  <c r="F30" i="11"/>
  <c r="B30" i="11"/>
  <c r="F29" i="11"/>
  <c r="B29" i="11"/>
  <c r="F28" i="11"/>
  <c r="B28" i="11"/>
  <c r="F27" i="11"/>
  <c r="B27" i="11"/>
  <c r="F26" i="11"/>
  <c r="B26" i="11"/>
  <c r="F25" i="11"/>
  <c r="B25" i="11"/>
  <c r="F24" i="11"/>
  <c r="B24" i="11"/>
  <c r="F23" i="11"/>
  <c r="B23" i="11"/>
  <c r="F22" i="11"/>
  <c r="B22" i="11"/>
  <c r="F21" i="11"/>
  <c r="B21" i="11"/>
  <c r="F20" i="11"/>
  <c r="B20" i="11"/>
  <c r="F19" i="11"/>
  <c r="B19" i="11"/>
  <c r="F18" i="11"/>
  <c r="B18" i="11"/>
  <c r="F17" i="11"/>
  <c r="B17" i="11"/>
  <c r="F16" i="11"/>
  <c r="B16" i="11"/>
  <c r="F15" i="11"/>
  <c r="B15" i="11"/>
  <c r="F14" i="11"/>
  <c r="B14" i="11"/>
  <c r="F13" i="11"/>
  <c r="B13" i="11"/>
  <c r="F12" i="11"/>
  <c r="B12" i="11"/>
  <c r="F11" i="11"/>
  <c r="B11" i="11"/>
  <c r="F10" i="11"/>
  <c r="B10" i="11"/>
  <c r="G9" i="11"/>
  <c r="F9" i="11"/>
  <c r="B9" i="11"/>
  <c r="G8" i="11"/>
  <c r="F8" i="11"/>
  <c r="B8" i="11"/>
  <c r="G7" i="11"/>
  <c r="F7" i="11"/>
  <c r="B7" i="11"/>
  <c r="G6" i="11"/>
  <c r="F6" i="11"/>
  <c r="B6" i="11"/>
  <c r="G5" i="11"/>
  <c r="F5" i="11"/>
  <c r="B5" i="11"/>
  <c r="G4" i="11"/>
  <c r="F4" i="11"/>
  <c r="B4" i="11"/>
  <c r="G3" i="11"/>
  <c r="F3" i="11"/>
  <c r="B3" i="11"/>
  <c r="D190" i="10"/>
  <c r="D172" i="10"/>
  <c r="D152" i="10"/>
  <c r="D138" i="10"/>
  <c r="D124" i="10"/>
  <c r="D107" i="10"/>
  <c r="D89" i="10"/>
  <c r="D78" i="10"/>
  <c r="D65" i="10"/>
  <c r="D49" i="10"/>
  <c r="D34" i="10"/>
  <c r="D16" i="10"/>
  <c r="C101" i="9"/>
  <c r="C100" i="9"/>
  <c r="C99" i="9"/>
  <c r="C98" i="9"/>
  <c r="C97" i="9"/>
  <c r="C96" i="9"/>
  <c r="C95" i="9"/>
  <c r="C94" i="9"/>
  <c r="C93" i="9"/>
  <c r="C92" i="9"/>
  <c r="R91" i="9"/>
  <c r="Q91" i="9"/>
  <c r="O91" i="9"/>
  <c r="M91" i="9"/>
  <c r="K91" i="9"/>
  <c r="I91" i="9"/>
  <c r="G91" i="9"/>
  <c r="C91" i="9"/>
  <c r="R89" i="9"/>
  <c r="Q89" i="9"/>
  <c r="O89" i="9"/>
  <c r="M89" i="9"/>
  <c r="K89" i="9"/>
  <c r="I89" i="9"/>
  <c r="G89" i="9"/>
  <c r="R88" i="9"/>
  <c r="Q88" i="9"/>
  <c r="O88" i="9"/>
  <c r="M88" i="9"/>
  <c r="K88" i="9"/>
  <c r="I88" i="9"/>
  <c r="G88" i="9"/>
  <c r="R87" i="9"/>
  <c r="Q87" i="9"/>
  <c r="O87" i="9"/>
  <c r="M87" i="9"/>
  <c r="K87" i="9"/>
  <c r="I87" i="9"/>
  <c r="G87" i="9"/>
  <c r="R86" i="9"/>
  <c r="Q86" i="9"/>
  <c r="O86" i="9"/>
  <c r="M86" i="9"/>
  <c r="K86" i="9"/>
  <c r="I86" i="9"/>
  <c r="G86" i="9"/>
  <c r="R85" i="9"/>
  <c r="Q85" i="9"/>
  <c r="O85" i="9"/>
  <c r="M85" i="9"/>
  <c r="K85" i="9"/>
  <c r="I85" i="9"/>
  <c r="G85" i="9"/>
  <c r="R84" i="9"/>
  <c r="Q84" i="9"/>
  <c r="O84" i="9"/>
  <c r="M84" i="9"/>
  <c r="K84" i="9"/>
  <c r="I84" i="9"/>
  <c r="G84" i="9"/>
  <c r="R83" i="9"/>
  <c r="Q83" i="9"/>
  <c r="O83" i="9"/>
  <c r="M83" i="9"/>
  <c r="K83" i="9"/>
  <c r="I83" i="9"/>
  <c r="G83" i="9"/>
  <c r="R82" i="9"/>
  <c r="Q82" i="9"/>
  <c r="O82" i="9"/>
  <c r="M82" i="9"/>
  <c r="K82" i="9"/>
  <c r="I82" i="9"/>
  <c r="G82" i="9"/>
  <c r="R81" i="9"/>
  <c r="Q81" i="9"/>
  <c r="O81" i="9"/>
  <c r="M81" i="9"/>
  <c r="K81" i="9"/>
  <c r="I81" i="9"/>
  <c r="G81" i="9"/>
  <c r="R80" i="9"/>
  <c r="Q80" i="9"/>
  <c r="O80" i="9"/>
  <c r="M80" i="9"/>
  <c r="K80" i="9"/>
  <c r="I80" i="9"/>
  <c r="G80" i="9"/>
  <c r="R79" i="9"/>
  <c r="Q79" i="9"/>
  <c r="O79" i="9"/>
  <c r="M79" i="9"/>
  <c r="K79" i="9"/>
  <c r="I79" i="9"/>
  <c r="G79" i="9"/>
  <c r="R78" i="9"/>
  <c r="Q78" i="9"/>
  <c r="O78" i="9"/>
  <c r="M78" i="9"/>
  <c r="K78" i="9"/>
  <c r="I78" i="9"/>
  <c r="G78" i="9"/>
  <c r="C70" i="9"/>
  <c r="C69" i="9"/>
  <c r="C68" i="9"/>
  <c r="C67" i="9"/>
  <c r="C66" i="9"/>
  <c r="C65" i="9"/>
  <c r="C64" i="9"/>
  <c r="C63" i="9"/>
  <c r="C62" i="9"/>
  <c r="C61" i="9"/>
  <c r="R60" i="9"/>
  <c r="Q60" i="9"/>
  <c r="O60" i="9"/>
  <c r="M60" i="9"/>
  <c r="K60" i="9"/>
  <c r="I60" i="9"/>
  <c r="G60" i="9"/>
  <c r="C60" i="9"/>
  <c r="R58" i="9"/>
  <c r="R57" i="9"/>
  <c r="R56" i="9"/>
  <c r="R55" i="9"/>
  <c r="R54" i="9"/>
  <c r="R53" i="9"/>
  <c r="R52" i="9"/>
  <c r="R51" i="9"/>
  <c r="R50" i="9"/>
  <c r="Q50" i="9"/>
  <c r="O50" i="9"/>
  <c r="M50" i="9"/>
  <c r="K50" i="9"/>
  <c r="I50" i="9"/>
  <c r="G50" i="9"/>
  <c r="R49" i="9"/>
  <c r="Q49" i="9"/>
  <c r="O49" i="9"/>
  <c r="M49" i="9"/>
  <c r="K49" i="9"/>
  <c r="I49" i="9"/>
  <c r="G49" i="9"/>
  <c r="R48" i="9"/>
  <c r="Q48" i="9"/>
  <c r="O48" i="9"/>
  <c r="M48" i="9"/>
  <c r="K48" i="9"/>
  <c r="I48" i="9"/>
  <c r="G48" i="9"/>
  <c r="R47" i="9"/>
  <c r="Q47" i="9"/>
  <c r="O47" i="9"/>
  <c r="M47" i="9"/>
  <c r="K47" i="9"/>
  <c r="I47" i="9"/>
  <c r="G47" i="9"/>
  <c r="O39" i="9"/>
  <c r="N39" i="9"/>
  <c r="M39" i="9"/>
  <c r="L39" i="9"/>
  <c r="K39" i="9"/>
  <c r="J39" i="9"/>
  <c r="I39" i="9"/>
  <c r="H39" i="9"/>
  <c r="G39" i="9"/>
  <c r="F39" i="9"/>
  <c r="E39" i="9"/>
  <c r="D39" i="9"/>
  <c r="C39" i="9"/>
  <c r="O38" i="9"/>
  <c r="O37" i="9"/>
  <c r="O36" i="9"/>
  <c r="O35" i="9"/>
  <c r="O34" i="9"/>
  <c r="O33" i="9"/>
  <c r="O32" i="9"/>
  <c r="O31" i="9"/>
  <c r="O30" i="9"/>
  <c r="O29" i="9"/>
  <c r="O28" i="9"/>
  <c r="O27" i="9"/>
  <c r="O26" i="9"/>
  <c r="O25" i="9"/>
  <c r="O24" i="9"/>
  <c r="O23" i="9"/>
  <c r="O22" i="9"/>
  <c r="O21" i="9"/>
  <c r="O20" i="9"/>
  <c r="O19" i="9"/>
  <c r="D18" i="8"/>
  <c r="C18" i="8"/>
  <c r="D17" i="8"/>
  <c r="C17" i="8"/>
  <c r="D16" i="8"/>
  <c r="C16" i="8"/>
  <c r="D15" i="8"/>
  <c r="C15" i="8"/>
  <c r="D14" i="8"/>
  <c r="C14" i="8"/>
  <c r="D13" i="8"/>
  <c r="C13" i="8"/>
  <c r="D12" i="8"/>
  <c r="C12" i="8"/>
  <c r="D11" i="8"/>
  <c r="C11" i="8"/>
  <c r="D10" i="8"/>
  <c r="C10" i="8"/>
  <c r="D9" i="8"/>
  <c r="C9" i="8"/>
  <c r="D8" i="8"/>
  <c r="C8" i="8"/>
  <c r="D7" i="8"/>
  <c r="C7" i="8"/>
  <c r="D6" i="8"/>
  <c r="C6" i="8"/>
  <c r="G38" i="7"/>
  <c r="F38" i="7"/>
  <c r="B38" i="7"/>
  <c r="G37" i="7"/>
  <c r="F37" i="7"/>
  <c r="B37" i="7"/>
  <c r="G36" i="7"/>
  <c r="F36" i="7"/>
  <c r="B36" i="7"/>
  <c r="G35" i="7"/>
  <c r="F35" i="7"/>
  <c r="B35" i="7"/>
  <c r="G34" i="7"/>
  <c r="F34" i="7"/>
  <c r="B34" i="7"/>
  <c r="G33" i="7"/>
  <c r="F33" i="7"/>
  <c r="B33" i="7"/>
  <c r="G32" i="7"/>
  <c r="F32" i="7"/>
  <c r="B32" i="7"/>
  <c r="G31" i="7"/>
  <c r="F31" i="7"/>
  <c r="B31" i="7"/>
  <c r="G30" i="7"/>
  <c r="F30" i="7"/>
  <c r="B30" i="7"/>
  <c r="G29" i="7"/>
  <c r="F29" i="7"/>
  <c r="B29" i="7"/>
  <c r="G28" i="7"/>
  <c r="F28" i="7"/>
  <c r="B28" i="7"/>
  <c r="G27" i="7"/>
  <c r="F27" i="7"/>
  <c r="B27" i="7"/>
  <c r="G26" i="7"/>
  <c r="F26" i="7"/>
  <c r="B26" i="7"/>
  <c r="G25" i="7"/>
  <c r="F25" i="7"/>
  <c r="B25" i="7"/>
  <c r="G24" i="7"/>
  <c r="F24" i="7"/>
  <c r="B24" i="7"/>
  <c r="G23" i="7"/>
  <c r="F23" i="7"/>
  <c r="B23" i="7"/>
  <c r="G22" i="7"/>
  <c r="F22" i="7"/>
  <c r="B22" i="7"/>
  <c r="G21" i="7"/>
  <c r="F21" i="7"/>
  <c r="B21" i="7"/>
  <c r="G20" i="7"/>
  <c r="F20" i="7"/>
  <c r="B20" i="7"/>
  <c r="G19" i="7"/>
  <c r="F19" i="7"/>
  <c r="B19" i="7"/>
  <c r="G18" i="7"/>
  <c r="F18" i="7"/>
  <c r="B18" i="7"/>
  <c r="G17" i="7"/>
  <c r="F17" i="7"/>
  <c r="B17" i="7"/>
  <c r="G16" i="7"/>
  <c r="F16" i="7"/>
  <c r="B16" i="7"/>
  <c r="G15" i="7"/>
  <c r="F15" i="7"/>
  <c r="B15" i="7"/>
  <c r="G14" i="7"/>
  <c r="F14" i="7"/>
  <c r="B14" i="7"/>
  <c r="G13" i="7"/>
  <c r="F13" i="7"/>
  <c r="B13" i="7"/>
  <c r="G12" i="7"/>
  <c r="F12" i="7"/>
  <c r="B12" i="7"/>
  <c r="G11" i="7"/>
  <c r="F11" i="7"/>
  <c r="B11" i="7"/>
  <c r="G10" i="7"/>
  <c r="F10" i="7"/>
  <c r="B10" i="7"/>
  <c r="G9" i="7"/>
  <c r="F9" i="7"/>
  <c r="B9" i="7"/>
  <c r="G8" i="7"/>
  <c r="F8" i="7"/>
  <c r="B8" i="7"/>
  <c r="G7" i="7"/>
  <c r="F7" i="7"/>
  <c r="B7" i="7"/>
  <c r="G6" i="7"/>
  <c r="F6" i="7"/>
  <c r="B6" i="7"/>
  <c r="G5" i="7"/>
  <c r="F5" i="7"/>
  <c r="B5" i="7"/>
  <c r="G4" i="7"/>
  <c r="F4" i="7"/>
  <c r="B4" i="7"/>
  <c r="G3" i="7"/>
  <c r="F3" i="7"/>
  <c r="B3" i="7"/>
  <c r="D230" i="4"/>
  <c r="D210" i="4"/>
  <c r="D191" i="4"/>
  <c r="D176" i="4"/>
  <c r="D156" i="4"/>
  <c r="D140" i="4"/>
  <c r="D115" i="4"/>
  <c r="D92" i="4"/>
  <c r="D73" i="4"/>
  <c r="D54" i="4"/>
  <c r="D39" i="4"/>
  <c r="D17" i="4"/>
  <c r="C102" i="3"/>
  <c r="C101" i="3"/>
  <c r="C100" i="3"/>
  <c r="C99" i="3"/>
  <c r="C98" i="3"/>
  <c r="C97" i="3"/>
  <c r="C96" i="3"/>
  <c r="C95" i="3"/>
  <c r="C94" i="3"/>
  <c r="C93" i="3"/>
  <c r="R92" i="3"/>
  <c r="Q92" i="3"/>
  <c r="O92" i="3"/>
  <c r="M92" i="3"/>
  <c r="K92" i="3"/>
  <c r="I92" i="3"/>
  <c r="G92" i="3"/>
  <c r="C92" i="3"/>
  <c r="R90" i="3"/>
  <c r="Q90" i="3"/>
  <c r="O90" i="3"/>
  <c r="M90" i="3"/>
  <c r="K90" i="3"/>
  <c r="I90" i="3"/>
  <c r="G90" i="3"/>
  <c r="R89" i="3"/>
  <c r="Q89" i="3"/>
  <c r="O89" i="3"/>
  <c r="M89" i="3"/>
  <c r="K89" i="3"/>
  <c r="I89" i="3"/>
  <c r="G89" i="3"/>
  <c r="R88" i="3"/>
  <c r="Q88" i="3"/>
  <c r="O88" i="3"/>
  <c r="M88" i="3"/>
  <c r="K88" i="3"/>
  <c r="I88" i="3"/>
  <c r="G88" i="3"/>
  <c r="R87" i="3"/>
  <c r="Q87" i="3"/>
  <c r="O87" i="3"/>
  <c r="M87" i="3"/>
  <c r="K87" i="3"/>
  <c r="I87" i="3"/>
  <c r="G87" i="3"/>
  <c r="R86" i="3"/>
  <c r="Q86" i="3"/>
  <c r="O86" i="3"/>
  <c r="M86" i="3"/>
  <c r="K86" i="3"/>
  <c r="I86" i="3"/>
  <c r="G86" i="3"/>
  <c r="R85" i="3"/>
  <c r="Q85" i="3"/>
  <c r="O85" i="3"/>
  <c r="M85" i="3"/>
  <c r="K85" i="3"/>
  <c r="I85" i="3"/>
  <c r="G85" i="3"/>
  <c r="R84" i="3"/>
  <c r="Q84" i="3"/>
  <c r="O84" i="3"/>
  <c r="M84" i="3"/>
  <c r="K84" i="3"/>
  <c r="I84" i="3"/>
  <c r="G84" i="3"/>
  <c r="R83" i="3"/>
  <c r="Q83" i="3"/>
  <c r="O83" i="3"/>
  <c r="M83" i="3"/>
  <c r="K83" i="3"/>
  <c r="I83" i="3"/>
  <c r="G83" i="3"/>
  <c r="R82" i="3"/>
  <c r="Q82" i="3"/>
  <c r="O82" i="3"/>
  <c r="M82" i="3"/>
  <c r="K82" i="3"/>
  <c r="I82" i="3"/>
  <c r="G82" i="3"/>
  <c r="R81" i="3"/>
  <c r="Q81" i="3"/>
  <c r="O81" i="3"/>
  <c r="M81" i="3"/>
  <c r="K81" i="3"/>
  <c r="I81" i="3"/>
  <c r="G81" i="3"/>
  <c r="R80" i="3"/>
  <c r="Q80" i="3"/>
  <c r="O80" i="3"/>
  <c r="M80" i="3"/>
  <c r="K80" i="3"/>
  <c r="I80" i="3"/>
  <c r="G80" i="3"/>
  <c r="R79" i="3"/>
  <c r="Q79" i="3"/>
  <c r="O79" i="3"/>
  <c r="M79" i="3"/>
  <c r="K79" i="3"/>
  <c r="I79" i="3"/>
  <c r="G79" i="3"/>
  <c r="C71" i="3"/>
  <c r="C70" i="3"/>
  <c r="C69" i="3"/>
  <c r="C68" i="3"/>
  <c r="C67" i="3"/>
  <c r="C66" i="3"/>
  <c r="C65" i="3"/>
  <c r="C64" i="3"/>
  <c r="C63" i="3"/>
  <c r="C62" i="3"/>
  <c r="R61" i="3"/>
  <c r="Q61" i="3"/>
  <c r="O61" i="3"/>
  <c r="M61" i="3"/>
  <c r="K61" i="3"/>
  <c r="I61" i="3"/>
  <c r="G61" i="3"/>
  <c r="C61" i="3"/>
  <c r="R59" i="3"/>
  <c r="R58" i="3"/>
  <c r="R57" i="3"/>
  <c r="R56" i="3"/>
  <c r="R55" i="3"/>
  <c r="R54" i="3"/>
  <c r="R53" i="3"/>
  <c r="R52" i="3"/>
  <c r="Q52" i="3"/>
  <c r="O52" i="3"/>
  <c r="M52" i="3"/>
  <c r="K52" i="3"/>
  <c r="I52" i="3"/>
  <c r="G52" i="3"/>
  <c r="R51" i="3"/>
  <c r="Q51" i="3"/>
  <c r="O51" i="3"/>
  <c r="M51" i="3"/>
  <c r="K51" i="3"/>
  <c r="I51" i="3"/>
  <c r="G51" i="3"/>
  <c r="R50" i="3"/>
  <c r="Q50" i="3"/>
  <c r="O50" i="3"/>
  <c r="K50" i="3"/>
  <c r="I50" i="3"/>
  <c r="G50" i="3"/>
  <c r="R49" i="3"/>
  <c r="Q49" i="3"/>
  <c r="O49" i="3"/>
  <c r="M49" i="3"/>
  <c r="K49" i="3"/>
  <c r="I49" i="3"/>
  <c r="G49" i="3"/>
  <c r="R48" i="3"/>
  <c r="Q48" i="3"/>
  <c r="O48" i="3"/>
  <c r="M48" i="3"/>
  <c r="K48" i="3"/>
  <c r="I48" i="3"/>
  <c r="G48" i="3"/>
  <c r="O39" i="3"/>
  <c r="N39" i="3"/>
  <c r="M39" i="3"/>
  <c r="L39" i="3"/>
  <c r="K39" i="3"/>
  <c r="J39" i="3"/>
  <c r="I39" i="3"/>
  <c r="H39" i="3"/>
  <c r="G39" i="3"/>
  <c r="F39" i="3"/>
  <c r="E39" i="3"/>
  <c r="D39" i="3"/>
  <c r="C39" i="3"/>
  <c r="O38" i="3"/>
  <c r="O37" i="3"/>
  <c r="O36" i="3"/>
  <c r="O35" i="3"/>
  <c r="O34" i="3"/>
  <c r="O33" i="3"/>
  <c r="O32" i="3"/>
  <c r="O31" i="3"/>
  <c r="O30" i="3"/>
  <c r="O29" i="3"/>
  <c r="O28" i="3"/>
  <c r="O27" i="3"/>
  <c r="O26" i="3"/>
  <c r="O25" i="3"/>
  <c r="O24" i="3"/>
  <c r="O23" i="3"/>
  <c r="O22" i="3"/>
  <c r="O21" i="3"/>
  <c r="O20" i="3"/>
  <c r="O19" i="3"/>
  <c r="G65" i="72"/>
  <c r="R52" i="72"/>
  <c r="R65" i="72" s="1"/>
  <c r="R82" i="31" l="1"/>
  <c r="R91" i="31" s="1"/>
  <c r="C18" i="12"/>
</calcChain>
</file>

<file path=xl/sharedStrings.xml><?xml version="1.0" encoding="utf-8"?>
<sst xmlns="http://schemas.openxmlformats.org/spreadsheetml/2006/main" count="8128" uniqueCount="1818">
  <si>
    <t>New Bus Prep in 2012 Radio</t>
  </si>
  <si>
    <t>Total</t>
  </si>
  <si>
    <t>LABOR</t>
  </si>
  <si>
    <t>OTHER PARTS</t>
  </si>
  <si>
    <t>OIL BULK/OTHER</t>
  </si>
  <si>
    <t>LIGHTS</t>
  </si>
  <si>
    <t>ROAD CALLS</t>
  </si>
  <si>
    <t>WARRANTY</t>
  </si>
  <si>
    <t>ACCIDENT REPAIR</t>
  </si>
  <si>
    <t>TRANSMISSION</t>
  </si>
  <si>
    <t>ENGINE</t>
  </si>
  <si>
    <t>CAMSHAFTS</t>
  </si>
  <si>
    <t xml:space="preserve">A/C </t>
  </si>
  <si>
    <t>STARTERS</t>
  </si>
  <si>
    <t>CALIPERS</t>
  </si>
  <si>
    <t>BRAKES</t>
  </si>
  <si>
    <t>TIRES</t>
  </si>
  <si>
    <t>PM</t>
  </si>
  <si>
    <t>Trend</t>
  </si>
  <si>
    <t>Dec</t>
  </si>
  <si>
    <t>Nov</t>
  </si>
  <si>
    <t>Oct</t>
  </si>
  <si>
    <t>Sep</t>
  </si>
  <si>
    <t>Aug</t>
  </si>
  <si>
    <t>Jul</t>
  </si>
  <si>
    <t>Jun</t>
  </si>
  <si>
    <t>May</t>
  </si>
  <si>
    <t>Apr</t>
  </si>
  <si>
    <t>Mar</t>
  </si>
  <si>
    <t>Feb</t>
  </si>
  <si>
    <t>Jan</t>
  </si>
  <si>
    <t>Expenses</t>
  </si>
  <si>
    <t xml:space="preserve"> </t>
  </si>
  <si>
    <t>used .25 hours to replace</t>
  </si>
  <si>
    <t>116742g------------130662----------RD</t>
  </si>
  <si>
    <t>rh egress hand---------1c3a----------1</t>
  </si>
  <si>
    <t>used 3.5 hours to preform pm</t>
  </si>
  <si>
    <t>5w20 oil-----------same--------------RD</t>
  </si>
  <si>
    <t>motor oil----------bulk tank----------6 qts</t>
  </si>
  <si>
    <t>8c2z2001c--------same--------------RD</t>
  </si>
  <si>
    <t>front pads---------5g1--------1 set</t>
  </si>
  <si>
    <t>8c2z2200b--------same--------------RD</t>
  </si>
  <si>
    <t>rear pads---------5f1----------1 set</t>
  </si>
  <si>
    <t>FL8205--------------129936------------RD</t>
  </si>
  <si>
    <t>oil filter-----------4b1-----------1</t>
  </si>
  <si>
    <t>Part Number - Mileage - Mech Name</t>
  </si>
  <si>
    <t>Description         Bin Number    number used</t>
  </si>
  <si>
    <t>Category</t>
  </si>
  <si>
    <t>Amount</t>
  </si>
  <si>
    <t>W/O#</t>
  </si>
  <si>
    <t>Date</t>
  </si>
  <si>
    <t>JULY EXPENSES</t>
  </si>
  <si>
    <t>AUGUST EXPENSES</t>
  </si>
  <si>
    <t>PO#</t>
  </si>
  <si>
    <t>r/s headlight bulb------16f4----------1</t>
  </si>
  <si>
    <t>9008b1-----------131627----------RD</t>
  </si>
  <si>
    <t>SEPTEMBER EXPENSES</t>
  </si>
  <si>
    <t>oil filter-------------4b1-----------1</t>
  </si>
  <si>
    <t>fl8205---------------134773------------RG</t>
  </si>
  <si>
    <t>air filter-------------4top---------1</t>
  </si>
  <si>
    <t>88418--------------same--------------RG</t>
  </si>
  <si>
    <t>booster pum--------3a4--------1</t>
  </si>
  <si>
    <t>35015--------------same--------------RG</t>
  </si>
  <si>
    <t>cooling fan-----------16i1--------1</t>
  </si>
  <si>
    <t>mtr105p-----------same-------------RG</t>
  </si>
  <si>
    <t>r-s headlight bulb----16f4---------1</t>
  </si>
  <si>
    <t>9008b1-----------same--------------RG</t>
  </si>
  <si>
    <t>motor oil ----------bulk tank----------7qts</t>
  </si>
  <si>
    <t>5w20-------------same--------------RG</t>
  </si>
  <si>
    <t>used 4.0 hours to preform pm</t>
  </si>
  <si>
    <t>OCTOBER EXPENSES</t>
  </si>
  <si>
    <t>W/O</t>
  </si>
  <si>
    <t>201-5w20a</t>
  </si>
  <si>
    <t>added 1 qt of motor oil-----137950-----RG</t>
  </si>
  <si>
    <t>Year 12</t>
  </si>
  <si>
    <t>Year 11</t>
  </si>
  <si>
    <t>Year 10</t>
  </si>
  <si>
    <t>Year 9</t>
  </si>
  <si>
    <t>Year 8</t>
  </si>
  <si>
    <t>Year 7</t>
  </si>
  <si>
    <t>Year 6</t>
  </si>
  <si>
    <t>*1  The rate used as the inflation factor is agency specific, consult your finance officer for the applicable rate in your area</t>
  </si>
  <si>
    <t>Year 5</t>
  </si>
  <si>
    <t>Year 4</t>
  </si>
  <si>
    <t>Year 3</t>
  </si>
  <si>
    <t>TOTALS</t>
  </si>
  <si>
    <t>Year 2</t>
  </si>
  <si>
    <t>Year 1</t>
  </si>
  <si>
    <t>Multipliers based on inflation</t>
  </si>
  <si>
    <t>Road Calls/per call</t>
  </si>
  <si>
    <t>Tire Miles</t>
  </si>
  <si>
    <t>Brake Miles</t>
  </si>
  <si>
    <t>Trans Miles</t>
  </si>
  <si>
    <t>Engine Miles</t>
  </si>
  <si>
    <t>Miles/PM</t>
  </si>
  <si>
    <t>Miles/Year</t>
  </si>
  <si>
    <t>Tire program</t>
  </si>
  <si>
    <t>Brake program</t>
  </si>
  <si>
    <t>Trans R/R</t>
  </si>
  <si>
    <t>Engine R/R</t>
  </si>
  <si>
    <t>Cost</t>
  </si>
  <si>
    <t># per year</t>
  </si>
  <si>
    <t>PM &amp; Insp.</t>
  </si>
  <si>
    <t>Projected Total     Ownership</t>
  </si>
  <si>
    <t>Road Calls</t>
  </si>
  <si>
    <t>Brake              program</t>
  </si>
  <si>
    <t>Trans. RR</t>
  </si>
  <si>
    <t>Engine RR</t>
  </si>
  <si>
    <t>PM &amp; Inspection</t>
  </si>
  <si>
    <t>ASSET LIFE</t>
  </si>
  <si>
    <t>Inflate Rate *1</t>
  </si>
  <si>
    <t>BASED ON _______12.10.12--12.10.17</t>
  </si>
  <si>
    <t>First Cost</t>
  </si>
  <si>
    <t>Projected Maintenance Practices</t>
  </si>
  <si>
    <t>5 years</t>
  </si>
  <si>
    <t>Useful Life</t>
  </si>
  <si>
    <t xml:space="preserve"># 4838-201 </t>
  </si>
  <si>
    <t xml:space="preserve"> Ford F-450 </t>
  </si>
  <si>
    <t>MOVTA</t>
  </si>
  <si>
    <t>True Mainteance Practices</t>
  </si>
  <si>
    <t>BASED ON ______12.10.12--12.10.17</t>
  </si>
  <si>
    <t>Trans RR</t>
  </si>
  <si>
    <t>Brake Program</t>
  </si>
  <si>
    <t>Tire Program</t>
  </si>
  <si>
    <t>*1  Inclusion of and inflation rate is optional in calculating costs</t>
  </si>
  <si>
    <t>9.9.17</t>
  </si>
  <si>
    <t>7.21.17</t>
  </si>
  <si>
    <t>5.26.17</t>
  </si>
  <si>
    <t>4.7.17</t>
  </si>
  <si>
    <t>2.17.17</t>
  </si>
  <si>
    <t>12.29.16</t>
  </si>
  <si>
    <t>11.9.16</t>
  </si>
  <si>
    <t>9.22.16</t>
  </si>
  <si>
    <t>8.2.16</t>
  </si>
  <si>
    <t>6.9.16</t>
  </si>
  <si>
    <t>3.29.16</t>
  </si>
  <si>
    <t>11.20.15</t>
  </si>
  <si>
    <t>9.5.15</t>
  </si>
  <si>
    <t>6.9.15</t>
  </si>
  <si>
    <t>4.9.15</t>
  </si>
  <si>
    <t>2.11.15</t>
  </si>
  <si>
    <t>12.16.14</t>
  </si>
  <si>
    <t>10.23.14</t>
  </si>
  <si>
    <t>8.28.14</t>
  </si>
  <si>
    <t>7.9.14</t>
  </si>
  <si>
    <t>5.8.14</t>
  </si>
  <si>
    <t>3.11.14</t>
  </si>
  <si>
    <t>1.17.14</t>
  </si>
  <si>
    <t>11.20.13</t>
  </si>
  <si>
    <t>9.3.13</t>
  </si>
  <si>
    <t>6.26.13</t>
  </si>
  <si>
    <t>3.7.13</t>
  </si>
  <si>
    <t>Mileage Difference</t>
  </si>
  <si>
    <t>Current PM Date &amp; Mileage</t>
  </si>
  <si>
    <t>Last PM Date &amp; Mileage</t>
  </si>
  <si>
    <t>W/O #</t>
  </si>
  <si>
    <t>Year</t>
  </si>
  <si>
    <t>Projected Cost Alternate Maintenance Practices, $253,816</t>
  </si>
  <si>
    <t xml:space="preserve">Projected Cost-Current Maintenance Practices, $109,252  </t>
  </si>
  <si>
    <t>NOVEMBER EXPENSES</t>
  </si>
  <si>
    <t>Description</t>
  </si>
  <si>
    <t>Column1</t>
  </si>
  <si>
    <t>DECEMBER EXPENSES</t>
  </si>
  <si>
    <t>JANUARY EXPENSES</t>
  </si>
  <si>
    <t>Work Order</t>
  </si>
  <si>
    <t>FEBRUARY EXPENSES</t>
  </si>
  <si>
    <t>MARCH EXPENSES</t>
  </si>
  <si>
    <t>APRIL EXPENSES</t>
  </si>
  <si>
    <t>w/o</t>
  </si>
  <si>
    <t>MAY EXPENSES</t>
  </si>
  <si>
    <t>JUNE EXPENSES</t>
  </si>
  <si>
    <t>OIL/OTHER FLUIDS</t>
  </si>
  <si>
    <t>up dated 7.12.17</t>
  </si>
  <si>
    <t>#9352 202</t>
  </si>
  <si>
    <t>BASED ON _______12.10.2012-12.10.2017</t>
  </si>
  <si>
    <t>used .25 hour</t>
  </si>
  <si>
    <t>stl43abx-------------119091----------TT</t>
  </si>
  <si>
    <t>turn signal-----------14b2a------------1</t>
  </si>
  <si>
    <t>used .50 hours to replace</t>
  </si>
  <si>
    <t>22570r/16------------102720---------RD</t>
  </si>
  <si>
    <t>steer tires----------shop rack-----------2</t>
  </si>
  <si>
    <t>shaft #78-----------officw----------1</t>
  </si>
  <si>
    <t>b145330002--------119458----------RG</t>
  </si>
  <si>
    <t>shaft #9-----------office-----------1</t>
  </si>
  <si>
    <t>a145340002---------same-----------RG</t>
  </si>
  <si>
    <t>used 1.5 hours to repair fare box</t>
  </si>
  <si>
    <t>left headlight bulb-------16f4----------1</t>
  </si>
  <si>
    <t>9008b1-----------119472------------TT</t>
  </si>
  <si>
    <t>7X9.5 MIRR GLA---------16A1----------1</t>
  </si>
  <si>
    <t>815H1-------------119709---------RD</t>
  </si>
  <si>
    <t>oil filter------------4b1------------1</t>
  </si>
  <si>
    <t>fl8205-------------11931-----------RD</t>
  </si>
  <si>
    <t>front pads--------5g1-----------1 set</t>
  </si>
  <si>
    <t>8c2z2001c------same------------RD</t>
  </si>
  <si>
    <t>steer tires---------shop rack---------2</t>
  </si>
  <si>
    <t>225/70r16-------same-----------RD</t>
  </si>
  <si>
    <t>motor oil--------bulk tank---------6qts</t>
  </si>
  <si>
    <t>5w20-----------same-------------RD</t>
  </si>
  <si>
    <t>used 3.0 hours to preform pm</t>
  </si>
  <si>
    <t>919202-1</t>
  </si>
  <si>
    <t>motor oil------------bulk tank-------added 1 qt</t>
  </si>
  <si>
    <t>5w20----------------121619----------RG</t>
  </si>
  <si>
    <t>202-5w20a</t>
  </si>
  <si>
    <t>added 1qt of motor oil -----123775-------RG</t>
  </si>
  <si>
    <t>8.24.17</t>
  </si>
  <si>
    <t>5.4.17</t>
  </si>
  <si>
    <t>3.16.17</t>
  </si>
  <si>
    <t>1.14.17</t>
  </si>
  <si>
    <t>9.29.16</t>
  </si>
  <si>
    <t>7.22.16</t>
  </si>
  <si>
    <t>5.27.16</t>
  </si>
  <si>
    <t>4.1.16</t>
  </si>
  <si>
    <t>2.3.16</t>
  </si>
  <si>
    <t>11.27.15</t>
  </si>
  <si>
    <t>9.24.15</t>
  </si>
  <si>
    <t>7.31.15</t>
  </si>
  <si>
    <t>6.2.15</t>
  </si>
  <si>
    <t>3.4.15</t>
  </si>
  <si>
    <t>12.17.14</t>
  </si>
  <si>
    <t>10.6.14</t>
  </si>
  <si>
    <t>8.2.14</t>
  </si>
  <si>
    <t>6.24.14</t>
  </si>
  <si>
    <t>5.12.14</t>
  </si>
  <si>
    <t>2.24.14</t>
  </si>
  <si>
    <t>11.25.13</t>
  </si>
  <si>
    <t>9.19.13</t>
  </si>
  <si>
    <t>7.23.13</t>
  </si>
  <si>
    <t>5.23.13</t>
  </si>
  <si>
    <t xml:space="preserve">INDEX </t>
  </si>
  <si>
    <t>F/Y 2018 bus files, work orders plus PM and charts</t>
  </si>
  <si>
    <t>OIL /OTHER FLUIDS</t>
  </si>
  <si>
    <t>WARRANTY/LABOR</t>
  </si>
  <si>
    <t xml:space="preserve"> CALIPERS</t>
  </si>
  <si>
    <t>updated 7.12.17</t>
  </si>
  <si>
    <r>
      <t xml:space="preserve">                     </t>
    </r>
    <r>
      <rPr>
        <b/>
        <u/>
        <sz val="26"/>
        <color theme="1"/>
        <rFont val="Calibri"/>
        <family val="2"/>
        <scheme val="minor"/>
      </rPr>
      <t xml:space="preserve"> C.A.T 16 BUS 203 FY18 YEAR FIVE</t>
    </r>
  </si>
  <si>
    <t>#9391 203</t>
  </si>
  <si>
    <t>BASED ON _______12.30.13--12.30.18</t>
  </si>
  <si>
    <t>Was sent back to Factory to be repainted 12.6.2013 the Red was wrong shade</t>
  </si>
  <si>
    <t>replaced Transmission 12.7.2015 mileage 75880   $3,176.65</t>
  </si>
  <si>
    <t>replaced transmission 1.10.17 mileage 96976 Warranty job</t>
  </si>
  <si>
    <t>used .25 hours to add</t>
  </si>
  <si>
    <t>5w20</t>
  </si>
  <si>
    <t>added 1 qt motor oil       Ron G</t>
  </si>
  <si>
    <t>oil filter-------------4b1------------1</t>
  </si>
  <si>
    <t>fl8205--------------105393---------RD</t>
  </si>
  <si>
    <t>rear pads----------5f1--------------1 set</t>
  </si>
  <si>
    <t>8c2z2200b-------same-----------RD</t>
  </si>
  <si>
    <t>front pads---------5g1------------- 1 set</t>
  </si>
  <si>
    <t>8c2z2001c-------same-----------RD</t>
  </si>
  <si>
    <t>5w20 oil---------bulk tank---------6 qts</t>
  </si>
  <si>
    <t>motor oil---------same------------RD</t>
  </si>
  <si>
    <t>lift rool stop--------14a2-----------1</t>
  </si>
  <si>
    <t>33775a-----------197723---------RG</t>
  </si>
  <si>
    <t>used 1.5 hours to repair</t>
  </si>
  <si>
    <t>parkin brak cable-------z203--------1</t>
  </si>
  <si>
    <t>21119-------------109403-----------RG</t>
  </si>
  <si>
    <t>used 1.0 hour to repair</t>
  </si>
  <si>
    <t>oil filter-------------4b1---------------1</t>
  </si>
  <si>
    <t>fl8205-----------110213---------------RG</t>
  </si>
  <si>
    <t>ail filter-------------4top--------------1</t>
  </si>
  <si>
    <t>88418-----------same-----------------RG</t>
  </si>
  <si>
    <t>motor oil---------bulk tank---------7qts</t>
  </si>
  <si>
    <t>5w20 oil---------same------------RG</t>
  </si>
  <si>
    <t>used 2.0 hour to preform pm</t>
  </si>
  <si>
    <t>10.7.17</t>
  </si>
  <si>
    <t>8.2.17</t>
  </si>
  <si>
    <t>4.20.17</t>
  </si>
  <si>
    <t>8.19.16</t>
  </si>
  <si>
    <t>4.29.16</t>
  </si>
  <si>
    <t>3.11.16</t>
  </si>
  <si>
    <t>1.22.16</t>
  </si>
  <si>
    <t>11.25.15</t>
  </si>
  <si>
    <t>10.8.15</t>
  </si>
  <si>
    <t>8.3.15</t>
  </si>
  <si>
    <t>6.18.15</t>
  </si>
  <si>
    <t>5.6.15</t>
  </si>
  <si>
    <t>3.25.15</t>
  </si>
  <si>
    <t>2.7.15</t>
  </si>
  <si>
    <t>12.24.14</t>
  </si>
  <si>
    <t>11.11.14</t>
  </si>
  <si>
    <t>10.3.14</t>
  </si>
  <si>
    <t>8.20.14</t>
  </si>
  <si>
    <t>7.7.14</t>
  </si>
  <si>
    <t>5.23.14</t>
  </si>
  <si>
    <t>4.11.14</t>
  </si>
  <si>
    <t>2.27.14</t>
  </si>
  <si>
    <r>
      <t xml:space="preserve">                    </t>
    </r>
    <r>
      <rPr>
        <b/>
        <u/>
        <sz val="10"/>
        <color theme="1"/>
        <rFont val="Calibri"/>
        <family val="2"/>
        <scheme val="minor"/>
      </rPr>
      <t xml:space="preserve">  C.A.T 16 BUS 301 FY 18 YEAR SIX</t>
    </r>
  </si>
  <si>
    <t xml:space="preserve"> F-550 #301</t>
  </si>
  <si>
    <t>vin-7068</t>
  </si>
  <si>
    <t>7 years</t>
  </si>
  <si>
    <t>BASED ON  START DATE 11.15.2012-11.15.2019</t>
  </si>
  <si>
    <t>Brake program is 3 sets of pads front &amp; rear, 1 set of rotors front &amp; rear per year target number is 972.00</t>
  </si>
  <si>
    <t>Tire program is 1 set of tires front &amp; rear</t>
  </si>
  <si>
    <t>BASED ON __11.15.2012-11.15.2019</t>
  </si>
  <si>
    <t xml:space="preserve">Right side Camshaft miles 118777 </t>
  </si>
  <si>
    <t>10.10.15</t>
  </si>
  <si>
    <t>Jasper rebuilt Transmission 11.10.15 miles 122019</t>
  </si>
  <si>
    <t>Description         Bin Number      Number used</t>
  </si>
  <si>
    <t>parkin brak cable--------z301----------1</t>
  </si>
  <si>
    <t>21119------------180476----------RG</t>
  </si>
  <si>
    <t>front shoc---------1g1------------2</t>
  </si>
  <si>
    <t>65167-------------same-----------RD</t>
  </si>
  <si>
    <t>coolant----------7c1-----------1 gallon</t>
  </si>
  <si>
    <t>vc3b--------------same------------RD</t>
  </si>
  <si>
    <t>rtv sealer-----------shop----------1</t>
  </si>
  <si>
    <t>3hhh5------------same--------------RG</t>
  </si>
  <si>
    <t>recap tires----------shop rack--------4</t>
  </si>
  <si>
    <t>225/70r19.5R--------181003---------TT</t>
  </si>
  <si>
    <t>item was put on bus in Feb 11, 17 but no WO</t>
  </si>
  <si>
    <t>used ------1--------cq9008</t>
  </si>
  <si>
    <t>trans fluid sensor-----z301-----------1</t>
  </si>
  <si>
    <t>bc3z7h141a---------181492--------TT</t>
  </si>
  <si>
    <t>trans fluid ------------7b1-------------8qts</t>
  </si>
  <si>
    <t>xt10qlvc------------same----------TT</t>
  </si>
  <si>
    <t>trans filter-------------4e3------------1</t>
  </si>
  <si>
    <t>ft180-----------------same---------TT</t>
  </si>
  <si>
    <t>used 2.0 hours to change filter</t>
  </si>
  <si>
    <t>right headlight bulb------16f4----------1</t>
  </si>
  <si>
    <t>cq9008------------182642-------------TT</t>
  </si>
  <si>
    <t>Description Bin-Number</t>
  </si>
  <si>
    <r>
      <t xml:space="preserve">C.A.T. # 301   PLATE </t>
    </r>
    <r>
      <rPr>
        <sz val="11"/>
        <color indexed="10"/>
        <rFont val="Calibri"/>
        <family val="2"/>
        <scheme val="minor"/>
      </rPr>
      <t># TA-700</t>
    </r>
  </si>
  <si>
    <r>
      <t xml:space="preserve">REAL C.A.T. # 301     PLATE </t>
    </r>
    <r>
      <rPr>
        <sz val="11"/>
        <color indexed="10"/>
        <rFont val="Calibri"/>
        <family val="2"/>
        <scheme val="minor"/>
      </rPr>
      <t># TA-700</t>
    </r>
  </si>
  <si>
    <t>6.3.17</t>
  </si>
  <si>
    <t>4.19.17</t>
  </si>
  <si>
    <t>2.15.17</t>
  </si>
  <si>
    <t>12.31.16</t>
  </si>
  <si>
    <t>11.11.16</t>
  </si>
  <si>
    <t>9.24.16</t>
  </si>
  <si>
    <t>7.20.16</t>
  </si>
  <si>
    <t>6.7.16</t>
  </si>
  <si>
    <t>4.15.16</t>
  </si>
  <si>
    <t>2.26.16</t>
  </si>
  <si>
    <t>2.19.16</t>
  </si>
  <si>
    <t>12.4.15</t>
  </si>
  <si>
    <t>10.20.15</t>
  </si>
  <si>
    <t>9.10.15</t>
  </si>
  <si>
    <t>8.1.15</t>
  </si>
  <si>
    <t>6.20.15</t>
  </si>
  <si>
    <t>4.23.15</t>
  </si>
  <si>
    <t>3.14.15</t>
  </si>
  <si>
    <t>2.3.15</t>
  </si>
  <si>
    <t>12.20.14</t>
  </si>
  <si>
    <t>11.5.14</t>
  </si>
  <si>
    <t>9.23.14</t>
  </si>
  <si>
    <t>8.12.14</t>
  </si>
  <si>
    <t>7.2.14</t>
  </si>
  <si>
    <t>5.19.14</t>
  </si>
  <si>
    <t>4.9.14</t>
  </si>
  <si>
    <t>2.18.14</t>
  </si>
  <si>
    <t>1.8.14</t>
  </si>
  <si>
    <t>11.27.13</t>
  </si>
  <si>
    <t>10.18.13</t>
  </si>
  <si>
    <t>9.4.13</t>
  </si>
  <si>
    <t>7.19.13</t>
  </si>
  <si>
    <t>6.4.13</t>
  </si>
  <si>
    <t>4.10.13</t>
  </si>
  <si>
    <t>2.25.13</t>
  </si>
  <si>
    <t>1.8.13</t>
  </si>
  <si>
    <t xml:space="preserve"> F-550 #302</t>
  </si>
  <si>
    <t>vin-7078</t>
  </si>
  <si>
    <t>BASED ON  START DATE 11.13.2012-11.04.2019</t>
  </si>
  <si>
    <t xml:space="preserve">Brake program </t>
  </si>
  <si>
    <t xml:space="preserve">Tire program </t>
  </si>
  <si>
    <t>BASED ON _11.13.2012-11.04.2019</t>
  </si>
  <si>
    <t>Year (x)</t>
  </si>
  <si>
    <t xml:space="preserve">Brake Program </t>
  </si>
  <si>
    <t xml:space="preserve">Tire Program </t>
  </si>
  <si>
    <t>1.2.15 replaced camshaft</t>
  </si>
  <si>
    <t xml:space="preserve">4.17.15 new oil and filter valve spring </t>
  </si>
  <si>
    <t>bc3z13k359ba--------181486----------RG</t>
  </si>
  <si>
    <t>turn/signal switch------15a3-----------1</t>
  </si>
  <si>
    <t>used .25 to replace</t>
  </si>
  <si>
    <t>9008b1-----------180737-----------RG</t>
  </si>
  <si>
    <t>RIGHT HEADLIGHT BULB----16f4---------1</t>
  </si>
  <si>
    <t>0601018------------same---------RG</t>
  </si>
  <si>
    <t>5w20 oil----------bulk tank----------7qts</t>
  </si>
  <si>
    <t>225/70r19.5-------same-----------RG</t>
  </si>
  <si>
    <t xml:space="preserve">steer tires-------------stkrm--------2 </t>
  </si>
  <si>
    <t>032-----------same---------------RG</t>
  </si>
  <si>
    <t>brake kleen-----------7a3---------1</t>
  </si>
  <si>
    <t>18b8047b---------same------------RG</t>
  </si>
  <si>
    <t>left front caliper--------6g1-------1</t>
  </si>
  <si>
    <t>18b8046b--------same--------------RG</t>
  </si>
  <si>
    <t>right front caliper------6f1-------1</t>
  </si>
  <si>
    <t>9c3z2001a--------same-------------RG</t>
  </si>
  <si>
    <t>front pads----------5e1------------1 set</t>
  </si>
  <si>
    <t>FL8205-------------180080------------RG</t>
  </si>
  <si>
    <t>oil filter-----------4b1-------------1</t>
  </si>
  <si>
    <t>Description       Bin Number   Number used</t>
  </si>
  <si>
    <t>coolant leak-------7c1----------2 gallons</t>
  </si>
  <si>
    <t>vc3b-------------186230---------RD</t>
  </si>
  <si>
    <t>l-h neadlight bulb----16f4---------1</t>
  </si>
  <si>
    <t>9008b1------------186482---------RD</t>
  </si>
  <si>
    <t>wip blades---------3g1----------1</t>
  </si>
  <si>
    <t>ww2201pf---------same---------RD</t>
  </si>
  <si>
    <t>r-side headlight bulb------16f4-------1</t>
  </si>
  <si>
    <t>cq9008----------189108-----------RG</t>
  </si>
  <si>
    <t>exhaust hanger-------5b-----------1</t>
  </si>
  <si>
    <t>8483------------182802----------RG</t>
  </si>
  <si>
    <t>used .50 hours to repair</t>
  </si>
  <si>
    <t>wheel nuts---------1b3-------------1</t>
  </si>
  <si>
    <t>6414294-----------184629--------RD</t>
  </si>
  <si>
    <t>r/r caliper-----------6f1--------------1</t>
  </si>
  <si>
    <t>18b8046b----------same--------RD</t>
  </si>
  <si>
    <t>rear pads----------6e1------------1 set</t>
  </si>
  <si>
    <t>9c3z2001a---------same--------RD</t>
  </si>
  <si>
    <t>used 2.5 hour to repair</t>
  </si>
  <si>
    <t>a/c conner kit---------15h3----------1</t>
  </si>
  <si>
    <t>1016903-------------184693--------TT</t>
  </si>
  <si>
    <t>used 1.0 hours to repair</t>
  </si>
  <si>
    <t>oil filter-----------4b1--------------1</t>
  </si>
  <si>
    <t>fl8201---------------185116--------RD</t>
  </si>
  <si>
    <t>air filter-----------4a1-------------1</t>
  </si>
  <si>
    <t>fa1883--------------same---------Rd</t>
  </si>
  <si>
    <t>bik rac bush------5b2---------1</t>
  </si>
  <si>
    <t>100226-------------same----------RD</t>
  </si>
  <si>
    <t>motor oil------bulk tank---------7qts</t>
  </si>
  <si>
    <t>5w20 oil -----------same---------RD</t>
  </si>
  <si>
    <t>2.5 hours used to preform pm</t>
  </si>
  <si>
    <t>coolant----------7c1-----------2</t>
  </si>
  <si>
    <t>vc3b------------186120----------RD</t>
  </si>
  <si>
    <t>brak clea---------shop----------2</t>
  </si>
  <si>
    <t>11971205089-----same--------RD</t>
  </si>
  <si>
    <t>used 1.50 hours to repair</t>
  </si>
  <si>
    <t>heateer hose------z302------------1</t>
  </si>
  <si>
    <t>bc3z18472h------190144-----------RD</t>
  </si>
  <si>
    <t>heater hose---------z302-----------1</t>
  </si>
  <si>
    <t>bc3z18472f--------same-----------RD</t>
  </si>
  <si>
    <t>coolant--------------shop-----------2 qts</t>
  </si>
  <si>
    <t>vc3b---------------same------------RD</t>
  </si>
  <si>
    <t>bc3zs18472k-------same------------RD</t>
  </si>
  <si>
    <t>spark plug----------6b1-----------10</t>
  </si>
  <si>
    <t>sp509----------------same------------RD</t>
  </si>
  <si>
    <t>brake pads----------5e1----------2 sets</t>
  </si>
  <si>
    <t>9c3z2001a----------same-----------RD</t>
  </si>
  <si>
    <t>bik rac bush---------5b2-----------2</t>
  </si>
  <si>
    <t>100226---------------same------------RD</t>
  </si>
  <si>
    <t>oil filter----------------4b1-----------1</t>
  </si>
  <si>
    <t>fl8205----------------same-------------RD</t>
  </si>
  <si>
    <t>lrear caliper---------6g1-----------1</t>
  </si>
  <si>
    <t>18b8047b-----------same------------RD</t>
  </si>
  <si>
    <t>rear caps----------shop rack--------4</t>
  </si>
  <si>
    <t>225/70r19.5r--------same------------RD</t>
  </si>
  <si>
    <t>brake cl------------shop------------3</t>
  </si>
  <si>
    <t>11971205089-------same------------RD</t>
  </si>
  <si>
    <t>exhaust clamps-----5top2---------2</t>
  </si>
  <si>
    <t>fg89547k------------same------------RD</t>
  </si>
  <si>
    <t>3.5 exhaust pipe ---------shop-------1=4' long</t>
  </si>
  <si>
    <t>44731--------------same--------------RD</t>
  </si>
  <si>
    <t>red lnd light--------16f6---------------3</t>
  </si>
  <si>
    <t>3974845-----------same---------------RD</t>
  </si>
  <si>
    <t>washer nozz---------3f2------------2</t>
  </si>
  <si>
    <t>17603a-------------same---------------RD</t>
  </si>
  <si>
    <t>lrear rotor--------------6h3----------1</t>
  </si>
  <si>
    <t>54138----------------same--------------RD</t>
  </si>
  <si>
    <t>motor oil----------bulk tank----------7qts</t>
  </si>
  <si>
    <t>5w20 oil-------------same--------------RD</t>
  </si>
  <si>
    <t>used 6.5 hours to preform PM</t>
  </si>
  <si>
    <t>5.25.17</t>
  </si>
  <si>
    <t>4.12.17</t>
  </si>
  <si>
    <t>2.23.17</t>
  </si>
  <si>
    <t>1.4.17</t>
  </si>
  <si>
    <t>11.3.16</t>
  </si>
  <si>
    <t>9.13.16</t>
  </si>
  <si>
    <t>7.29.16</t>
  </si>
  <si>
    <t>6.10.16</t>
  </si>
  <si>
    <t>4.2.16</t>
  </si>
  <si>
    <t>1.29.16</t>
  </si>
  <si>
    <t>12.1.15</t>
  </si>
  <si>
    <t>10.27.15</t>
  </si>
  <si>
    <t>9.23.15</t>
  </si>
  <si>
    <t>8.19.15</t>
  </si>
  <si>
    <t>6.27.15</t>
  </si>
  <si>
    <t>5.22.15</t>
  </si>
  <si>
    <t>4.17.15</t>
  </si>
  <si>
    <t>4.1.15</t>
  </si>
  <si>
    <t>2.25.15</t>
  </si>
  <si>
    <t>1.22.15</t>
  </si>
  <si>
    <t>8.7.14</t>
  </si>
  <si>
    <t>5.21.14</t>
  </si>
  <si>
    <t>4.2.14</t>
  </si>
  <si>
    <t>2.6.14</t>
  </si>
  <si>
    <t>12.26.13</t>
  </si>
  <si>
    <t>11.11.13</t>
  </si>
  <si>
    <t>9.30.13</t>
  </si>
  <si>
    <t>8.14.13</t>
  </si>
  <si>
    <t>6.28.13</t>
  </si>
  <si>
    <t>5.15.13</t>
  </si>
  <si>
    <t>3.29.13</t>
  </si>
  <si>
    <t>2.11.13</t>
  </si>
  <si>
    <t>12.31.12</t>
  </si>
  <si>
    <t>7.10.17</t>
  </si>
  <si>
    <t>8.23.17</t>
  </si>
  <si>
    <t>10.4.17</t>
  </si>
  <si>
    <t>PART 2</t>
  </si>
  <si>
    <t>STARTERS/ALTERNATOR</t>
  </si>
  <si>
    <t xml:space="preserve"> F-550 #303</t>
  </si>
  <si>
    <t>vin-7069</t>
  </si>
  <si>
    <t>BASED ON  START DATE 12.04.2012-12.04.2019</t>
  </si>
  <si>
    <t>BASED ON _12.04.2012-12.04.2019</t>
  </si>
  <si>
    <t>cam shaft top of eng 65023 year 2</t>
  </si>
  <si>
    <t>Jasper rebuilt transmission 11.23.15/ mile 115738</t>
  </si>
  <si>
    <t>used 1.0 hours to recharge system</t>
  </si>
  <si>
    <t>r134a--------------178244------------RG</t>
  </si>
  <si>
    <t>freon---------------shop tank------------6lbs</t>
  </si>
  <si>
    <t>00315394------------176346------------RD</t>
  </si>
  <si>
    <t>ac control board ---------15h2--------1</t>
  </si>
  <si>
    <t>used 4.0 hours to repair</t>
  </si>
  <si>
    <t>8483------------------same--------------RD</t>
  </si>
  <si>
    <t>exhaust hanger-------5b-------------1</t>
  </si>
  <si>
    <t>r134-------------------same-------------RD</t>
  </si>
  <si>
    <t>freon---------------shop tank------------5lbs</t>
  </si>
  <si>
    <t>leafspring----------176202-----------RD</t>
  </si>
  <si>
    <t>rebuilt leafspring----------stkrm----------1</t>
  </si>
  <si>
    <t>used 1.5 hours to repair and replace</t>
  </si>
  <si>
    <t>225/70r19.5r--------same------------RG</t>
  </si>
  <si>
    <t>recap tires----------stkm------------4 rear caps</t>
  </si>
  <si>
    <t>9c3z2001a---------175421----------RG</t>
  </si>
  <si>
    <t>rear pads-------------5e1-------------1 set</t>
  </si>
  <si>
    <t>used 4.5 hours to preform pm</t>
  </si>
  <si>
    <t>bc322457b---------same-------------RD</t>
  </si>
  <si>
    <t>brake pedal pad-------1b1----------1</t>
  </si>
  <si>
    <t>5w20 oil -------------same------------RD</t>
  </si>
  <si>
    <t>motor oil-------------bulk tank---------7 qts</t>
  </si>
  <si>
    <t>22570/r19.5---------same-------------RD</t>
  </si>
  <si>
    <t xml:space="preserve">steer tires-------------shop------------2 </t>
  </si>
  <si>
    <t>5051395------------same-------------RD</t>
  </si>
  <si>
    <t>lower bal join---------1a5---------1</t>
  </si>
  <si>
    <t>5001139------------same -------------RD</t>
  </si>
  <si>
    <t>uppeer ba join-----1a2---------1</t>
  </si>
  <si>
    <t>9c3z2001a---------same--------------Randy</t>
  </si>
  <si>
    <t>front pads---------5e1----------1 set</t>
  </si>
  <si>
    <t>FL8205---------------174917-------------Randy</t>
  </si>
  <si>
    <t>oil filter------------4b1--------------1</t>
  </si>
  <si>
    <t>Part number------Mileage------Mech Name</t>
  </si>
  <si>
    <t>Description -----Bin number-----used</t>
  </si>
  <si>
    <t>rear pads-----------5e1------------1 set</t>
  </si>
  <si>
    <t>9c3z2001a-----------180078-----------RD</t>
  </si>
  <si>
    <t>rear wheel seal-------4i1----------1</t>
  </si>
  <si>
    <t>34928------------same---------------RD</t>
  </si>
  <si>
    <t>rear rotor--------------6h3-----------1</t>
  </si>
  <si>
    <t>54138------------same---------------RD</t>
  </si>
  <si>
    <t>right rear/caliper-----6f1-----------1</t>
  </si>
  <si>
    <t>18b8046b--------same--------------RD</t>
  </si>
  <si>
    <t>piv plat stop---------5b4-----------1</t>
  </si>
  <si>
    <t>100364------------same--------------RD</t>
  </si>
  <si>
    <t>FL8205-------------same--------------RD</t>
  </si>
  <si>
    <t>5w20 oil-----------bulk tank----------7qts</t>
  </si>
  <si>
    <t>motor oil----------same--------------RD</t>
  </si>
  <si>
    <t>used 5.0 hours to prefrom pm</t>
  </si>
  <si>
    <t>cap cove----------strok---------------8</t>
  </si>
  <si>
    <t>2830--------------180750-----------TT</t>
  </si>
  <si>
    <t>used 1.0 hours to replace</t>
  </si>
  <si>
    <t>r/headlight bulb--------16f4----------1</t>
  </si>
  <si>
    <t>9008b1----------181000-----------TT</t>
  </si>
  <si>
    <t>used .25 hour to replace</t>
  </si>
  <si>
    <t>freon-----------shop tank------------3lbs</t>
  </si>
  <si>
    <t>r134a---------------181854----------RG</t>
  </si>
  <si>
    <t>used .50 to charge system</t>
  </si>
  <si>
    <t>l-s headlight bulb----16f4------------1</t>
  </si>
  <si>
    <t>9008b1-----------181854------------RD</t>
  </si>
  <si>
    <t>egress han--------1e4a----------2</t>
  </si>
  <si>
    <t>5565--------------182309-----------RD</t>
  </si>
  <si>
    <t>bridg swit---------14a3--------1</t>
  </si>
  <si>
    <t>33689ks----------same-------------RD</t>
  </si>
  <si>
    <t>defros dash fan------18top6---------1</t>
  </si>
  <si>
    <t>df12v--------------182843----------RD</t>
  </si>
  <si>
    <t>washer noz--------3f2---------1</t>
  </si>
  <si>
    <t>17603a------------183318---------RG</t>
  </si>
  <si>
    <t>egress hand------1e4a---------1</t>
  </si>
  <si>
    <t>5565----------182672----------RD</t>
  </si>
  <si>
    <t>r134a freon--------shop tank---------5lbs</t>
  </si>
  <si>
    <t>134a-----------183788---------RD</t>
  </si>
  <si>
    <t>exha hang---------5c-----------2</t>
  </si>
  <si>
    <t>8051-----------184052----------RD</t>
  </si>
  <si>
    <t>exhu clamp---------5top2--------1</t>
  </si>
  <si>
    <t>fg89547k-------same-----------RD</t>
  </si>
  <si>
    <t>used .75 hours to repair</t>
  </si>
  <si>
    <t>l-s headlight bulb------16f4---------1</t>
  </si>
  <si>
    <t>9008b1-----------184612----------TT</t>
  </si>
  <si>
    <t>wheel hub assem-------4k2---------1</t>
  </si>
  <si>
    <t>dc321104c-------184736--------RD</t>
  </si>
  <si>
    <t>used 2.0 hours to repair</t>
  </si>
  <si>
    <t>oil filter-----------4b1--------1</t>
  </si>
  <si>
    <t>fl8205-------------184911---------RG</t>
  </si>
  <si>
    <t>air filter-----------4a1-------1</t>
  </si>
  <si>
    <t>fa1883------------same---------RG</t>
  </si>
  <si>
    <t>red ind light----------16f6---------1</t>
  </si>
  <si>
    <t>3974845----------same---------RG</t>
  </si>
  <si>
    <t>motor oil--------bulk tank----------7qts</t>
  </si>
  <si>
    <t>5w20 oil----------same---------RG</t>
  </si>
  <si>
    <t>used 2.0 hours to preform pm</t>
  </si>
  <si>
    <t>retainer--------------z303-----------1</t>
  </si>
  <si>
    <t>3l3z6514aa---------153659----------TT</t>
  </si>
  <si>
    <t>l headlight bulb--------16f4----------1</t>
  </si>
  <si>
    <t>cq9008-----------------187093----------RG</t>
  </si>
  <si>
    <t>Description               Bin Number</t>
  </si>
  <si>
    <t>588.63</t>
  </si>
  <si>
    <t>8.14.17</t>
  </si>
  <si>
    <t>7.3.17</t>
  </si>
  <si>
    <t>5.24.17</t>
  </si>
  <si>
    <t>4.13.17</t>
  </si>
  <si>
    <t>3.3.17</t>
  </si>
  <si>
    <t>1.16.17</t>
  </si>
  <si>
    <t>10.25.16</t>
  </si>
  <si>
    <t>8.27.16</t>
  </si>
  <si>
    <t>6.27.16</t>
  </si>
  <si>
    <t>4.30.16</t>
  </si>
  <si>
    <t>3.19.16</t>
  </si>
  <si>
    <t>1.30.16</t>
  </si>
  <si>
    <t>12.22.15</t>
  </si>
  <si>
    <t>11.12.15</t>
  </si>
  <si>
    <t>9.18.15</t>
  </si>
  <si>
    <t>8.4.15</t>
  </si>
  <si>
    <t>6.17.15</t>
  </si>
  <si>
    <t>3.31.15</t>
  </si>
  <si>
    <t>2.12.15</t>
  </si>
  <si>
    <t>12.31.14</t>
  </si>
  <si>
    <t>11.15.14</t>
  </si>
  <si>
    <t>9.30.14</t>
  </si>
  <si>
    <t>8.6.14</t>
  </si>
  <si>
    <t>6.16.14</t>
  </si>
  <si>
    <t>4.28.14</t>
  </si>
  <si>
    <t>1.13.14</t>
  </si>
  <si>
    <t>11.26.13</t>
  </si>
  <si>
    <t>10.14.13</t>
  </si>
  <si>
    <t>7.18.13</t>
  </si>
  <si>
    <t>5.31.13</t>
  </si>
  <si>
    <t>4.15.13</t>
  </si>
  <si>
    <t>3.1.13</t>
  </si>
  <si>
    <t>1.14.13</t>
  </si>
  <si>
    <t>9.23.17</t>
  </si>
  <si>
    <t>STARTERS/ALT</t>
  </si>
  <si>
    <t xml:space="preserve"> F-550 #304</t>
  </si>
  <si>
    <t>vin-7070</t>
  </si>
  <si>
    <t>BASED ON  START DATE 11.28.2012-11.28.2019</t>
  </si>
  <si>
    <t>BASED ON _11.28.2012-11.28.2019</t>
  </si>
  <si>
    <t>Engine 10.21.15 mileage 108225 Jasper rebuilt 6.8L</t>
  </si>
  <si>
    <t>used 5.0 hours to preform pm</t>
  </si>
  <si>
    <t>motor oil-----------same-----------RD</t>
  </si>
  <si>
    <t>5w20 oil ---------bulk tank---------7qts</t>
  </si>
  <si>
    <t>225/70r19.5--------same----------RD</t>
  </si>
  <si>
    <t>steer tires---------shop rack-------2</t>
  </si>
  <si>
    <t>9c3z-2001a--------same----------RD</t>
  </si>
  <si>
    <t>100226--------------same-----------RD</t>
  </si>
  <si>
    <t>bike rac bush--------5b2-----------2</t>
  </si>
  <si>
    <t>18b8047b-----------same----------RD</t>
  </si>
  <si>
    <t>lfront caliper--------6g1-------------1</t>
  </si>
  <si>
    <t>18b8046b-----------same----------RD</t>
  </si>
  <si>
    <t>rfrontcaliper----------6f1-------------1</t>
  </si>
  <si>
    <t>r134a-----------------same----------RD</t>
  </si>
  <si>
    <t>freon---------------shop tank----------1lbs</t>
  </si>
  <si>
    <t>225/70r19.5r-------same----------RD</t>
  </si>
  <si>
    <t>recap tires----------shop rack---------4</t>
  </si>
  <si>
    <t>bc3z2457b-------same-------------RD</t>
  </si>
  <si>
    <t>brake ped pad-------1b1------------1</t>
  </si>
  <si>
    <t>FL8205------------184985-----------RD</t>
  </si>
  <si>
    <t>oil filter---------------4b1------------1</t>
  </si>
  <si>
    <t>41047 -----------183523----------TT</t>
  </si>
  <si>
    <t>a/c compassor lock up / replaced</t>
  </si>
  <si>
    <t>Description           Bin Number          # Used</t>
  </si>
  <si>
    <t>support arm----------5top1----------1</t>
  </si>
  <si>
    <t>100594------------186878------------RD</t>
  </si>
  <si>
    <t>used .25 hours to repair</t>
  </si>
  <si>
    <t>100594-----------186830------------RD</t>
  </si>
  <si>
    <t>l/sid hood supp-------6top1a--------1</t>
  </si>
  <si>
    <t>bc3z16c826b--------187679--------RD</t>
  </si>
  <si>
    <t>ri/sid hood supp------6top1---------1</t>
  </si>
  <si>
    <t>bc3z16c826a--------same---------RD</t>
  </si>
  <si>
    <t>magn kit-----------5b3-----------1</t>
  </si>
  <si>
    <t>100116----------189200-------------RD</t>
  </si>
  <si>
    <t>l-s headlight bulb------16f4-------1</t>
  </si>
  <si>
    <t>9008b1---------189307-------------RD</t>
  </si>
  <si>
    <t>batteries---------z304----------2</t>
  </si>
  <si>
    <t>3130p------------189580----------RD</t>
  </si>
  <si>
    <t>oil filter--------------4b1------------1</t>
  </si>
  <si>
    <t>fl8205b------------190019--------RD</t>
  </si>
  <si>
    <t>exhaust hanger---5b-----------1</t>
  </si>
  <si>
    <t>8483------------same-------------RD</t>
  </si>
  <si>
    <t>front pads----------5e1--------- 1 set</t>
  </si>
  <si>
    <t>9c3z2001a-------same---------RD</t>
  </si>
  <si>
    <t>motor oil--------bulk tank------7qts</t>
  </si>
  <si>
    <t>5w20----------same---------RD</t>
  </si>
  <si>
    <t>used 2.5 hours to prefrom pm</t>
  </si>
  <si>
    <t>rear pads--------5e1------1 set</t>
  </si>
  <si>
    <t>9c3z2001a----------191205----------RD</t>
  </si>
  <si>
    <t>used 1.0 hours to peplace</t>
  </si>
  <si>
    <t>inv control------16f4--------2</t>
  </si>
  <si>
    <t>cq9008</t>
  </si>
  <si>
    <t>window hand--------1e4a------------1</t>
  </si>
  <si>
    <t>5565-----------193154-------------TT</t>
  </si>
  <si>
    <t>5.16.17</t>
  </si>
  <si>
    <t>4.5.17</t>
  </si>
  <si>
    <t>2.16.17</t>
  </si>
  <si>
    <t>1.3.17</t>
  </si>
  <si>
    <t>11.19.16</t>
  </si>
  <si>
    <t>10.11.16</t>
  </si>
  <si>
    <t>8.30.16</t>
  </si>
  <si>
    <t>6.29.16</t>
  </si>
  <si>
    <t>5.28.16</t>
  </si>
  <si>
    <t>4.27.16</t>
  </si>
  <si>
    <t>3.22.16</t>
  </si>
  <si>
    <t>2.18.16</t>
  </si>
  <si>
    <t>1.16.16</t>
  </si>
  <si>
    <t>12.15.15</t>
  </si>
  <si>
    <t>11.6.15</t>
  </si>
  <si>
    <t>9.9.15</t>
  </si>
  <si>
    <t>7.21.15</t>
  </si>
  <si>
    <t>5.29.15</t>
  </si>
  <si>
    <t>4.10.15</t>
  </si>
  <si>
    <t>2.20.15</t>
  </si>
  <si>
    <t>1.2.15</t>
  </si>
  <si>
    <t>11.10.14</t>
  </si>
  <si>
    <t>9.15.14</t>
  </si>
  <si>
    <t>7.29.14</t>
  </si>
  <si>
    <t>6.11.14</t>
  </si>
  <si>
    <t>4.25.14</t>
  </si>
  <si>
    <t>3.12.14</t>
  </si>
  <si>
    <t>1.27.14</t>
  </si>
  <si>
    <t>12.9.13</t>
  </si>
  <si>
    <t>10.24.13</t>
  </si>
  <si>
    <t>9.11.13</t>
  </si>
  <si>
    <t>7.26.13</t>
  </si>
  <si>
    <t>6.10.13</t>
  </si>
  <si>
    <t>4.19.13</t>
  </si>
  <si>
    <t>3.6.13</t>
  </si>
  <si>
    <t>1.18.13</t>
  </si>
  <si>
    <t>7.20.17</t>
  </si>
  <si>
    <t>9.2.17</t>
  </si>
  <si>
    <t>new bus prep 12.6.12</t>
  </si>
  <si>
    <r>
      <t xml:space="preserve">                       </t>
    </r>
    <r>
      <rPr>
        <b/>
        <u/>
        <sz val="10"/>
        <color theme="1"/>
        <rFont val="Calibri"/>
        <family val="2"/>
        <scheme val="minor"/>
      </rPr>
      <t>C.A.T 16 BUS 305 FY18 YEAR SIX</t>
    </r>
  </si>
  <si>
    <t>032-----------------same--------------RG</t>
  </si>
  <si>
    <t>brake fluid------------7a3----------2</t>
  </si>
  <si>
    <t>18b8046b----------182320---------RG</t>
  </si>
  <si>
    <t>right rear caliper--------6f1-----------1</t>
  </si>
  <si>
    <t>used 2.5 hours to preform pm</t>
  </si>
  <si>
    <t>5w20 oil-----------same--------------Rd</t>
  </si>
  <si>
    <t>motor oil -----------bulk tank---------7qts</t>
  </si>
  <si>
    <t>FL8205------------179740-------------RD</t>
  </si>
  <si>
    <t>oil filter---------------4b1-----------1</t>
  </si>
  <si>
    <t xml:space="preserve">used 4.0 hours to repair </t>
  </si>
  <si>
    <t>9c3z2001a-----------same--------------TT</t>
  </si>
  <si>
    <t>rear pads--------------5e1--------------1 set</t>
  </si>
  <si>
    <t>16pb----------same--------------TT</t>
  </si>
  <si>
    <t>penetrating oil----------stkrm------------1</t>
  </si>
  <si>
    <t>leafspring-----------179395--------------TT</t>
  </si>
  <si>
    <t>rebuilt spring----------strom----------------1</t>
  </si>
  <si>
    <t>housing-----------15top----------1</t>
  </si>
  <si>
    <t>dc3z3f791ca--------183153---------RD</t>
  </si>
  <si>
    <t>bik rac bush--------5b2--------1</t>
  </si>
  <si>
    <t>100226-----------183669----------RD</t>
  </si>
  <si>
    <t>oil filter--------------4b1----------1</t>
  </si>
  <si>
    <t>FL8205-------------184770----------TT</t>
  </si>
  <si>
    <t>l/rear caliper-------6g1---------1</t>
  </si>
  <si>
    <t>18b8047b--------same------------TT</t>
  </si>
  <si>
    <t>front/rear pads------5e1--------- 2 sets-</t>
  </si>
  <si>
    <t>9c3z2001a-------same------------TT</t>
  </si>
  <si>
    <t>batteies-----------z305-----------2</t>
  </si>
  <si>
    <t>31p30-------------same------------TT</t>
  </si>
  <si>
    <t>tie rod end---------z305---------1</t>
  </si>
  <si>
    <t>ds300008---------same-----------TT</t>
  </si>
  <si>
    <t>recap tires--------shop rack---------4</t>
  </si>
  <si>
    <t>225/70r19.5-------same----------TT</t>
  </si>
  <si>
    <t>freon-------------shop tank-----------2lbs</t>
  </si>
  <si>
    <t>R134a-------------same----------TT</t>
  </si>
  <si>
    <t>5w2o oil---------bulk tank-----------7qts</t>
  </si>
  <si>
    <t>motor oil----------same----------TT</t>
  </si>
  <si>
    <t>used 6.0 hours to preform pm</t>
  </si>
  <si>
    <t>l-hood supp--------6top1a---------1</t>
  </si>
  <si>
    <t>bc3z16c826b--------186055--------RD</t>
  </si>
  <si>
    <t>r-hood supp--------6top1----------1</t>
  </si>
  <si>
    <t>bc3z16c827a--------same---------RD</t>
  </si>
  <si>
    <t>used .25 hours to install</t>
  </si>
  <si>
    <t>windo handl---------1e4a-----------1</t>
  </si>
  <si>
    <t>5565------------187012-----------TT</t>
  </si>
  <si>
    <t>bik rac bushing------5b2----------1</t>
  </si>
  <si>
    <t>100226---------187054----------RD</t>
  </si>
  <si>
    <t>defros fan---------18top-6</t>
  </si>
  <si>
    <t>df12v----------187353---------RG</t>
  </si>
  <si>
    <t>valv cov gask-----6a-----------1</t>
  </si>
  <si>
    <t>5c3z6584ba---------187649--------TT</t>
  </si>
  <si>
    <t>used 3.0 hours to repair and install</t>
  </si>
  <si>
    <t>ADJUSTED INVETORY CONTROL --------1</t>
  </si>
  <si>
    <t>CQ9008</t>
  </si>
  <si>
    <t>ADJUSTED INVETORY CONTROL --------2</t>
  </si>
  <si>
    <t>L-HEADLIGHT BULB-------16f4---------1</t>
  </si>
  <si>
    <t>cq9008--------------198843------------TT</t>
  </si>
  <si>
    <t>Oil Filter ---------------4b1----------1</t>
  </si>
  <si>
    <t>fl8205--------------189843------------RD</t>
  </si>
  <si>
    <t>Pm</t>
  </si>
  <si>
    <t>red LED light ----------16f6--------3</t>
  </si>
  <si>
    <t>3974845-----------same-------------RD</t>
  </si>
  <si>
    <t>drain plug ford----------6b3--------1</t>
  </si>
  <si>
    <t>65266-------------same-------------RD</t>
  </si>
  <si>
    <t>bik rac bush--------------5b2----------1</t>
  </si>
  <si>
    <t>100226-----------same---------------RD</t>
  </si>
  <si>
    <t>steer tires------------shop rac--------2</t>
  </si>
  <si>
    <t>225/70r19.5--------same-------------RD</t>
  </si>
  <si>
    <t>oil motor-----------bulk tank----------7qts</t>
  </si>
  <si>
    <t>5w20 oil-------------same------------RD</t>
  </si>
  <si>
    <t>used 3.5 hours tor preform pm</t>
  </si>
  <si>
    <t>7.7.17</t>
  </si>
  <si>
    <t>5.19.17</t>
  </si>
  <si>
    <t>4.1.17</t>
  </si>
  <si>
    <t>2.8.17</t>
  </si>
  <si>
    <t>12.13.16</t>
  </si>
  <si>
    <t>10.29.16</t>
  </si>
  <si>
    <t>9.6.16</t>
  </si>
  <si>
    <t>7.14.16</t>
  </si>
  <si>
    <t>4.21.16</t>
  </si>
  <si>
    <t>2.23.16</t>
  </si>
  <si>
    <t>12.29.15</t>
  </si>
  <si>
    <t>11.17.15</t>
  </si>
  <si>
    <t>10.13.15</t>
  </si>
  <si>
    <t>9.4.15</t>
  </si>
  <si>
    <t>6.4.15</t>
  </si>
  <si>
    <t>4.25.15</t>
  </si>
  <si>
    <t>3.18.15</t>
  </si>
  <si>
    <t>2.10.15</t>
  </si>
  <si>
    <t>11.20.14</t>
  </si>
  <si>
    <t>10.1.14</t>
  </si>
  <si>
    <t>8.8.14</t>
  </si>
  <si>
    <t>6.20.14</t>
  </si>
  <si>
    <t>5.6.14</t>
  </si>
  <si>
    <t>3.24.14</t>
  </si>
  <si>
    <t>1.30.14</t>
  </si>
  <si>
    <t>12.16.13</t>
  </si>
  <si>
    <t>10.30.13</t>
  </si>
  <si>
    <t>9.16.13</t>
  </si>
  <si>
    <t>8.6.13</t>
  </si>
  <si>
    <t>5.17.13</t>
  </si>
  <si>
    <t>4.8.13</t>
  </si>
  <si>
    <t>2.27.13</t>
  </si>
  <si>
    <t>1.17.13</t>
  </si>
  <si>
    <t>8.17.17</t>
  </si>
  <si>
    <t>9.28.17</t>
  </si>
  <si>
    <t xml:space="preserve">PART 2 </t>
  </si>
  <si>
    <t xml:space="preserve"> F-550 #306</t>
  </si>
  <si>
    <t>vin-7073</t>
  </si>
  <si>
    <t>BASED ON  START DATE 12.12.2012-12.12.2019</t>
  </si>
  <si>
    <t>BASED ON __12.12.2012-12.12.2019</t>
  </si>
  <si>
    <t xml:space="preserve">3.2.2016 Camshaft replaced </t>
  </si>
  <si>
    <t>motor oil-------------same-------RD</t>
  </si>
  <si>
    <t>5w20 oil-------------bulk tank---------7qts</t>
  </si>
  <si>
    <t>22570r19.5/r-------same---------RD</t>
  </si>
  <si>
    <t>recaps tires-------shop rack-------4</t>
  </si>
  <si>
    <t>032----------------same-------------RD</t>
  </si>
  <si>
    <t>brake flu------------7a3-----------1</t>
  </si>
  <si>
    <t>11971205089------same---------RD</t>
  </si>
  <si>
    <t>brake kleen--------shop---------2</t>
  </si>
  <si>
    <t>18b8047b-------same-------------RD</t>
  </si>
  <si>
    <t>l/caliper rear------6g1-------1</t>
  </si>
  <si>
    <t>18b8046b-------same-------------RD</t>
  </si>
  <si>
    <t>r/caliper rear------6f1--------1</t>
  </si>
  <si>
    <t>9c3z2001a------same------------RD</t>
  </si>
  <si>
    <t>rear pads----------5e1--------1 set</t>
  </si>
  <si>
    <t>FL8205-----------185105-----------RD</t>
  </si>
  <si>
    <t>oil filter-------------4b1---------1</t>
  </si>
  <si>
    <t>used 2.5 hours to replace</t>
  </si>
  <si>
    <t>6646s------------184820------------TT</t>
  </si>
  <si>
    <t>starter------------6b5-------------1</t>
  </si>
  <si>
    <t>CQ9008-----------same------------TT</t>
  </si>
  <si>
    <t>headlight bulb------------34top3-------1</t>
  </si>
  <si>
    <t>01000029---------182807----------TT</t>
  </si>
  <si>
    <t>hard knob------------14e2------------1</t>
  </si>
  <si>
    <t>use .25 to replace bulb</t>
  </si>
  <si>
    <t>900b1-----------182524-----------RG</t>
  </si>
  <si>
    <t>right headlight bulb------16-f-4-----------1</t>
  </si>
  <si>
    <t>l/s headlight bulb--------34top3--------1</t>
  </si>
  <si>
    <t>cq9008----------185683------------CS</t>
  </si>
  <si>
    <t>bc3z2457b--------186152----------RD</t>
  </si>
  <si>
    <t>l/s headlight bulb---------16f4---------1</t>
  </si>
  <si>
    <t>9008b1------------186402---------RD</t>
  </si>
  <si>
    <t>r/s headlight bulb--------16f4---------1</t>
  </si>
  <si>
    <t>9008b1-------------187316---------TT</t>
  </si>
  <si>
    <t>6.10.17</t>
  </si>
  <si>
    <t>4.27.17</t>
  </si>
  <si>
    <t>3.15.17</t>
  </si>
  <si>
    <t>1.27.17</t>
  </si>
  <si>
    <t>12.8.16</t>
  </si>
  <si>
    <t>10.27.16</t>
  </si>
  <si>
    <t>9.14.16</t>
  </si>
  <si>
    <t>7.19.16</t>
  </si>
  <si>
    <t>5.24.16</t>
  </si>
  <si>
    <t>4.13.16</t>
  </si>
  <si>
    <t>306-16-17-lpw</t>
  </si>
  <si>
    <t>3.8.16</t>
  </si>
  <si>
    <t>12.24.15</t>
  </si>
  <si>
    <t>10.6.15</t>
  </si>
  <si>
    <t>8.22.15</t>
  </si>
  <si>
    <t>7.18.15</t>
  </si>
  <si>
    <t>6.12.15</t>
  </si>
  <si>
    <t>5.7.15</t>
  </si>
  <si>
    <t>4.2.15</t>
  </si>
  <si>
    <t>2.19.15</t>
  </si>
  <si>
    <t>1.7.15</t>
  </si>
  <si>
    <t>8.16.14</t>
  </si>
  <si>
    <t>6.30.14</t>
  </si>
  <si>
    <t>3.14.14</t>
  </si>
  <si>
    <t>1.31.14</t>
  </si>
  <si>
    <t>12.10.13</t>
  </si>
  <si>
    <t>10.15.13</t>
  </si>
  <si>
    <t>8.22.13</t>
  </si>
  <si>
    <t>7.9.13</t>
  </si>
  <si>
    <t>5.9.13</t>
  </si>
  <si>
    <t>3.22.13</t>
  </si>
  <si>
    <t>1.29.13</t>
  </si>
  <si>
    <t>7.27.17</t>
  </si>
  <si>
    <t>ww2201pf------------179173---------CS</t>
  </si>
  <si>
    <t>wiper blad----------34c2---------2</t>
  </si>
  <si>
    <t>used 2.5 hours to install</t>
  </si>
  <si>
    <t>6646s--------------same--------------RD</t>
  </si>
  <si>
    <t>starter----------6b5---------------1</t>
  </si>
  <si>
    <t>31p30--------------179101-------------RD</t>
  </si>
  <si>
    <t>batteries---------------z307------------2</t>
  </si>
  <si>
    <t>9008b1-----------178619----------Rg</t>
  </si>
  <si>
    <t>r/headlight bulb----------16f-4------------1</t>
  </si>
  <si>
    <t>1524---------------178428------------RG</t>
  </si>
  <si>
    <t>passenger door mic swit------14h3c--------1</t>
  </si>
  <si>
    <t>used 1.5 hours to replace</t>
  </si>
  <si>
    <t>dc3z1104c----------177708----------RG</t>
  </si>
  <si>
    <t>front hub assy--------4k2-----------1</t>
  </si>
  <si>
    <t>used .50 hours to replace tires</t>
  </si>
  <si>
    <t>225/70r19.5---------177070------------TT</t>
  </si>
  <si>
    <t>steer tires --------------tires-------------2</t>
  </si>
  <si>
    <t>6.15.17</t>
  </si>
  <si>
    <t>4.26.17</t>
  </si>
  <si>
    <t>2.2.17</t>
  </si>
  <si>
    <t>12.28.16</t>
  </si>
  <si>
    <t>10.17.16</t>
  </si>
  <si>
    <t>8.29.16</t>
  </si>
  <si>
    <t>7.16.16</t>
  </si>
  <si>
    <t>6.4.16</t>
  </si>
  <si>
    <t>4.22.16</t>
  </si>
  <si>
    <t>3.3.16</t>
  </si>
  <si>
    <t>2.4.16</t>
  </si>
  <si>
    <t>1.5.16</t>
  </si>
  <si>
    <t>11.24.15</t>
  </si>
  <si>
    <t>10.16.15</t>
  </si>
  <si>
    <t>9.2.15</t>
  </si>
  <si>
    <t>7.16.15</t>
  </si>
  <si>
    <t>4.7.15</t>
  </si>
  <si>
    <t>2.18.15</t>
  </si>
  <si>
    <t>12.30.14</t>
  </si>
  <si>
    <t>11.8.14</t>
  </si>
  <si>
    <t>9.19.14</t>
  </si>
  <si>
    <t xml:space="preserve">8.21.14 </t>
  </si>
  <si>
    <t>7.30.14</t>
  </si>
  <si>
    <t>6.9.14</t>
  </si>
  <si>
    <t>4.21.14</t>
  </si>
  <si>
    <t>3.5.14</t>
  </si>
  <si>
    <t>1.20.14</t>
  </si>
  <si>
    <t>12.4.13</t>
  </si>
  <si>
    <t>10.22.13</t>
  </si>
  <si>
    <t>9.10.13</t>
  </si>
  <si>
    <t>7.27.13</t>
  </si>
  <si>
    <t>6.11.13</t>
  </si>
  <si>
    <t>4.26.13</t>
  </si>
  <si>
    <t>3.11.13</t>
  </si>
  <si>
    <t>1.25.13</t>
  </si>
  <si>
    <t>8.1.17</t>
  </si>
  <si>
    <t>9.16.17</t>
  </si>
  <si>
    <t xml:space="preserve">Part 2 </t>
  </si>
  <si>
    <t>oil filter-------------4b1--------------1</t>
  </si>
  <si>
    <t>85372----------179673----------RG</t>
  </si>
  <si>
    <t>motor oil------------bulk tank----------7qts</t>
  </si>
  <si>
    <t>5w25 0601018-------same------RG</t>
  </si>
  <si>
    <t>magnet kit----------5b3----------1</t>
  </si>
  <si>
    <t>100116----------180343-----------RD</t>
  </si>
  <si>
    <t>bk pedal pad---------1b1--------1</t>
  </si>
  <si>
    <t>bc3z2457b--------180486--------RD</t>
  </si>
  <si>
    <t>wheel nuts-----------1b3---------13</t>
  </si>
  <si>
    <t>641-4294------------181316---------RD</t>
  </si>
  <si>
    <t>r/caliper rear--------6f1---------1</t>
  </si>
  <si>
    <t>18b8046b---------181316----------RD</t>
  </si>
  <si>
    <t>18b8046a---------181316----------RD</t>
  </si>
  <si>
    <t>rear pads----------5e1--------- 1set</t>
  </si>
  <si>
    <t>9c3z2001a---------same-----------RD</t>
  </si>
  <si>
    <t>spring pads-------1a4----------2</t>
  </si>
  <si>
    <t>e8tz5a978a-------same-----------RD</t>
  </si>
  <si>
    <t>recap tires---------shop rack---------4</t>
  </si>
  <si>
    <t>225/70r19.5--------same-----------RD</t>
  </si>
  <si>
    <t>used 3.0 hours to repair</t>
  </si>
  <si>
    <t>IDLER PULLY----------Z307----------1</t>
  </si>
  <si>
    <t>89006-------------180815-----------TT</t>
  </si>
  <si>
    <t>BELT TENS PULLEY------Z307-------1</t>
  </si>
  <si>
    <t>89007-------------SAME------------TT</t>
  </si>
  <si>
    <t>bik rac bus-----------5b2----------1</t>
  </si>
  <si>
    <t>100226------------182462----------RG</t>
  </si>
  <si>
    <t>defros das fan--------18top6---------1</t>
  </si>
  <si>
    <t>df12v-------------18316---------RD</t>
  </si>
  <si>
    <t>COOLANT ----------7c1-----------1 gallon</t>
  </si>
  <si>
    <t>vc3b-----------184114------------RD</t>
  </si>
  <si>
    <t>brake fluid-----------7a3----------1</t>
  </si>
  <si>
    <t>032--------------same-------------RD</t>
  </si>
  <si>
    <t>front pads-----------5e1----------1 set</t>
  </si>
  <si>
    <t>9c3z2001a------same----------RD</t>
  </si>
  <si>
    <t>left caliper----------6g1----------1</t>
  </si>
  <si>
    <t>18b8047b--------same-------RD</t>
  </si>
  <si>
    <t>right caliper--------6f1------------1</t>
  </si>
  <si>
    <t>18b8046b---------same------RD</t>
  </si>
  <si>
    <t>steer tires ---------shop rac------2</t>
  </si>
  <si>
    <t>225/70r19.5-------same------RD</t>
  </si>
  <si>
    <t>used 2.0 hours to repair and install</t>
  </si>
  <si>
    <t>Did not put tires on work order Randy</t>
  </si>
  <si>
    <t>OIL FILTER-----------4b1---------1</t>
  </si>
  <si>
    <t>fl8205-------------184472-----------RG</t>
  </si>
  <si>
    <t>oil drain plug--------6b3--------1</t>
  </si>
  <si>
    <t>65266-------------same-------------RG</t>
  </si>
  <si>
    <t>red LED light ---------16f6----------1</t>
  </si>
  <si>
    <t>3974845----------same-------------RG</t>
  </si>
  <si>
    <t>tailpipe hang---------5b----------1</t>
  </si>
  <si>
    <t>8483---------------same------------RG</t>
  </si>
  <si>
    <t>belt---------------6d1-----------1</t>
  </si>
  <si>
    <t>k061298----------same-------------RG</t>
  </si>
  <si>
    <t>idleer pull bear-------6b4---------2</t>
  </si>
  <si>
    <t>5106wcc---------same-------------RG</t>
  </si>
  <si>
    <t>bik rac bush----------5b2----------1</t>
  </si>
  <si>
    <t>100226-------------same------------RG</t>
  </si>
  <si>
    <t>motor oil--------bulk tank-----------7qts</t>
  </si>
  <si>
    <t>5w20 oil------------same-----------RG</t>
  </si>
  <si>
    <t>invertory control----16f4---------2</t>
  </si>
  <si>
    <t>bc3z2457b-----------182887----------RD</t>
  </si>
  <si>
    <t>brak pedal pad---------1b1----------------1</t>
  </si>
  <si>
    <t>6.12.17</t>
  </si>
  <si>
    <t>2.4.17</t>
  </si>
  <si>
    <t>12.21.16</t>
  </si>
  <si>
    <t>10.31.16</t>
  </si>
  <si>
    <t>9.17.16</t>
  </si>
  <si>
    <t>8.1.16</t>
  </si>
  <si>
    <t>6.11.16</t>
  </si>
  <si>
    <t>3.17.16</t>
  </si>
  <si>
    <t>2.11.16</t>
  </si>
  <si>
    <t>1.2.16</t>
  </si>
  <si>
    <t>11.19.15</t>
  </si>
  <si>
    <t>10.12.15</t>
  </si>
  <si>
    <t>7.29.15</t>
  </si>
  <si>
    <t>6.23.15</t>
  </si>
  <si>
    <t>5.12.15</t>
  </si>
  <si>
    <t>4.3.15</t>
  </si>
  <si>
    <t>3.2.15</t>
  </si>
  <si>
    <t>1.31.15</t>
  </si>
  <si>
    <t>12.27.14</t>
  </si>
  <si>
    <t>11.18.14</t>
  </si>
  <si>
    <t>9.25.14</t>
  </si>
  <si>
    <t>8.4.14</t>
  </si>
  <si>
    <t>6.10.14</t>
  </si>
  <si>
    <t>4.17.14</t>
  </si>
  <si>
    <t>1.21.14</t>
  </si>
  <si>
    <t>10.29.13</t>
  </si>
  <si>
    <t>9.18.13</t>
  </si>
  <si>
    <t>6.17.13</t>
  </si>
  <si>
    <t>5.3.13</t>
  </si>
  <si>
    <t>3.14.13</t>
  </si>
  <si>
    <t>1.28.13</t>
  </si>
  <si>
    <t xml:space="preserve"> F-550 #308</t>
  </si>
  <si>
    <t>vin-7075</t>
  </si>
  <si>
    <t>BASED ON  START DATE 12.19.2012-12.19.2019</t>
  </si>
  <si>
    <t>BASED ON __12.19.2012-12.19.2019</t>
  </si>
  <si>
    <t>REPLACED A/C CONDENSER BECAUSE OF ACCIDENT</t>
  </si>
  <si>
    <t>miles low accident 7.10.2013 ofs 49 days</t>
  </si>
  <si>
    <t>Camshaft miles 118667/ 11.11.15</t>
  </si>
  <si>
    <t>8.15.17</t>
  </si>
  <si>
    <t>washere noz-----------3f2--------------1</t>
  </si>
  <si>
    <t>17603a-------------183867---------RD</t>
  </si>
  <si>
    <t>r/front caliper---------6f1----------1</t>
  </si>
  <si>
    <t>18b8046b----------184219---------RD</t>
  </si>
  <si>
    <t>front pads----------5e1----------1 set</t>
  </si>
  <si>
    <t>9c3z2001a-----------same--------RD</t>
  </si>
  <si>
    <t>wheel nuts----------1b3---------6</t>
  </si>
  <si>
    <t>6414294------------184941---------RD</t>
  </si>
  <si>
    <t>oil filter------------4b1---------1</t>
  </si>
  <si>
    <t>FL8205--------------same-----------RD</t>
  </si>
  <si>
    <t>5w20 oil----------bulk tank------------7qts</t>
  </si>
  <si>
    <t>motor oil----------same-----------RD</t>
  </si>
  <si>
    <t>used 2.5 to prefrom pm</t>
  </si>
  <si>
    <t>brak flui------------7a3-----------1</t>
  </si>
  <si>
    <t>032-------------185703------------RD</t>
  </si>
  <si>
    <t>used .50 hours to refill</t>
  </si>
  <si>
    <t>r-hood supp--------6top1--------1</t>
  </si>
  <si>
    <t>8c3z16c826a--------186628-------TT</t>
  </si>
  <si>
    <t>l-hood supp-------6top1a-----1</t>
  </si>
  <si>
    <t>bc3z16c826b--------same-----TT</t>
  </si>
  <si>
    <t>used .25 to repair</t>
  </si>
  <si>
    <t>rear filter-----------3top1a--------1</t>
  </si>
  <si>
    <t>ftr011--------------188178----------RG</t>
  </si>
  <si>
    <t>starter------------6b5------------1</t>
  </si>
  <si>
    <t>6646s------------188380----------RG</t>
  </si>
  <si>
    <t>New bus prep was in Dec 26, 2012 cost 1800.00</t>
  </si>
  <si>
    <t>8051-----------------same-------------RD</t>
  </si>
  <si>
    <t>exhaust hang---------5c--------------1</t>
  </si>
  <si>
    <t>100226--------------179214----------RD</t>
  </si>
  <si>
    <t>bike rac bush------------5b2---------1</t>
  </si>
  <si>
    <t>8.8.17</t>
  </si>
  <si>
    <t>6.17.17</t>
  </si>
  <si>
    <t>3.6.17</t>
  </si>
  <si>
    <t>1.13.17</t>
  </si>
  <si>
    <t>11.17.16</t>
  </si>
  <si>
    <t>9.26.16</t>
  </si>
  <si>
    <t>8.5.16</t>
  </si>
  <si>
    <t>6.25.16</t>
  </si>
  <si>
    <t>5.10.16</t>
  </si>
  <si>
    <t>3.31.16</t>
  </si>
  <si>
    <t>1.26.16</t>
  </si>
  <si>
    <t>12.23.15</t>
  </si>
  <si>
    <t>11.13.15</t>
  </si>
  <si>
    <t>9.6.15</t>
  </si>
  <si>
    <t>8.27.15</t>
  </si>
  <si>
    <t>7.24.15</t>
  </si>
  <si>
    <t>6.16.15</t>
  </si>
  <si>
    <t>5.9.15</t>
  </si>
  <si>
    <t>1.20.15</t>
  </si>
  <si>
    <t>11.22.14</t>
  </si>
  <si>
    <t>10.8.14</t>
  </si>
  <si>
    <t>6.19.14</t>
  </si>
  <si>
    <t>3.7.14</t>
  </si>
  <si>
    <t>10.10.13</t>
  </si>
  <si>
    <t>8.27.13</t>
  </si>
  <si>
    <t>7.22.13</t>
  </si>
  <si>
    <t>4.30.13</t>
  </si>
  <si>
    <t>3.25.13</t>
  </si>
  <si>
    <t>2.4.13</t>
  </si>
  <si>
    <t xml:space="preserve"> F-550 #309</t>
  </si>
  <si>
    <t>vin-7072</t>
  </si>
  <si>
    <t>BASED ON  START DATE 12.26.2012-12.26.2019</t>
  </si>
  <si>
    <t>BASED ON __12.26.2012-12.26.2019</t>
  </si>
  <si>
    <t>Bus in Accident 7.22.14 out of service till  9.18.14 56 days</t>
  </si>
  <si>
    <t>Replaced Camshaft right side 9.11.2015 mileage 101910</t>
  </si>
  <si>
    <t>9.22.17</t>
  </si>
  <si>
    <t>Work Ord</t>
  </si>
  <si>
    <t>rc 8-2 309</t>
  </si>
  <si>
    <t>parking brake cable broke------TT</t>
  </si>
  <si>
    <t>179557-------------------------------TT</t>
  </si>
  <si>
    <t>parking brake cable-----z309---------1</t>
  </si>
  <si>
    <t>21119-------------179594----------TT</t>
  </si>
  <si>
    <t>fl8205--------------same------------TT</t>
  </si>
  <si>
    <t>ac filter rear----------3top1a---------2</t>
  </si>
  <si>
    <t>ftr011---------------same-----------TT</t>
  </si>
  <si>
    <t>5w20 oil--------------bulk tank---------7qts</t>
  </si>
  <si>
    <t>motor oil---------same------------TT</t>
  </si>
  <si>
    <t>batteries------------z309------------2</t>
  </si>
  <si>
    <t>31p30-------------179602----------TT</t>
  </si>
  <si>
    <t>used .50 hours to install</t>
  </si>
  <si>
    <t>r/headlight bulb-------16f4----------1</t>
  </si>
  <si>
    <t>9008b1---------180918------------RG</t>
  </si>
  <si>
    <t xml:space="preserve">Work Ord </t>
  </si>
  <si>
    <t>OIL FILTER------------4b1-----------1</t>
  </si>
  <si>
    <t>fl8205------------184560----------RD</t>
  </si>
  <si>
    <t>front pads-----------5e1-----------2 sets--</t>
  </si>
  <si>
    <t>brak clean----------shop---------1</t>
  </si>
  <si>
    <t>11971205089-----same-------RD</t>
  </si>
  <si>
    <t>5w20 oil----------same--------RD</t>
  </si>
  <si>
    <t>used 3.25 hours to preform pm</t>
  </si>
  <si>
    <t>wheel hub assm--------4k2----------1</t>
  </si>
  <si>
    <t>dc3z1104c-----------185031-------TT</t>
  </si>
  <si>
    <t>used 1.5 hour to replace and install</t>
  </si>
  <si>
    <t>l/s headlight bulb------16f4--------1</t>
  </si>
  <si>
    <t>cq9008-----------185183---------RD</t>
  </si>
  <si>
    <t>rc309-1</t>
  </si>
  <si>
    <t xml:space="preserve">broken window </t>
  </si>
  <si>
    <t>186520-----------TT</t>
  </si>
  <si>
    <t>F</t>
  </si>
  <si>
    <t>225/70r19.5r--------175421-----------RD</t>
  </si>
  <si>
    <t>recap tires-----------shop rack--------4</t>
  </si>
  <si>
    <t>used 3.5 hour to preform pm</t>
  </si>
  <si>
    <t>motor oil ---------same---------RD</t>
  </si>
  <si>
    <t>5w20 oil---------bulk tank-----------7qts</t>
  </si>
  <si>
    <t>FTR-----------------same---------Rd</t>
  </si>
  <si>
    <t>rear ac filter-----------3top1a---------2</t>
  </si>
  <si>
    <t>100226-----------same-----------RD</t>
  </si>
  <si>
    <t>bike rack bush----------5b2------------1</t>
  </si>
  <si>
    <t>FL8205-----------174853----------RD</t>
  </si>
  <si>
    <t>oil filter-----------4b1----------1</t>
  </si>
  <si>
    <t>17603a----------174600------------TT</t>
  </si>
  <si>
    <t>washer nozzle---------3f2-----------1</t>
  </si>
  <si>
    <t>9.1.17</t>
  </si>
  <si>
    <t>7.13.17</t>
  </si>
  <si>
    <t>3.24.17</t>
  </si>
  <si>
    <t>11.18.16</t>
  </si>
  <si>
    <t>8.15.16</t>
  </si>
  <si>
    <t>6.20.16</t>
  </si>
  <si>
    <t>3.10.16</t>
  </si>
  <si>
    <t>1.28.16</t>
  </si>
  <si>
    <t>8.29.15</t>
  </si>
  <si>
    <t>7.8.15</t>
  </si>
  <si>
    <t>3.28.15</t>
  </si>
  <si>
    <t>1.14.15</t>
  </si>
  <si>
    <t>12.3.14</t>
  </si>
  <si>
    <t>10.28.14</t>
  </si>
  <si>
    <t>9.18.14</t>
  </si>
  <si>
    <t>6.25.14</t>
  </si>
  <si>
    <t>3.28.14</t>
  </si>
  <si>
    <t>2.17.14</t>
  </si>
  <si>
    <t>1.6.14</t>
  </si>
  <si>
    <t>11.15.13</t>
  </si>
  <si>
    <t>10.4.13</t>
  </si>
  <si>
    <t>8.15.13</t>
  </si>
  <si>
    <t>6.24.13</t>
  </si>
  <si>
    <t>5.8.13</t>
  </si>
  <si>
    <t>3.26.13</t>
  </si>
  <si>
    <t>2.8.13</t>
  </si>
  <si>
    <t xml:space="preserve"> F-550 #310</t>
  </si>
  <si>
    <t>vin-7077</t>
  </si>
  <si>
    <t>BASED ON  START DATE 12.31.2012-12.31.2019</t>
  </si>
  <si>
    <t>BASED ON __12.31.2012-12.31.2019</t>
  </si>
  <si>
    <t>lift bridg switch-------14a3----------1</t>
  </si>
  <si>
    <t>33689ks-----------177847--------RD</t>
  </si>
  <si>
    <t>rubber bumper------2a6b----------1</t>
  </si>
  <si>
    <t>32408-----------same-------RD</t>
  </si>
  <si>
    <t>used 2 hours to repair</t>
  </si>
  <si>
    <t>bulb, amber-------16e3----------1</t>
  </si>
  <si>
    <t>3157na----------178129----------TT</t>
  </si>
  <si>
    <t>rear pads----------5e1---------1 set</t>
  </si>
  <si>
    <t>9c3z2001a-------same----------TT</t>
  </si>
  <si>
    <t>used 1.o hour to repair</t>
  </si>
  <si>
    <t>steer tires----------shop rack---------2</t>
  </si>
  <si>
    <t>225/70r19.5----------179076--------RD</t>
  </si>
  <si>
    <t>both headlight bulbs----16f4--------2</t>
  </si>
  <si>
    <t>9008b1-------------same-------------RD</t>
  </si>
  <si>
    <t>l-hood supp--------6top1a--------1</t>
  </si>
  <si>
    <t>bc3z16c826b-------179417----------RD</t>
  </si>
  <si>
    <t>bc3z16c827a--------same-----------RD</t>
  </si>
  <si>
    <t>fl8205------------197863-----------RG</t>
  </si>
  <si>
    <t>front pads----------5e1---------1 set</t>
  </si>
  <si>
    <t>9c3z2001a-------same----------RG</t>
  </si>
  <si>
    <t>magnet kit---------5b3---------1</t>
  </si>
  <si>
    <t>100116------------same----------RG</t>
  </si>
  <si>
    <t>red LED light-------16f6----------1</t>
  </si>
  <si>
    <t>3974845-----------same---------RG</t>
  </si>
  <si>
    <t>radi hose seal------3b2---------2</t>
  </si>
  <si>
    <t>bc3z8590pa-----same---------RG</t>
  </si>
  <si>
    <t>Coolant-----------7c1-----------2 gallons</t>
  </si>
  <si>
    <t>vc3b--------------same----------RG</t>
  </si>
  <si>
    <t>radiator------------z310----------1</t>
  </si>
  <si>
    <t>c13231-------------same--------RG</t>
  </si>
  <si>
    <t>freon---------------r134a----------2lbs</t>
  </si>
  <si>
    <t>r134a freon--------same-------RG</t>
  </si>
  <si>
    <t>motor oil ----------bulk tank------7qts</t>
  </si>
  <si>
    <t>0601018------------same--------RG</t>
  </si>
  <si>
    <t>used 6.5 hours to preform pm</t>
  </si>
  <si>
    <t>invertory control-----16f4--------1</t>
  </si>
  <si>
    <t>egress hand---------1e4a---------1</t>
  </si>
  <si>
    <t>5565--------------183033---------RD</t>
  </si>
  <si>
    <t>exhaust hanger-------5c---------1</t>
  </si>
  <si>
    <t>8057-------------183195-----------RD</t>
  </si>
  <si>
    <t>STARTERS/ALTERN</t>
  </si>
  <si>
    <t>0601018-------------same----------RG</t>
  </si>
  <si>
    <t>5w20 oil---------bulk tank-------------7qts</t>
  </si>
  <si>
    <t>0031539-4-----------same----------RG</t>
  </si>
  <si>
    <t>rear ac cont boar----------15h2--------1</t>
  </si>
  <si>
    <t>9008b1---------------same-----------RG</t>
  </si>
  <si>
    <t>l/fron headlight bulb------16f4--------1</t>
  </si>
  <si>
    <t>FL8205---------------same-=---------RG</t>
  </si>
  <si>
    <t>oil filteer-------------4b1-------------1</t>
  </si>
  <si>
    <t>89263---------------184576----------RG</t>
  </si>
  <si>
    <t>belt tens-------------z311------------1</t>
  </si>
  <si>
    <t>100364-----------same---------------RD</t>
  </si>
  <si>
    <t>pivot plate stp-------5b4---------1</t>
  </si>
  <si>
    <t>100226------------184448------------RD</t>
  </si>
  <si>
    <t>bike rac bush----------5b2---------1</t>
  </si>
  <si>
    <t>used .50 to replace</t>
  </si>
  <si>
    <t>31p30-------------183969--------------TT</t>
  </si>
  <si>
    <t>battery--------------z311---------------2</t>
  </si>
  <si>
    <t>66465--------------183033-----------RG</t>
  </si>
  <si>
    <t>starter----------6b5--------------1</t>
  </si>
  <si>
    <t>used 5.0 hours /replaced intake valve #8 cyc</t>
  </si>
  <si>
    <t>100226-----------182268------------TT</t>
  </si>
  <si>
    <t>bike rac bush---------5b2-----------2</t>
  </si>
  <si>
    <t>754167-----------181852------------TT</t>
  </si>
  <si>
    <t>o2 senser-------------6b6--------------1</t>
  </si>
  <si>
    <t>6.13.17</t>
  </si>
  <si>
    <t>4.4.17</t>
  </si>
  <si>
    <t>2.20.17</t>
  </si>
  <si>
    <t>1.11.17</t>
  </si>
  <si>
    <t>12.1.16</t>
  </si>
  <si>
    <t>9.7.16</t>
  </si>
  <si>
    <t>7.25.16</t>
  </si>
  <si>
    <t>5.3.16</t>
  </si>
  <si>
    <t>1.8.16</t>
  </si>
  <si>
    <t>10.7.15</t>
  </si>
  <si>
    <t>9.1.15</t>
  </si>
  <si>
    <t>7.23.15</t>
  </si>
  <si>
    <t>6.15.15</t>
  </si>
  <si>
    <t>5.2.15</t>
  </si>
  <si>
    <t>4.22.15</t>
  </si>
  <si>
    <t>1.27.15</t>
  </si>
  <si>
    <t>12.6.14</t>
  </si>
  <si>
    <t>10.30.14</t>
  </si>
  <si>
    <t>9.24.14</t>
  </si>
  <si>
    <t>6.23.14</t>
  </si>
  <si>
    <t>5.9.14</t>
  </si>
  <si>
    <t>3.31.14</t>
  </si>
  <si>
    <t>2.20.14</t>
  </si>
  <si>
    <t>1.10.14</t>
  </si>
  <si>
    <t>10.7.13</t>
  </si>
  <si>
    <t>9.6.13</t>
  </si>
  <si>
    <t>7.24.13</t>
  </si>
  <si>
    <t>6.13.13</t>
  </si>
  <si>
    <t>7.31.17</t>
  </si>
  <si>
    <t>9.14.17</t>
  </si>
  <si>
    <t xml:space="preserve"> F-550 #311</t>
  </si>
  <si>
    <t>vin-7076</t>
  </si>
  <si>
    <t>BASED ON  START DATE 01.04.2013-01.04.2020</t>
  </si>
  <si>
    <t>BASED ON __01.04.2013-01.04.2020</t>
  </si>
  <si>
    <t>Replaced 1st Camshaft 5.15.15 mileage 101317</t>
  </si>
  <si>
    <t>Replaced 2nd Camshaft 2.20.17 mileage 169535</t>
  </si>
  <si>
    <t>9008b1-----------184576----------TT</t>
  </si>
  <si>
    <t>used .25 hours to change bulb</t>
  </si>
  <si>
    <t>bushing-----------5b2-----------1</t>
  </si>
  <si>
    <t>100226-----------187170----------RD</t>
  </si>
  <si>
    <t>l-side headlight bulb-----16f4--------1</t>
  </si>
  <si>
    <t>9008b1----------187327-----------RD</t>
  </si>
  <si>
    <t>bc3z16c826b-------187609---------RD</t>
  </si>
  <si>
    <t>r-hood supp--------6top1------1</t>
  </si>
  <si>
    <t>bc3z16c826a-----------same------RD</t>
  </si>
  <si>
    <t>wind motor------15a2---------1</t>
  </si>
  <si>
    <t>83144-----------187914----------TT</t>
  </si>
  <si>
    <t>magnet kit-----------5b3----------1</t>
  </si>
  <si>
    <t>100116-----------187960---------RG</t>
  </si>
  <si>
    <t>right headlight bulb--16f4--------1</t>
  </si>
  <si>
    <t>9008b1----------188427---------TT</t>
  </si>
  <si>
    <t>oil filter-----------4b1---------1</t>
  </si>
  <si>
    <t>fl8205-------------189610----------RD</t>
  </si>
  <si>
    <t>l/front caliper-------6g1--------1</t>
  </si>
  <si>
    <t>18b8047b--------same----------RD</t>
  </si>
  <si>
    <t>front and rear pads----5e1-------2 sets</t>
  </si>
  <si>
    <t>bc3z2001a-------same---------RD</t>
  </si>
  <si>
    <t>brak ped pad--------1b1--------1</t>
  </si>
  <si>
    <t>bc3z2457b-------same---------RD</t>
  </si>
  <si>
    <t>exhaus hang---------5b----------1</t>
  </si>
  <si>
    <t>8483---------------same----------RD</t>
  </si>
  <si>
    <t>washer noz-----------3f2----------2</t>
  </si>
  <si>
    <t>17603a------------same----------RD</t>
  </si>
  <si>
    <t>motot oil ------bulk tank----------7qts</t>
  </si>
  <si>
    <t>5w20 oil ----------same-----------RD</t>
  </si>
  <si>
    <t>both headlight bulbs-----16f4---------2</t>
  </si>
  <si>
    <t>9008b1-----------182472-------------TT</t>
  </si>
  <si>
    <t>bik rac bush---------5b2--------1</t>
  </si>
  <si>
    <t>100226-----------same------------TT</t>
  </si>
  <si>
    <t>brake cl-----------stkrm----------1</t>
  </si>
  <si>
    <t>11971205089------same----------TT</t>
  </si>
  <si>
    <t>lrear caliper--------6g1------------1</t>
  </si>
  <si>
    <t>18b8047b--------192539-----------TT</t>
  </si>
  <si>
    <t>brake fluid---------7a3------------1</t>
  </si>
  <si>
    <t>032-------------same--------------TT</t>
  </si>
  <si>
    <t>brak clea------------stkrm-----------1</t>
  </si>
  <si>
    <t>11971205089------same-----------TT</t>
  </si>
  <si>
    <t>p/s fluid----------7a1---------------1</t>
  </si>
  <si>
    <t>590---------------same-------------TT</t>
  </si>
  <si>
    <t>DEF</t>
  </si>
  <si>
    <t>0859918----------same---------RG</t>
  </si>
  <si>
    <t>motor oil 15w40--------bulk tank--------19qts</t>
  </si>
  <si>
    <t>42,37</t>
  </si>
  <si>
    <t>4c1----------------85066---------RG</t>
  </si>
  <si>
    <t>oil filter-------------LF3970----------1</t>
  </si>
  <si>
    <t>100226-------------84273--------------RG</t>
  </si>
  <si>
    <t>bike rac busi--------5b2-----------2</t>
  </si>
  <si>
    <t>fxab53-------------same-------------TT</t>
  </si>
  <si>
    <t>coolant---------------7b1----------------1</t>
  </si>
  <si>
    <t>def elbow fitting---------6e1a------------1</t>
  </si>
  <si>
    <t>used 1.0 hour to replace broken mod panel RD</t>
  </si>
  <si>
    <t>I016365---------------83420------------RD</t>
  </si>
  <si>
    <t>lexan -------------z401---------------1 sheet</t>
  </si>
  <si>
    <t>9.29.17</t>
  </si>
  <si>
    <t>8.28.17</t>
  </si>
  <si>
    <t>7.24.17</t>
  </si>
  <si>
    <t>6.8.17</t>
  </si>
  <si>
    <t>4.24.17</t>
  </si>
  <si>
    <t>3.20.17</t>
  </si>
  <si>
    <t>2.1.17</t>
  </si>
  <si>
    <t>12.23.16</t>
  </si>
  <si>
    <t>11.16.16</t>
  </si>
  <si>
    <t>10.7.16</t>
  </si>
  <si>
    <t>9.2.16</t>
  </si>
  <si>
    <t>7.27.16</t>
  </si>
  <si>
    <t>2.25.16</t>
  </si>
  <si>
    <t>11.21.15</t>
  </si>
  <si>
    <t xml:space="preserve">BASED ON  START DATE 1.4.2016 to 1.4.2023 </t>
  </si>
  <si>
    <t>Freightliner/ Cham</t>
  </si>
  <si>
    <t>vin-5986</t>
  </si>
  <si>
    <t>BASED ON __7.29.2015 to 7.29.2022</t>
  </si>
  <si>
    <t>NEW BUS PREP W/O 9572 $359.00</t>
  </si>
  <si>
    <t>W/O 9584 $660.00</t>
  </si>
  <si>
    <t>rc8-2401</t>
  </si>
  <si>
    <t>power leak (hose loose fixed on the location)</t>
  </si>
  <si>
    <t>86422----------------TT</t>
  </si>
  <si>
    <t>magnet kit----------5b3------------1</t>
  </si>
  <si>
    <t>100116----------86982-------------RD</t>
  </si>
  <si>
    <t>r/s lowbeam---------16e2---------1</t>
  </si>
  <si>
    <t>cq9006xs----------10952----------RD</t>
  </si>
  <si>
    <t>used .25 hours to replace bulb</t>
  </si>
  <si>
    <t>steer tires -----------shop rack----------2</t>
  </si>
  <si>
    <t>245/70r19.5-----------87363---------RD</t>
  </si>
  <si>
    <t>12"LED light ----------16f5-------------2</t>
  </si>
  <si>
    <t>3974361---------------same----------RD</t>
  </si>
  <si>
    <t>bik rac bush----------5b2---------1</t>
  </si>
  <si>
    <t>100226----------------same----------RD</t>
  </si>
  <si>
    <t>used 1.0 hours to repair and install</t>
  </si>
  <si>
    <t>left headlight bulb-----16e2----------1</t>
  </si>
  <si>
    <t>cq9006xs-----------87363-----------TT</t>
  </si>
  <si>
    <t>RC-810401</t>
  </si>
  <si>
    <t>no wipers TT</t>
  </si>
  <si>
    <t>FAREBOX BATTI----------OFFICE--------1</t>
  </si>
  <si>
    <t>LIT0270-----------89003---------TT</t>
  </si>
  <si>
    <t>oil filter------------4c1-----------1</t>
  </si>
  <si>
    <t>lf3970---------------90075---------RD</t>
  </si>
  <si>
    <t>brak clea---------shop---------3</t>
  </si>
  <si>
    <t>11971205080------same---------RD</t>
  </si>
  <si>
    <t>motor oil ---------bulk tank---------19qts-</t>
  </si>
  <si>
    <t>15w40--------------same--------RD</t>
  </si>
  <si>
    <t>l-s headlight bulb------16e2--------1</t>
  </si>
  <si>
    <t>cq9006xs---------91501---------TT</t>
  </si>
  <si>
    <t>r-s headlight bulb--------16e2--------1</t>
  </si>
  <si>
    <t>cq9006xs---------91921----------RG</t>
  </si>
  <si>
    <t>100226----------94265-----------RG</t>
  </si>
  <si>
    <t>oil filter----------4c1-----------1</t>
  </si>
  <si>
    <t>lf3970------------94868-----------RD</t>
  </si>
  <si>
    <t>motor oil -------bulk tank--------19 qts</t>
  </si>
  <si>
    <t>15w40 oil--------same---------RD</t>
  </si>
  <si>
    <t>used 2.0 hours to pre-form PM</t>
  </si>
  <si>
    <t>micro swit-----------14h3c-----------1</t>
  </si>
  <si>
    <t>1524------------95410----------RD</t>
  </si>
  <si>
    <t>Freightliner</t>
  </si>
  <si>
    <t>waiting on part for accident repair 1.26.17</t>
  </si>
  <si>
    <t>DEF plus LABOR</t>
  </si>
  <si>
    <t>REPL 2 F</t>
  </si>
  <si>
    <t>100116------------80200---------------RG</t>
  </si>
  <si>
    <t>bike trac magnet---------5b3-----------1</t>
  </si>
  <si>
    <t>0859918---------same---------------RG</t>
  </si>
  <si>
    <t>15w40 oil-------------bulk tank---------19qts</t>
  </si>
  <si>
    <t>100226----------same---------------RG</t>
  </si>
  <si>
    <t>bike rac bush---------5b2-----------1</t>
  </si>
  <si>
    <t>16pb-----------same----------------RG</t>
  </si>
  <si>
    <t>penet oil------------stkrm---------1</t>
  </si>
  <si>
    <t>1055--------------same----------------RG</t>
  </si>
  <si>
    <t>silico spray----------stkrm---------1</t>
  </si>
  <si>
    <t>6d3----------------same---------------RG</t>
  </si>
  <si>
    <t>5060745----------ac belt---------1</t>
  </si>
  <si>
    <t>4c1----------------79771--------------RG</t>
  </si>
  <si>
    <t>LF3970-------------oil fliter------------1</t>
  </si>
  <si>
    <t>used 1.0 hour to replace</t>
  </si>
  <si>
    <t>245/70r19.5r----------79155---------RD</t>
  </si>
  <si>
    <t>recap tires-----------shop rack-----------4</t>
  </si>
  <si>
    <t>10.3.17</t>
  </si>
  <si>
    <t>8.30.17</t>
  </si>
  <si>
    <t>7.25.17</t>
  </si>
  <si>
    <t>6.23.17</t>
  </si>
  <si>
    <t>5.20.17</t>
  </si>
  <si>
    <t>1.10.17</t>
  </si>
  <si>
    <t>11.23.16</t>
  </si>
  <si>
    <t>10.10.16</t>
  </si>
  <si>
    <t>9.3.16</t>
  </si>
  <si>
    <t>7.11.16</t>
  </si>
  <si>
    <t>6.3.16</t>
  </si>
  <si>
    <t>4.26.16</t>
  </si>
  <si>
    <t>3.9.16</t>
  </si>
  <si>
    <t>1.21.16</t>
  </si>
  <si>
    <t>12.5.2015</t>
  </si>
  <si>
    <t>10.22.15</t>
  </si>
  <si>
    <t>vin-</t>
  </si>
  <si>
    <t xml:space="preserve">BASED ON  START DATE 7.29.2015 to 7.29.2022 </t>
  </si>
  <si>
    <t>245/70r19.5--------82360---------TT</t>
  </si>
  <si>
    <t>ext filter-----------4e1---------------1</t>
  </si>
  <si>
    <t>29539579----------83041---------TT</t>
  </si>
  <si>
    <t>ext filter magnet----z402---------1</t>
  </si>
  <si>
    <t>29535617----------same---------TT</t>
  </si>
  <si>
    <t>L/LOW BEAM---------16E2---------1</t>
  </si>
  <si>
    <t>CQ9006XS---------83488--------RG</t>
  </si>
  <si>
    <t>oil filter-----------4c1-------------1</t>
  </si>
  <si>
    <t>lf3970----------------84731-----------RD</t>
  </si>
  <si>
    <t>brak pads--------5h1-----------1 set</t>
  </si>
  <si>
    <t>02040j2617---------same-----------RD</t>
  </si>
  <si>
    <t>red int light---------16f6----------2</t>
  </si>
  <si>
    <t>3974845------------same------------RD</t>
  </si>
  <si>
    <t>motor oil-------bulk tank----------19qts</t>
  </si>
  <si>
    <t>15w40--------------same------------RD</t>
  </si>
  <si>
    <t>coolant------------7b1------------2 gallons</t>
  </si>
  <si>
    <t>fxab53----------88142---------RD</t>
  </si>
  <si>
    <t>used 1.25 hours to fill</t>
  </si>
  <si>
    <t>oil filtere-------------4c1-------------1</t>
  </si>
  <si>
    <t>lf3970-------------89670-------------RD</t>
  </si>
  <si>
    <t>red ind light ---------16f6-----------1</t>
  </si>
  <si>
    <t>3974845---------same--------------RD</t>
  </si>
  <si>
    <t>motor oil-----------bulk tank---------19 qts</t>
  </si>
  <si>
    <t>15w40 oil---------same------------RD</t>
  </si>
  <si>
    <t>used 2.5 hours to preform PM</t>
  </si>
  <si>
    <t>magnet kit---------5b3------------1</t>
  </si>
  <si>
    <t>100116-----------90560------TT</t>
  </si>
  <si>
    <t xml:space="preserve">WARRANTY </t>
  </si>
  <si>
    <t>NEXT PM 3,084</t>
  </si>
  <si>
    <t>Replace instrument cluster, mileage 66696</t>
  </si>
  <si>
    <t>NEW BUS PREP bike rack</t>
  </si>
  <si>
    <t>DEF &amp; LABOR</t>
  </si>
  <si>
    <t xml:space="preserve">                      C.A.T 16 BUS 403 CALENDER YEAR TWO 2017</t>
  </si>
  <si>
    <t>15w40 oil------------bulk tank------------19 qts</t>
  </si>
  <si>
    <t>LF3970-------------12869-----------RD</t>
  </si>
  <si>
    <t>oil filter----------------4c1----------1</t>
  </si>
  <si>
    <t>5.27.17</t>
  </si>
  <si>
    <t>6.27.17</t>
  </si>
  <si>
    <t>7.28.17</t>
  </si>
  <si>
    <t>8.26.17</t>
  </si>
  <si>
    <t>9.26.17</t>
  </si>
  <si>
    <t>vin-3753</t>
  </si>
  <si>
    <t>oil filter-------------4c1----------1</t>
  </si>
  <si>
    <t>lf3970------------17687-----------RD</t>
  </si>
  <si>
    <t>bik rac bus--------5b2---------1</t>
  </si>
  <si>
    <t>1/4 x1/8 union-------4i5---------1</t>
  </si>
  <si>
    <t>nc56244---------same-----------RD</t>
  </si>
  <si>
    <t>motor oil ----------bulk tank--------19qts</t>
  </si>
  <si>
    <t>15w40-----------same-----------RD</t>
  </si>
  <si>
    <t>r-s headlight bulb --------16e2--------1</t>
  </si>
  <si>
    <t>cq9006xs----------19561---------RG</t>
  </si>
  <si>
    <t>l-s headlight bulb-------16e2---------1</t>
  </si>
  <si>
    <t>cq9006xs-----------21701-------RG</t>
  </si>
  <si>
    <t>LOW BEAM SIDE ??-------16e2---------1</t>
  </si>
  <si>
    <t>cq9006xs--------22062-----------CS</t>
  </si>
  <si>
    <t>bik rac bush--------5b2---------1</t>
  </si>
  <si>
    <t>100226------------22374----------RG</t>
  </si>
  <si>
    <t xml:space="preserve">lf3970-------------22909----------RG </t>
  </si>
  <si>
    <t>rear pads---------5h1--------1 set</t>
  </si>
  <si>
    <t>02040j2617-------same--------RG</t>
  </si>
  <si>
    <t>batteries-----------z403--------2</t>
  </si>
  <si>
    <t>motor oil-----------bulk tank---------19qts</t>
  </si>
  <si>
    <t>15w40 ------------same-------RG</t>
  </si>
  <si>
    <t>bik rac bush---------5b2----------1</t>
  </si>
  <si>
    <t>100226-------------25128----------RG</t>
  </si>
  <si>
    <t xml:space="preserve">New Bus Prep </t>
  </si>
  <si>
    <t>DEF&amp;LABOR</t>
  </si>
  <si>
    <t>UPDATED 7.20.17</t>
  </si>
  <si>
    <t xml:space="preserve">                      C.A.T 16 BUS 404 YEAR 3 F/Y 18</t>
  </si>
  <si>
    <t>cq9006xs----------9836------------RD</t>
  </si>
  <si>
    <t>low beam -----------16e2------------1</t>
  </si>
  <si>
    <t>0859918-----------same---------TT</t>
  </si>
  <si>
    <t>15w40 oil-----------bulk tank----------19qts</t>
  </si>
  <si>
    <t>cq9006xs---------same----------TT</t>
  </si>
  <si>
    <t>r/headlight bulb-------16e2---------1</t>
  </si>
  <si>
    <t>100116-----------same----------TT</t>
  </si>
  <si>
    <t>magnet kit---------5b3-----------1</t>
  </si>
  <si>
    <t>L512--------------same------------TT</t>
  </si>
  <si>
    <t>dry lube-----------stckrm----------1</t>
  </si>
  <si>
    <t>LF3970-------------9009-----------TT</t>
  </si>
  <si>
    <t>oil filter-------------4c1-------------1</t>
  </si>
  <si>
    <t>used .25 hour to repair</t>
  </si>
  <si>
    <t>cq9006------------8816-----------RD</t>
  </si>
  <si>
    <t>lh headlight bulb--------16e2---------1</t>
  </si>
  <si>
    <t>used 1.0 hours</t>
  </si>
  <si>
    <t>r134a---------------7750--------------RG</t>
  </si>
  <si>
    <t>r134 feron -----------shop tank-----------3lbs</t>
  </si>
  <si>
    <t>5.5.17</t>
  </si>
  <si>
    <t>4.3.17</t>
  </si>
  <si>
    <t>3.4.17</t>
  </si>
  <si>
    <t>1.31.17</t>
  </si>
  <si>
    <t>12.30.16</t>
  </si>
  <si>
    <t>11.28.16</t>
  </si>
  <si>
    <t>10.28.16</t>
  </si>
  <si>
    <t>9.8.16</t>
  </si>
  <si>
    <t>8.4.16</t>
  </si>
  <si>
    <t>7.1.16</t>
  </si>
  <si>
    <t>4.19.16</t>
  </si>
  <si>
    <t>5.12.17</t>
  </si>
  <si>
    <t>7.22.17</t>
  </si>
  <si>
    <t>vin-3752</t>
  </si>
  <si>
    <t xml:space="preserve">BASED ON __1.4.2016 to 1.4.2023 </t>
  </si>
  <si>
    <t xml:space="preserve">Mileage before cluster replacemet 60,658 changed on May 12,2017 Starting mileage 8.0 </t>
  </si>
  <si>
    <t>belts main and aux-----6d2--6d3------1 each</t>
  </si>
  <si>
    <t>k080813hd--5060745----10535------TT/RD</t>
  </si>
  <si>
    <t>door mic switch--------14h3c-----------1</t>
  </si>
  <si>
    <t>1524-------------1113----------RD</t>
  </si>
  <si>
    <t>arm rest------------fare office-----------1</t>
  </si>
  <si>
    <t>56144---------same-----------RD</t>
  </si>
  <si>
    <t>headlight pigtail---------16c1a--------1</t>
  </si>
  <si>
    <t>PT255----------13203----------TT</t>
  </si>
  <si>
    <t>l/low beam b headlig bulb------16e2-----1</t>
  </si>
  <si>
    <t>CQ9006xs-------same-------TT</t>
  </si>
  <si>
    <t>R/S LOW BEAM---------16E2------------1</t>
  </si>
  <si>
    <t>CQ9006xs-------10952---------RD</t>
  </si>
  <si>
    <t>USED .25 HOURS</t>
  </si>
  <si>
    <t>fuel filter---------------4d2a-----------1</t>
  </si>
  <si>
    <t>ff63009-----------13747------------TT</t>
  </si>
  <si>
    <t>brake pads--------5h1----------2 sets</t>
  </si>
  <si>
    <t>02040j2617-------same---------TT</t>
  </si>
  <si>
    <t>brak clea------------stock room-------1</t>
  </si>
  <si>
    <t>11971205089------same---------TT</t>
  </si>
  <si>
    <t>oil filter------------4c1-------------1</t>
  </si>
  <si>
    <t>lf3970---------------same----------TT</t>
  </si>
  <si>
    <t>245/70r19.5--------same---------TT</t>
  </si>
  <si>
    <t>rear caps tires-------shop rack-----4</t>
  </si>
  <si>
    <t>245/70r19.5 caps----same------TT</t>
  </si>
  <si>
    <t>motor oil ---------bulk tank---------19qts</t>
  </si>
  <si>
    <t>15w40--------------same----------TT</t>
  </si>
  <si>
    <t>used 3.0 hours to go on road call and preform pm</t>
  </si>
  <si>
    <t>* add 1 steer tire from WO # 10712</t>
  </si>
  <si>
    <t>bike rac bush-------5b3-----1</t>
  </si>
  <si>
    <t>100116------------15701-----------RG</t>
  </si>
  <si>
    <t xml:space="preserve">                                                                        MOTOR BUS</t>
  </si>
  <si>
    <t xml:space="preserve">                                   CUMULATIVE NUMBER OF ROAD CALLS FOR F/Y  2018</t>
  </si>
  <si>
    <t>MAJOR</t>
  </si>
  <si>
    <t>OTHER</t>
  </si>
  <si>
    <t>TOTAL</t>
  </si>
  <si>
    <t>MONTH</t>
  </si>
  <si>
    <t>JULY</t>
  </si>
  <si>
    <t>AUGUST</t>
  </si>
  <si>
    <t>SEPTEMBER</t>
  </si>
  <si>
    <t>OCTOBER</t>
  </si>
  <si>
    <t>NOVEMBER</t>
  </si>
  <si>
    <t>DECEMBER</t>
  </si>
  <si>
    <t>JANUARY</t>
  </si>
  <si>
    <t>FEBRUARY</t>
  </si>
  <si>
    <t>MARCH</t>
  </si>
  <si>
    <t>APRIL</t>
  </si>
  <si>
    <t>MAY</t>
  </si>
  <si>
    <t>JUNE</t>
  </si>
  <si>
    <t>MAJOR ---COULDN'T COMPLETE RUN</t>
  </si>
  <si>
    <t>AIR EQUIPMENT, BRAKES, BODY PARTS, DOOR, COOLING SYSTEM,</t>
  </si>
  <si>
    <t>ENGINE, STEERING AND FRONT AXLE, REAR AXLE AND SUSPENSION,</t>
  </si>
  <si>
    <t>BRAKES, TORQUE CONVERTERS, TRANSMISSION</t>
  </si>
  <si>
    <t>OTHER ---OUR POLICY--DIDN'T COMPLETE RUN</t>
  </si>
  <si>
    <t>TIRES, FAREBOX, WHEEL-CHAIR LIFT, AIR CONDITIONING SYSTEM,</t>
  </si>
  <si>
    <t>OUT OF FUEL-COOLANT-LUBRICANT,  HEATING SYSTEM, ELECTIRCAL UNITS,</t>
  </si>
  <si>
    <t>FUEL SYSTEM, BELTS, GPS, HOSES, SENSORS, WIRING</t>
  </si>
  <si>
    <r>
      <t>EXCEL/CUMULATIVE</t>
    </r>
    <r>
      <rPr>
        <sz val="10"/>
        <rFont val="Arial"/>
        <family val="2"/>
      </rPr>
      <t xml:space="preserve"> </t>
    </r>
    <r>
      <rPr>
        <sz val="8"/>
        <rFont val="Arial"/>
        <family val="2"/>
      </rPr>
      <t>FORMS\FY2017\ROAD CALLS MOTOR BUS</t>
    </r>
  </si>
  <si>
    <t xml:space="preserve">                         DEMAND RESPONSE</t>
  </si>
  <si>
    <t>CUMULATIVE NUMBER OF ROAD CALLS FOR F/Y  2018</t>
  </si>
  <si>
    <t>MAJOR ---</t>
  </si>
  <si>
    <t>ENGINE, STEERING AND FRONT AXLE, REAR EXLE AND SUSPENSION,</t>
  </si>
  <si>
    <t>BRAKES, TORQUE CONVERTERS.</t>
  </si>
  <si>
    <t>OTHER--</t>
  </si>
  <si>
    <t xml:space="preserve">FUEL SYSTEM, BELTS, GPS, HOSES                                   </t>
  </si>
  <si>
    <t>DATE</t>
  </si>
  <si>
    <t>BUS</t>
  </si>
  <si>
    <t>TOW/TOOK</t>
  </si>
  <si>
    <t>REPLACEMENT BUS</t>
  </si>
  <si>
    <t>MECH</t>
  </si>
  <si>
    <t>DESCRIPTION OF PROBLEM</t>
  </si>
  <si>
    <t>JULY 7 17</t>
  </si>
  <si>
    <t>TOOK</t>
  </si>
  <si>
    <t>TODD</t>
  </si>
  <si>
    <r>
      <t xml:space="preserve">SQUEALING NOISE UNDER HOOD </t>
    </r>
    <r>
      <rPr>
        <b/>
        <sz val="11"/>
        <color rgb="FFFF0000"/>
        <rFont val="Calibri"/>
        <family val="2"/>
        <scheme val="minor"/>
      </rPr>
      <t>(A/C COMPRESSER)</t>
    </r>
  </si>
  <si>
    <t>JULY 8 17</t>
  </si>
  <si>
    <r>
      <t xml:space="preserve">COOLANT LEAK </t>
    </r>
    <r>
      <rPr>
        <b/>
        <sz val="11"/>
        <color rgb="FFFF0000"/>
        <rFont val="Calibri"/>
        <family val="2"/>
        <scheme val="minor"/>
      </rPr>
      <t>(REPLACED DEF HOSE)</t>
    </r>
  </si>
  <si>
    <t>AUG 2 17</t>
  </si>
  <si>
    <r>
      <t xml:space="preserve">POWERSTEERING LEAK </t>
    </r>
    <r>
      <rPr>
        <b/>
        <sz val="11"/>
        <color rgb="FFFF0000"/>
        <rFont val="Calibri"/>
        <family val="2"/>
        <scheme val="minor"/>
      </rPr>
      <t>(TIGHTEN HOSE AND FILLED)</t>
    </r>
  </si>
  <si>
    <r>
      <t>PARKING BRAKE (</t>
    </r>
    <r>
      <rPr>
        <b/>
        <sz val="11"/>
        <color rgb="FFFF0000"/>
        <rFont val="Calibri"/>
        <family val="2"/>
        <scheme val="minor"/>
      </rPr>
      <t>REPAIRED BRAKE CABLE)</t>
    </r>
  </si>
  <si>
    <t>AUG 3 17</t>
  </si>
  <si>
    <t>RANDY</t>
  </si>
  <si>
    <r>
      <t xml:space="preserve">FAN BELT </t>
    </r>
    <r>
      <rPr>
        <b/>
        <sz val="11"/>
        <color rgb="FFFF0000"/>
        <rFont val="Calibri"/>
        <family val="2"/>
        <scheme val="minor"/>
      </rPr>
      <t>(REPLACED BELT)</t>
    </r>
  </si>
  <si>
    <t>AUG 10 17</t>
  </si>
  <si>
    <r>
      <t xml:space="preserve">No Windshield Wipers </t>
    </r>
    <r>
      <rPr>
        <b/>
        <sz val="11"/>
        <color rgb="FFFF0000"/>
        <rFont val="Calibri"/>
        <family val="2"/>
        <scheme val="minor"/>
      </rPr>
      <t>(REPAIRED )</t>
    </r>
  </si>
  <si>
    <t>AUG 14 17</t>
  </si>
  <si>
    <r>
      <t xml:space="preserve">Flat front Tire </t>
    </r>
    <r>
      <rPr>
        <b/>
        <sz val="11"/>
        <color rgb="FFFF0000"/>
        <rFont val="Calibri"/>
        <family val="2"/>
        <scheme val="minor"/>
      </rPr>
      <t>(REPLACED BOTH FRONT TIRE)</t>
    </r>
  </si>
  <si>
    <t>SEPT 1 17</t>
  </si>
  <si>
    <t>RD</t>
  </si>
  <si>
    <r>
      <t xml:space="preserve">coolant leak </t>
    </r>
    <r>
      <rPr>
        <b/>
        <sz val="11"/>
        <color rgb="FFFF0000"/>
        <rFont val="Calibri"/>
        <family val="2"/>
        <scheme val="minor"/>
      </rPr>
      <t>(repaired hose add coolant)</t>
    </r>
  </si>
  <si>
    <t>OCT 9 17</t>
  </si>
  <si>
    <r>
      <t xml:space="preserve">brake fluid leak </t>
    </r>
    <r>
      <rPr>
        <b/>
        <sz val="11"/>
        <color rgb="FFFF0000"/>
        <rFont val="Calibri"/>
        <family val="2"/>
        <scheme val="minor"/>
      </rPr>
      <t>(repaired leak caliper left rear)</t>
    </r>
  </si>
  <si>
    <t xml:space="preserve">                      C.A.T 16 BUS 501  YEAR 3 F/Y 18</t>
  </si>
  <si>
    <t>fl8205------------184537--------------RG/TT</t>
  </si>
  <si>
    <t>bike rac bus---------5b2-----------1</t>
  </si>
  <si>
    <t>100226----------same-----------------RG/TT</t>
  </si>
  <si>
    <t>coolant---------------7c1-------------1</t>
  </si>
  <si>
    <t>vc3b--------------same-----------------RG/TT</t>
  </si>
  <si>
    <t>rear pads------------5e1-------------1 set</t>
  </si>
  <si>
    <t>9c3z2001a-------same-----------------RG/TT</t>
  </si>
  <si>
    <t>r rear caliper-------6f1--------------1</t>
  </si>
  <si>
    <t>18b8046b--------same----------------RG/TT</t>
  </si>
  <si>
    <t>l rear caliper----------6g1----------1</t>
  </si>
  <si>
    <t>18b8047b---------same--------------RG/TT</t>
  </si>
  <si>
    <t>motor oil------------bulk tank-------7qts</t>
  </si>
  <si>
    <t>5w20--------------same--------------RG/TT</t>
  </si>
  <si>
    <t>10.11.17</t>
  </si>
  <si>
    <t>Tires</t>
  </si>
  <si>
    <t>rear tires------------shop rack-------------4</t>
  </si>
  <si>
    <t>225/75r16-----------123537------------RG</t>
  </si>
  <si>
    <t>Labor</t>
  </si>
  <si>
    <t>Other parts</t>
  </si>
  <si>
    <t>magnet kit---------5b3-------------1</t>
  </si>
  <si>
    <t>100116------------184863-------------TT</t>
  </si>
  <si>
    <t>used.25 hour to repair</t>
  </si>
  <si>
    <t>303-5w20-1</t>
  </si>
  <si>
    <t>Oil motor</t>
  </si>
  <si>
    <t>added 1 qt --------------RG</t>
  </si>
  <si>
    <t>5w20---------------187530---------------RG</t>
  </si>
  <si>
    <t>309-5w20-1</t>
  </si>
  <si>
    <t>Motor oil</t>
  </si>
  <si>
    <t>added 1 qt----------bulk tank------------</t>
  </si>
  <si>
    <t>5w20-----------186917------------RG</t>
  </si>
  <si>
    <t>Lights</t>
  </si>
  <si>
    <t>12"LED light----------16f5-----------2</t>
  </si>
  <si>
    <t>3974361---------97023----------RG</t>
  </si>
  <si>
    <t>r headlight bulb-------16f4---------1</t>
  </si>
  <si>
    <t>cq9008---------194187----------RG</t>
  </si>
  <si>
    <t>r headlight bulb---------16f4------------1</t>
  </si>
  <si>
    <t>cq9008-----------123906-------------TT</t>
  </si>
  <si>
    <t>l headlight bulb-----------16f4-----------1</t>
  </si>
  <si>
    <t>9008---------------191340-----------TT</t>
  </si>
  <si>
    <t>oil filter-----------------4b1--------------1</t>
  </si>
  <si>
    <t>fl8205-------------189687----------RG</t>
  </si>
  <si>
    <t>exhaust hanger-------5c--------------1</t>
  </si>
  <si>
    <t>8051-------------same--------------RG</t>
  </si>
  <si>
    <t>steer tires--------shop rack---------2</t>
  </si>
  <si>
    <t>225/70r19.5----------same---------RG</t>
  </si>
  <si>
    <t>rear caps tires-------shop rack----------4</t>
  </si>
  <si>
    <t>225/70r19.5r---------same---------RG</t>
  </si>
  <si>
    <t>motor oil--------bulk tank-------------7qts</t>
  </si>
  <si>
    <t>5w20 oil-----------same-----------RG</t>
  </si>
  <si>
    <t>10.12.17</t>
  </si>
  <si>
    <t>201-5w20-2</t>
  </si>
  <si>
    <t>305-5w20-1</t>
  </si>
  <si>
    <t>OIL ADDED</t>
  </si>
  <si>
    <t>added 1 qt of motor oil ---------191476--------RG</t>
  </si>
  <si>
    <t>l headlight bulb--------16f4---------1</t>
  </si>
  <si>
    <t>cq9008----------193092---------TT</t>
  </si>
  <si>
    <t>freon-----------------shop tank-----------2 lbs</t>
  </si>
  <si>
    <t>r134a----------------193437---------RG</t>
  </si>
  <si>
    <t>used 1.0 hours to charge</t>
  </si>
  <si>
    <t>exhaust hanger--------5c---------------1</t>
  </si>
  <si>
    <t>8051----------187208-----------RG</t>
  </si>
  <si>
    <t>freon--------------shop tank---------6 lbs</t>
  </si>
  <si>
    <t>r134a------------187798----------RG</t>
  </si>
  <si>
    <t>used 1.0 hour to charge the system</t>
  </si>
  <si>
    <t>307-520-1</t>
  </si>
  <si>
    <t>Added oil--------------bulk tank-------------1qts</t>
  </si>
  <si>
    <t>188004---------RG</t>
  </si>
  <si>
    <t>311-5w20-1</t>
  </si>
  <si>
    <t>ADD OIL</t>
  </si>
  <si>
    <t>added 1 qt -----------bulk tank------------</t>
  </si>
  <si>
    <t>193570---------RG</t>
  </si>
  <si>
    <t>202-5w20-b</t>
  </si>
  <si>
    <t>added 1qt of motor oil -----124447-------RG</t>
  </si>
  <si>
    <t>radiator---------------z305------------1</t>
  </si>
  <si>
    <t>c13231---------191828----------RG</t>
  </si>
  <si>
    <t>belt----------------6d1------------1</t>
  </si>
  <si>
    <t>k061298--------same-----------RG</t>
  </si>
  <si>
    <t>coolant------------7c1-----------2</t>
  </si>
  <si>
    <t>vc3b----------same-------------RG</t>
  </si>
  <si>
    <t>idler pully bear-------6b4----------3</t>
  </si>
  <si>
    <t>5106wcc-------same----------RG</t>
  </si>
  <si>
    <t>belt tensioner----------z305---------1</t>
  </si>
  <si>
    <t>89263----------same----------RG</t>
  </si>
  <si>
    <t>used 4.0 hours tor repair</t>
  </si>
  <si>
    <t>l headlight bulb--------16e2----------1</t>
  </si>
  <si>
    <t>cq9006xs-----------97798---------RG</t>
  </si>
  <si>
    <t>l-headlight pigtail--------16c1a------------1</t>
  </si>
  <si>
    <t>pt255--------------97917-----------RD</t>
  </si>
  <si>
    <t>track bar ball joint-------z307----------1</t>
  </si>
  <si>
    <t>k500262-------------188397------------RD</t>
  </si>
  <si>
    <t>front shocks------------1g1-----------2</t>
  </si>
  <si>
    <t>65167------------same----------------RD</t>
  </si>
  <si>
    <t>tie rod upper 300------1f2----------1</t>
  </si>
  <si>
    <t>ds30008---------same------------RD</t>
  </si>
  <si>
    <t>used 4.5 hours to repair</t>
  </si>
  <si>
    <t>both headlight bulbs -----------16f4------RG</t>
  </si>
  <si>
    <t>cq9008------------138913--------------RG</t>
  </si>
  <si>
    <t>oil filter---------4b1-----------1</t>
  </si>
  <si>
    <t>fl8205-----------194880---------RG</t>
  </si>
  <si>
    <t>air filter---------4a1----------1</t>
  </si>
  <si>
    <t>fa1883--------same-------------RG</t>
  </si>
  <si>
    <t>rear ac filter-------3top1a---------2</t>
  </si>
  <si>
    <t>ftr011---------same------------RG</t>
  </si>
  <si>
    <t>egress win han-------1e4a---------1</t>
  </si>
  <si>
    <t>5565----------same-----------RG</t>
  </si>
  <si>
    <t xml:space="preserve">motor oil-------bulk tank---------7qt </t>
  </si>
  <si>
    <t>5w20 oil ----------same--------RG</t>
  </si>
  <si>
    <t>used 3.0 hours to preform PM</t>
  </si>
  <si>
    <t>10.20.17</t>
  </si>
  <si>
    <t>SHARED COPY</t>
  </si>
  <si>
    <t>MOVTA Data Monster I
BUS FILES
Updated 10.20.17</t>
  </si>
  <si>
    <t>BUILT ON OCT 18, 2017
FOR MID-OHIO VALLEY TRANSIT
AUTHORITY USE ONLY</t>
  </si>
  <si>
    <r>
      <t xml:space="preserve">                                 </t>
    </r>
    <r>
      <rPr>
        <u/>
        <sz val="24"/>
        <color theme="1" tint="0.34998626667073579"/>
        <rFont val="Calibri"/>
        <family val="2"/>
        <scheme val="minor"/>
      </rPr>
      <t xml:space="preserve"> C.A.T 18 BUS xyz FY 18 YEAR 5 </t>
    </r>
  </si>
  <si>
    <r>
      <t xml:space="preserve">C.A.T.#bus  PLATE </t>
    </r>
    <r>
      <rPr>
        <b/>
        <sz val="14"/>
        <color indexed="10"/>
        <rFont val="Calibri"/>
        <family val="2"/>
        <scheme val="minor"/>
      </rPr>
      <t># TA-xyz</t>
    </r>
  </si>
  <si>
    <r>
      <t>Real C.A.T. #bus    PLATE</t>
    </r>
    <r>
      <rPr>
        <b/>
        <sz val="14"/>
        <color indexed="10"/>
        <rFont val="Calibri"/>
        <family val="2"/>
        <scheme val="minor"/>
      </rPr>
      <t xml:space="preserve"> # TA-xyz</t>
    </r>
  </si>
  <si>
    <r>
      <t xml:space="preserve">                    </t>
    </r>
    <r>
      <rPr>
        <b/>
        <u/>
        <sz val="25.5"/>
        <color theme="1" tint="0.34998626667073579"/>
        <rFont val="Calibri"/>
        <family val="2"/>
        <scheme val="minor"/>
      </rPr>
      <t xml:space="preserve">  C.A.T 18 BUS 202 FY 18  YEAR SIX</t>
    </r>
  </si>
  <si>
    <r>
      <t xml:space="preserve">C.A.T#202    PLATE </t>
    </r>
    <r>
      <rPr>
        <b/>
        <sz val="14"/>
        <color indexed="10"/>
        <rFont val="Calibri"/>
        <family val="2"/>
        <scheme val="minor"/>
      </rPr>
      <t># TA-702</t>
    </r>
  </si>
  <si>
    <r>
      <t xml:space="preserve">Real C.A.T. #202   PLATE </t>
    </r>
    <r>
      <rPr>
        <b/>
        <sz val="14"/>
        <color indexed="10"/>
        <rFont val="Calibri"/>
        <family val="2"/>
        <scheme val="minor"/>
      </rPr>
      <t># TA-702</t>
    </r>
  </si>
  <si>
    <r>
      <t xml:space="preserve">C.A.T#203    PLATE </t>
    </r>
    <r>
      <rPr>
        <b/>
        <sz val="14"/>
        <color indexed="10"/>
        <rFont val="Calibri"/>
        <family val="2"/>
        <scheme val="minor"/>
      </rPr>
      <t># TA- 745</t>
    </r>
  </si>
  <si>
    <r>
      <t xml:space="preserve">Real C.A.T. #203    PLATE </t>
    </r>
    <r>
      <rPr>
        <b/>
        <sz val="14"/>
        <color indexed="10"/>
        <rFont val="Calibri"/>
        <family val="2"/>
        <scheme val="minor"/>
      </rPr>
      <t># TA-745</t>
    </r>
  </si>
  <si>
    <r>
      <t xml:space="preserve">                      </t>
    </r>
    <r>
      <rPr>
        <b/>
        <u/>
        <sz val="25.5"/>
        <color theme="1" tint="0.34998626667073579"/>
        <rFont val="Calibri"/>
        <family val="2"/>
        <scheme val="minor"/>
      </rPr>
      <t>C.A.T 16 BUS 302 FY 18 YEAR SEVEN</t>
    </r>
  </si>
  <si>
    <r>
      <t>C.A.T. # 302  PLATE #</t>
    </r>
    <r>
      <rPr>
        <b/>
        <sz val="14"/>
        <color indexed="10"/>
        <rFont val="Calibri"/>
        <family val="2"/>
        <scheme val="minor"/>
      </rPr>
      <t xml:space="preserve"> TA-698</t>
    </r>
  </si>
  <si>
    <r>
      <t xml:space="preserve">Real C.A.T 302   PLATE # </t>
    </r>
    <r>
      <rPr>
        <b/>
        <sz val="14"/>
        <color indexed="10"/>
        <rFont val="Calibri"/>
        <family val="2"/>
        <scheme val="minor"/>
      </rPr>
      <t>TA-698</t>
    </r>
  </si>
  <si>
    <r>
      <t xml:space="preserve">                   </t>
    </r>
    <r>
      <rPr>
        <b/>
        <u/>
        <sz val="25.5"/>
        <color theme="1" tint="0.34998626667073579"/>
        <rFont val="Calibri"/>
        <family val="2"/>
        <scheme val="minor"/>
      </rPr>
      <t xml:space="preserve">   C.A.T 16 BUS 303  YEAR SEVEN FY18</t>
    </r>
  </si>
  <si>
    <r>
      <t>C.A.T. # 303  PLATE</t>
    </r>
    <r>
      <rPr>
        <b/>
        <sz val="14"/>
        <color indexed="10"/>
        <rFont val="Calibri"/>
        <family val="2"/>
        <scheme val="minor"/>
      </rPr>
      <t xml:space="preserve"> # TA-699</t>
    </r>
  </si>
  <si>
    <r>
      <t xml:space="preserve">Real C.A.T 303   PLATE </t>
    </r>
    <r>
      <rPr>
        <b/>
        <sz val="14"/>
        <color indexed="10"/>
        <rFont val="Calibri"/>
        <family val="2"/>
        <scheme val="minor"/>
      </rPr>
      <t># TA-699</t>
    </r>
  </si>
  <si>
    <r>
      <t xml:space="preserve">                     </t>
    </r>
    <r>
      <rPr>
        <b/>
        <u/>
        <sz val="25.5"/>
        <color theme="1" tint="0.34998626667073579"/>
        <rFont val="Calibri"/>
        <family val="2"/>
        <scheme val="minor"/>
      </rPr>
      <t xml:space="preserve"> C.A.T 16 BUS 304 FY18 YEAR SIX</t>
    </r>
  </si>
  <si>
    <r>
      <t>C.A.T. # 304  PLATE</t>
    </r>
    <r>
      <rPr>
        <b/>
        <sz val="14"/>
        <color indexed="10"/>
        <rFont val="Calibri"/>
        <family val="2"/>
        <scheme val="minor"/>
      </rPr>
      <t xml:space="preserve"> # TA-713</t>
    </r>
  </si>
  <si>
    <r>
      <t xml:space="preserve">Real C.A.T 304   PLATE </t>
    </r>
    <r>
      <rPr>
        <b/>
        <sz val="14"/>
        <color indexed="10"/>
        <rFont val="Calibri"/>
        <family val="2"/>
        <scheme val="minor"/>
      </rPr>
      <t># TA-713</t>
    </r>
  </si>
  <si>
    <t>True Maintenance Practices</t>
  </si>
  <si>
    <r>
      <t xml:space="preserve">                      </t>
    </r>
    <r>
      <rPr>
        <b/>
        <u/>
        <sz val="25.5"/>
        <color theme="1" tint="0.34998626667073579"/>
        <rFont val="Calibri"/>
        <family val="2"/>
        <scheme val="minor"/>
      </rPr>
      <t>C.A.T 16 BUS 306 FY18 YEAR SIX</t>
    </r>
    <r>
      <rPr>
        <sz val="25.5"/>
        <color theme="1" tint="0.34998626667073579"/>
        <rFont val="Calibri"/>
        <family val="2"/>
        <scheme val="minor"/>
      </rPr>
      <t xml:space="preserve"> </t>
    </r>
  </si>
  <si>
    <r>
      <t xml:space="preserve">C.A.T. # 306   PLATE </t>
    </r>
    <r>
      <rPr>
        <b/>
        <sz val="14"/>
        <color indexed="10"/>
        <rFont val="Calibri"/>
        <family val="2"/>
        <scheme val="minor"/>
      </rPr>
      <t># TA-705</t>
    </r>
  </si>
  <si>
    <r>
      <t xml:space="preserve">REAL C.A.T. # 306    PLATE </t>
    </r>
    <r>
      <rPr>
        <b/>
        <sz val="14"/>
        <color indexed="10"/>
        <rFont val="Calibri"/>
        <family val="2"/>
        <scheme val="minor"/>
      </rPr>
      <t># TA-705</t>
    </r>
  </si>
  <si>
    <r>
      <t xml:space="preserve">                     </t>
    </r>
    <r>
      <rPr>
        <b/>
        <u/>
        <sz val="25.5"/>
        <color theme="1" tint="0.34998626667073579"/>
        <rFont val="Calibri"/>
        <family val="2"/>
        <scheme val="minor"/>
      </rPr>
      <t xml:space="preserve"> C.A.T 16 BUS 307 FY18 YEAR SIX</t>
    </r>
  </si>
  <si>
    <r>
      <t xml:space="preserve">                      </t>
    </r>
    <r>
      <rPr>
        <b/>
        <u/>
        <sz val="25.5"/>
        <color theme="1" tint="0.34998626667073579"/>
        <rFont val="Calibri"/>
        <family val="2"/>
        <scheme val="minor"/>
      </rPr>
      <t>C.A.T 16 BUS 308 FY18 YEAR SIX</t>
    </r>
  </si>
  <si>
    <r>
      <t xml:space="preserve">C.A.T. # 308  PLATE </t>
    </r>
    <r>
      <rPr>
        <b/>
        <sz val="14"/>
        <color indexed="10"/>
        <rFont val="Calibri"/>
        <family val="2"/>
        <scheme val="minor"/>
      </rPr>
      <t># TA-723</t>
    </r>
  </si>
  <si>
    <r>
      <t xml:space="preserve">REAL C.A.T. # 308   PLATE </t>
    </r>
    <r>
      <rPr>
        <b/>
        <sz val="14"/>
        <color indexed="10"/>
        <rFont val="Calibri"/>
        <family val="2"/>
        <scheme val="minor"/>
      </rPr>
      <t># TA-723</t>
    </r>
  </si>
  <si>
    <r>
      <t xml:space="preserve">                     </t>
    </r>
    <r>
      <rPr>
        <b/>
        <u/>
        <sz val="25.5"/>
        <color theme="1" tint="0.34998626667073579"/>
        <rFont val="Calibri"/>
        <family val="2"/>
        <scheme val="minor"/>
      </rPr>
      <t xml:space="preserve"> C.A.T 16 BUS 309 FY18 YEAR SIX</t>
    </r>
  </si>
  <si>
    <r>
      <t xml:space="preserve">C.A.T. # 309  PLATE </t>
    </r>
    <r>
      <rPr>
        <b/>
        <sz val="14"/>
        <color indexed="10"/>
        <rFont val="Calibri"/>
        <family val="2"/>
        <scheme val="minor"/>
      </rPr>
      <t># TA-715</t>
    </r>
  </si>
  <si>
    <r>
      <t xml:space="preserve">REAL C.A.T. # 309   PLATE </t>
    </r>
    <r>
      <rPr>
        <b/>
        <sz val="14"/>
        <color indexed="10"/>
        <rFont val="Calibri"/>
        <family val="2"/>
        <scheme val="minor"/>
      </rPr>
      <t># TA-715</t>
    </r>
  </si>
  <si>
    <r>
      <rPr>
        <b/>
        <sz val="8"/>
        <color indexed="10"/>
        <rFont val="Calibri"/>
        <family val="2"/>
        <scheme val="minor"/>
      </rPr>
      <t>Bus in Accident 10.3.1</t>
    </r>
    <r>
      <rPr>
        <sz val="8"/>
        <color indexed="10"/>
        <rFont val="Calibri"/>
        <family val="2"/>
        <scheme val="minor"/>
      </rPr>
      <t xml:space="preserve">4 </t>
    </r>
  </si>
  <si>
    <r>
      <t xml:space="preserve">                      </t>
    </r>
    <r>
      <rPr>
        <b/>
        <u/>
        <sz val="25.5"/>
        <color theme="1" tint="0.34998626667073579"/>
        <rFont val="Calibri"/>
        <family val="2"/>
        <scheme val="minor"/>
      </rPr>
      <t>C.A.T 16 BUS 310 FY18 YEAR SIX</t>
    </r>
  </si>
  <si>
    <r>
      <t xml:space="preserve">C.A.T. # 310  PLATE </t>
    </r>
    <r>
      <rPr>
        <b/>
        <sz val="14"/>
        <color indexed="10"/>
        <rFont val="Calibri"/>
        <family val="2"/>
        <scheme val="minor"/>
      </rPr>
      <t># TA-717</t>
    </r>
  </si>
  <si>
    <r>
      <t xml:space="preserve">REAL C.A.T. # 310   PLATE </t>
    </r>
    <r>
      <rPr>
        <b/>
        <sz val="14"/>
        <color indexed="10"/>
        <rFont val="Calibri"/>
        <family val="2"/>
        <scheme val="minor"/>
      </rPr>
      <t># TA-717</t>
    </r>
  </si>
  <si>
    <r>
      <t xml:space="preserve">                    </t>
    </r>
    <r>
      <rPr>
        <b/>
        <u/>
        <sz val="25.5"/>
        <color theme="1" tint="0.34998626667073579"/>
        <rFont val="Calibri"/>
        <family val="2"/>
        <scheme val="minor"/>
      </rPr>
      <t xml:space="preserve">  C.A.T 16 BUS 311 FY18 YEAR SIX</t>
    </r>
  </si>
  <si>
    <r>
      <t xml:space="preserve">C.A.T. # 311  PLATE </t>
    </r>
    <r>
      <rPr>
        <b/>
        <sz val="14"/>
        <color indexed="10"/>
        <rFont val="Calibri"/>
        <family val="2"/>
        <scheme val="minor"/>
      </rPr>
      <t># TA-716</t>
    </r>
  </si>
  <si>
    <r>
      <t xml:space="preserve">REAL C.A.T. # 311   PLATE </t>
    </r>
    <r>
      <rPr>
        <b/>
        <sz val="14"/>
        <color indexed="10"/>
        <rFont val="Calibri"/>
        <family val="2"/>
        <scheme val="minor"/>
      </rPr>
      <t># TA-716</t>
    </r>
  </si>
  <si>
    <r>
      <t xml:space="preserve">                      </t>
    </r>
    <r>
      <rPr>
        <b/>
        <u/>
        <sz val="25.5"/>
        <color theme="1" tint="0.34998626667073579"/>
        <rFont val="Calibri"/>
        <family val="2"/>
        <scheme val="minor"/>
      </rPr>
      <t>C.A.T 16 BUS 401 FY18 YEAR FOUR</t>
    </r>
  </si>
  <si>
    <r>
      <t xml:space="preserve">C.A.T. # 401  PLATE </t>
    </r>
    <r>
      <rPr>
        <b/>
        <sz val="14"/>
        <color indexed="10"/>
        <rFont val="Calibri"/>
        <family val="2"/>
        <scheme val="minor"/>
      </rPr>
      <t># TA-</t>
    </r>
  </si>
  <si>
    <r>
      <t xml:space="preserve">REAL C.A.T. # 401   PLATE </t>
    </r>
    <r>
      <rPr>
        <b/>
        <sz val="14"/>
        <color indexed="10"/>
        <rFont val="Calibri"/>
        <family val="2"/>
        <scheme val="minor"/>
      </rPr>
      <t># TA-</t>
    </r>
  </si>
  <si>
    <r>
      <t xml:space="preserve">0338068000---------84105---------TT  </t>
    </r>
    <r>
      <rPr>
        <b/>
        <sz val="8"/>
        <color rgb="FFFF0000"/>
        <rFont val="Calibri"/>
        <family val="2"/>
        <scheme val="minor"/>
      </rPr>
      <t xml:space="preserve"> NEW PART</t>
    </r>
  </si>
  <si>
    <r>
      <t xml:space="preserve">                    </t>
    </r>
    <r>
      <rPr>
        <b/>
        <u/>
        <sz val="25.5"/>
        <color theme="1" tint="0.34998626667073579"/>
        <rFont val="Calibri"/>
        <family val="2"/>
        <scheme val="minor"/>
      </rPr>
      <t xml:space="preserve">  C.A.T 16 BUS 402 FY18 YEAR FOUR</t>
    </r>
  </si>
  <si>
    <r>
      <t xml:space="preserve">C.A.T. # 402  PLATE </t>
    </r>
    <r>
      <rPr>
        <b/>
        <sz val="14"/>
        <color indexed="10"/>
        <rFont val="Calibri"/>
        <family val="2"/>
        <scheme val="minor"/>
      </rPr>
      <t># TA-</t>
    </r>
  </si>
  <si>
    <r>
      <t xml:space="preserve">REAL C.A.T. # 402   PLATE </t>
    </r>
    <r>
      <rPr>
        <b/>
        <sz val="14"/>
        <color indexed="10"/>
        <rFont val="Calibri"/>
        <family val="2"/>
        <scheme val="minor"/>
      </rPr>
      <t># TA-</t>
    </r>
  </si>
  <si>
    <r>
      <t xml:space="preserve">C.A.T. # 403  PLATE </t>
    </r>
    <r>
      <rPr>
        <b/>
        <sz val="14"/>
        <color indexed="10"/>
        <rFont val="Calibri"/>
        <family val="2"/>
        <scheme val="minor"/>
      </rPr>
      <t># TA-906</t>
    </r>
  </si>
  <si>
    <r>
      <t xml:space="preserve">REAL C.A.T. # 403   PLATE </t>
    </r>
    <r>
      <rPr>
        <b/>
        <sz val="14"/>
        <color indexed="10"/>
        <rFont val="Calibri"/>
        <family val="2"/>
        <scheme val="minor"/>
      </rPr>
      <t># TA-906</t>
    </r>
  </si>
  <si>
    <r>
      <t>31hds30----------same-------RG (</t>
    </r>
    <r>
      <rPr>
        <b/>
        <sz val="8"/>
        <color rgb="FFFF0000"/>
        <rFont val="Calibri"/>
        <family val="2"/>
        <scheme val="minor"/>
      </rPr>
      <t>need to add batteries</t>
    </r>
  </si>
  <si>
    <r>
      <t xml:space="preserve">C.A.T. # 404  PLATE </t>
    </r>
    <r>
      <rPr>
        <b/>
        <sz val="14"/>
        <color indexed="10"/>
        <rFont val="Calibri"/>
        <family val="2"/>
        <scheme val="minor"/>
      </rPr>
      <t># TA-905</t>
    </r>
  </si>
  <si>
    <r>
      <t xml:space="preserve">REAL C.A.T. # 404   PLATE </t>
    </r>
    <r>
      <rPr>
        <b/>
        <sz val="14"/>
        <color indexed="10"/>
        <rFont val="Calibri"/>
        <family val="2"/>
        <scheme val="minor"/>
      </rPr>
      <t># TA-905</t>
    </r>
  </si>
  <si>
    <r>
      <t xml:space="preserve">steer tires---------shop rack---------3 </t>
    </r>
    <r>
      <rPr>
        <b/>
        <sz val="8"/>
        <color rgb="FFFF0000"/>
        <rFont val="Calibri"/>
        <family val="2"/>
        <scheme val="minor"/>
      </rPr>
      <t>*SEE NOTE</t>
    </r>
  </si>
  <si>
    <r>
      <t xml:space="preserve">C.A.T. # 501  PLATE </t>
    </r>
    <r>
      <rPr>
        <b/>
        <sz val="14"/>
        <color indexed="10"/>
        <rFont val="Calibri"/>
        <family val="2"/>
        <scheme val="minor"/>
      </rPr>
      <t># TA-</t>
    </r>
  </si>
  <si>
    <r>
      <t xml:space="preserve">REAL C.A.T. # 501   PLATE </t>
    </r>
    <r>
      <rPr>
        <b/>
        <sz val="14"/>
        <color indexed="10"/>
        <rFont val="Calibri"/>
        <family val="2"/>
        <scheme val="minor"/>
      </rPr>
      <t># TA-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</si>
</sst>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_);[Red]\(&quot;$&quot;#,##0\)"/>
    <numFmt numFmtId="8" formatCode="&quot;$&quot;#,##0.00_);[Red]\(&quot;$&quot;#,##0.00\)"/>
    <numFmt numFmtId="44" formatCode="_(&quot;$&quot;* #,##0.00_);_(&quot;$&quot;* \(#,##0.00\);_(&quot;$&quot;* &quot;-&quot;??_);_(@_)"/>
    <numFmt numFmtId="43" formatCode="_(* #,##0.00_);_(* \(#,##0.00\);_(* &quot;-&quot;??_);_(@_)"/>
    <numFmt numFmtId="164" formatCode="0.0000"/>
    <numFmt numFmtId="165" formatCode="_(&quot;$&quot;* #,##0_);_(&quot;$&quot;* \(#,##0\);_(&quot;$&quot;* &quot;-&quot;??_);_(@_)"/>
    <numFmt numFmtId="166" formatCode="_(* #,##0_);_(* \(#,##0\);_(* &quot;-&quot;??_);_(@_)"/>
    <numFmt numFmtId="167" formatCode="0.0"/>
    <numFmt numFmtId="168" formatCode="&quot;$&quot;#,##0.00"/>
    <numFmt numFmtId="169" formatCode="_([$$-409]* #,##0.00_);_([$$-409]* \(#,##0.00\);_([$$-409]* &quot;-&quot;??_);_(@_)"/>
    <numFmt numFmtId="170" formatCode="mm/dd/yy;@"/>
  </numFmts>
  <fonts count="46">
    <font>
      <sz val="11"/>
      <color theme="1"/>
      <name val="Calibri"/>
      <family val="2"/>
      <scheme val="minor"/>
    </font>
    <font>
      <sz val="10"/>
      <color theme="1"/>
      <name val="Calibri"/>
      <family val="2"/>
      <scheme val="minor"/>
    </font>
    <font>
      <b/>
      <sz val="10"/>
      <color theme="1"/>
      <name val="Calibri"/>
      <family val="2"/>
      <scheme val="minor"/>
    </font>
    <font>
      <sz val="8"/>
      <color theme="1"/>
      <name val="Calibri Light"/>
      <family val="2"/>
      <scheme val="major"/>
    </font>
    <font>
      <sz val="8"/>
      <color theme="1"/>
      <name val="Calibri"/>
      <family val="2"/>
      <scheme val="minor"/>
    </font>
    <font>
      <sz val="24"/>
      <color theme="1"/>
      <name val="Calibri"/>
      <family val="2"/>
      <scheme val="minor"/>
    </font>
    <font>
      <sz val="8"/>
      <name val="Lucida Sans Unicode"/>
      <family val="2"/>
    </font>
    <font>
      <sz val="10"/>
      <name val="Arial"/>
      <family val="2"/>
    </font>
    <font>
      <b/>
      <sz val="10"/>
      <name val="Arial"/>
      <family val="2"/>
    </font>
    <font>
      <b/>
      <sz val="8"/>
      <name val="Calibri"/>
      <family val="2"/>
      <scheme val="minor"/>
    </font>
    <font>
      <sz val="11"/>
      <color theme="1"/>
      <name val="Calibri"/>
      <family val="2"/>
      <scheme val="minor"/>
    </font>
    <font>
      <b/>
      <u/>
      <sz val="26"/>
      <color theme="1"/>
      <name val="Calibri"/>
      <family val="2"/>
      <scheme val="minor"/>
    </font>
    <font>
      <b/>
      <u/>
      <sz val="10"/>
      <color theme="1"/>
      <name val="Calibri"/>
      <family val="2"/>
      <scheme val="minor"/>
    </font>
    <font>
      <sz val="11"/>
      <color indexed="10"/>
      <name val="Calibri"/>
      <family val="2"/>
      <scheme val="minor"/>
    </font>
    <font>
      <b/>
      <sz val="8"/>
      <color theme="1"/>
      <name val="Calibri"/>
      <family val="2"/>
      <scheme val="minor"/>
    </font>
    <font>
      <b/>
      <sz val="11"/>
      <color rgb="FF3F3F3F"/>
      <name val="Calibri"/>
      <family val="2"/>
      <scheme val="minor"/>
    </font>
    <font>
      <b/>
      <sz val="11"/>
      <color rgb="FFFF0000"/>
      <name val="Calibri"/>
      <family val="2"/>
      <scheme val="minor"/>
    </font>
    <font>
      <b/>
      <sz val="10"/>
      <color rgb="FFFF0000"/>
      <name val="Calibri"/>
      <family val="2"/>
      <scheme val="minor"/>
    </font>
    <font>
      <sz val="8"/>
      <name val="Arial"/>
      <family val="2"/>
    </font>
    <font>
      <b/>
      <sz val="32"/>
      <color rgb="FFFF0000"/>
      <name val="Calibri"/>
      <family val="2"/>
      <scheme val="minor"/>
    </font>
    <font>
      <b/>
      <sz val="30"/>
      <color theme="5" tint="-0.249977111117893"/>
      <name val="Calibri"/>
      <family val="2"/>
      <scheme val="minor"/>
    </font>
    <font>
      <b/>
      <sz val="24"/>
      <color theme="4" tint="-0.249977111117893"/>
      <name val="Calibri"/>
      <family val="2"/>
      <scheme val="minor"/>
    </font>
    <font>
      <sz val="25.5"/>
      <color theme="1" tint="0.34998626667073579"/>
      <name val="Calibri"/>
      <family val="2"/>
      <scheme val="minor"/>
    </font>
    <font>
      <sz val="9"/>
      <color theme="1"/>
      <name val="Calibri"/>
      <family val="2"/>
      <scheme val="minor"/>
    </font>
    <font>
      <sz val="24"/>
      <color theme="1" tint="0.34998626667073579"/>
      <name val="Calibri"/>
      <family val="2"/>
      <scheme val="minor"/>
    </font>
    <font>
      <u/>
      <sz val="24"/>
      <color theme="1" tint="0.34998626667073579"/>
      <name val="Calibri"/>
      <family val="2"/>
      <scheme val="minor"/>
    </font>
    <font>
      <b/>
      <sz val="11"/>
      <name val="Calibri"/>
      <family val="2"/>
      <scheme val="minor"/>
    </font>
    <font>
      <sz val="8"/>
      <name val="Calibri"/>
      <family val="2"/>
      <scheme val="minor"/>
    </font>
    <font>
      <b/>
      <sz val="14"/>
      <name val="Calibri"/>
      <family val="2"/>
      <scheme val="minor"/>
    </font>
    <font>
      <b/>
      <sz val="14"/>
      <color indexed="10"/>
      <name val="Calibri"/>
      <family val="2"/>
      <scheme val="minor"/>
    </font>
    <font>
      <b/>
      <u/>
      <sz val="8"/>
      <name val="Calibri"/>
      <family val="2"/>
      <scheme val="minor"/>
    </font>
    <font>
      <sz val="8"/>
      <color indexed="10"/>
      <name val="Calibri"/>
      <family val="2"/>
      <scheme val="minor"/>
    </font>
    <font>
      <sz val="10"/>
      <name val="Calibri"/>
      <family val="2"/>
      <scheme val="minor"/>
    </font>
    <font>
      <b/>
      <sz val="8"/>
      <color rgb="FFFF0000"/>
      <name val="Calibri"/>
      <family val="2"/>
      <scheme val="minor"/>
    </font>
    <font>
      <b/>
      <sz val="10"/>
      <name val="Calibri"/>
      <family val="2"/>
      <scheme val="minor"/>
    </font>
    <font>
      <b/>
      <u/>
      <sz val="25.5"/>
      <color theme="1" tint="0.34998626667073579"/>
      <name val="Calibri"/>
      <family val="2"/>
      <scheme val="minor"/>
    </font>
    <font>
      <sz val="26"/>
      <color theme="1" tint="0.34998626667073579"/>
      <name val="Calibri"/>
      <family val="2"/>
      <scheme val="minor"/>
    </font>
    <font>
      <b/>
      <sz val="8"/>
      <name val="Calibri "/>
    </font>
    <font>
      <sz val="10"/>
      <name val="Calibri "/>
    </font>
    <font>
      <b/>
      <sz val="8"/>
      <color rgb="FFFF0000"/>
      <name val="Calibri "/>
    </font>
    <font>
      <sz val="8"/>
      <name val="Calibri "/>
    </font>
    <font>
      <b/>
      <sz val="10"/>
      <name val="Calibri "/>
    </font>
    <font>
      <b/>
      <sz val="8"/>
      <color rgb="FF0070C0"/>
      <name val="Calibri"/>
      <family val="2"/>
      <scheme val="minor"/>
    </font>
    <font>
      <b/>
      <sz val="10"/>
      <color rgb="FF0070C0"/>
      <name val="Calibri"/>
      <family val="2"/>
      <scheme val="minor"/>
    </font>
    <font>
      <sz val="8"/>
      <color rgb="FFFF0000"/>
      <name val="Calibri"/>
      <family val="2"/>
      <scheme val="minor"/>
    </font>
    <font>
      <b/>
      <sz val="8"/>
      <color indexed="10"/>
      <name val="Calibri"/>
      <family val="2"/>
      <scheme val="minor"/>
    </font>
  </fonts>
  <fills count="27">
    <fill>
      <patternFill patternType="none"/>
    </fill>
    <fill>
      <patternFill patternType="gray125"/>
    </fill>
    <fill>
      <patternFill patternType="solid">
        <fgColor theme="7" tint="0.39997558519241921"/>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rgb="FFFFFF00"/>
        <bgColor indexed="64"/>
      </patternFill>
    </fill>
    <fill>
      <patternFill patternType="solid">
        <fgColor theme="8" tint="0.59999389629810485"/>
        <bgColor indexed="64"/>
      </patternFill>
    </fill>
    <fill>
      <patternFill patternType="solid">
        <fgColor rgb="FF92D05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indexed="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249977111117893"/>
        <bgColor indexed="64"/>
      </patternFill>
    </fill>
    <fill>
      <patternFill patternType="solid">
        <fgColor rgb="FF00B050"/>
        <bgColor indexed="64"/>
      </patternFill>
    </fill>
    <fill>
      <patternFill patternType="solid">
        <fgColor rgb="FFF2F2F2"/>
      </patternFill>
    </fill>
    <fill>
      <patternFill patternType="solid">
        <fgColor rgb="FF00B0F0"/>
        <bgColor indexed="64"/>
      </patternFill>
    </fill>
    <fill>
      <patternFill patternType="solid">
        <fgColor indexed="45"/>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thin">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auto="1"/>
      </left>
      <right style="thin">
        <color auto="1"/>
      </right>
      <top/>
      <bottom/>
      <diagonal/>
    </border>
    <border>
      <left style="thin">
        <color indexed="64"/>
      </left>
      <right/>
      <top/>
      <bottom style="thin">
        <color indexed="64"/>
      </bottom>
      <diagonal/>
    </border>
    <border>
      <left style="thin">
        <color rgb="FF3F3F3F"/>
      </left>
      <right style="thin">
        <color rgb="FF3F3F3F"/>
      </right>
      <top style="thin">
        <color rgb="FF3F3F3F"/>
      </top>
      <bottom style="thin">
        <color rgb="FF3F3F3F"/>
      </bottom>
      <diagonal/>
    </border>
    <border>
      <left style="thin">
        <color rgb="FF3F3F3F"/>
      </left>
      <right style="thin">
        <color rgb="FF3F3F3F"/>
      </right>
      <top style="thin">
        <color rgb="FF3F3F3F"/>
      </top>
      <bottom style="thin">
        <color indexed="64"/>
      </bottom>
      <diagonal/>
    </border>
  </borders>
  <cellStyleXfs count="11">
    <xf numFmtId="0" fontId="0"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5" fillId="24" borderId="37" applyNumberFormat="0" applyAlignment="0" applyProtection="0"/>
    <xf numFmtId="43" fontId="7" fillId="0" borderId="0" applyFont="0" applyFill="0" applyBorder="0" applyAlignment="0" applyProtection="0"/>
    <xf numFmtId="0" fontId="1" fillId="0" borderId="0"/>
  </cellStyleXfs>
  <cellXfs count="571">
    <xf numFmtId="0" fontId="0" fillId="0" borderId="0" xfId="0"/>
    <xf numFmtId="0" fontId="1" fillId="0" borderId="0" xfId="1" applyFont="1"/>
    <xf numFmtId="0" fontId="2" fillId="2" borderId="0" xfId="1" applyFont="1" applyFill="1"/>
    <xf numFmtId="4" fontId="3" fillId="3" borderId="0" xfId="1" applyNumberFormat="1" applyFont="1" applyFill="1"/>
    <xf numFmtId="4" fontId="4" fillId="0" borderId="1" xfId="1" applyNumberFormat="1" applyFont="1" applyBorder="1" applyAlignment="1">
      <alignment horizontal="right" indent="1"/>
    </xf>
    <xf numFmtId="4" fontId="4" fillId="4" borderId="1" xfId="1" applyNumberFormat="1" applyFont="1" applyFill="1" applyBorder="1" applyAlignment="1">
      <alignment horizontal="right" indent="1"/>
    </xf>
    <xf numFmtId="4" fontId="4" fillId="4" borderId="1" xfId="1" applyNumberFormat="1" applyFont="1" applyFill="1" applyBorder="1"/>
    <xf numFmtId="0" fontId="3" fillId="0" borderId="0" xfId="1" applyFont="1" applyAlignment="1">
      <alignment horizontal="left" indent="1"/>
    </xf>
    <xf numFmtId="4" fontId="4" fillId="5" borderId="1" xfId="1" applyNumberFormat="1" applyFont="1" applyFill="1" applyBorder="1" applyAlignment="1">
      <alignment horizontal="right" indent="1"/>
    </xf>
    <xf numFmtId="4" fontId="4" fillId="5" borderId="1" xfId="1" applyNumberFormat="1" applyFont="1" applyFill="1" applyBorder="1"/>
    <xf numFmtId="4" fontId="4" fillId="6" borderId="1" xfId="1" applyNumberFormat="1" applyFont="1" applyFill="1" applyBorder="1" applyAlignment="1">
      <alignment horizontal="right" indent="1"/>
    </xf>
    <xf numFmtId="4" fontId="4" fillId="6" borderId="1" xfId="1" applyNumberFormat="1" applyFont="1" applyFill="1" applyBorder="1"/>
    <xf numFmtId="4" fontId="4" fillId="7" borderId="1" xfId="1" applyNumberFormat="1" applyFont="1" applyFill="1" applyBorder="1" applyAlignment="1">
      <alignment horizontal="right" indent="1"/>
    </xf>
    <xf numFmtId="4" fontId="4" fillId="7" borderId="1" xfId="1" applyNumberFormat="1" applyFont="1" applyFill="1" applyBorder="1"/>
    <xf numFmtId="4" fontId="4" fillId="0" borderId="1" xfId="1" applyNumberFormat="1" applyFont="1" applyBorder="1"/>
    <xf numFmtId="0" fontId="4" fillId="0" borderId="1" xfId="1" applyFont="1" applyBorder="1" applyAlignment="1">
      <alignment horizontal="right" indent="1"/>
    </xf>
    <xf numFmtId="0" fontId="4" fillId="0" borderId="1" xfId="1" applyFont="1" applyBorder="1"/>
    <xf numFmtId="4" fontId="4" fillId="8" borderId="1" xfId="1" applyNumberFormat="1" applyFont="1" applyFill="1" applyBorder="1" applyAlignment="1">
      <alignment horizontal="right" indent="1"/>
    </xf>
    <xf numFmtId="4" fontId="4" fillId="8" borderId="1" xfId="1" applyNumberFormat="1" applyFont="1" applyFill="1" applyBorder="1"/>
    <xf numFmtId="0" fontId="5" fillId="9" borderId="0" xfId="1" applyFont="1" applyFill="1"/>
    <xf numFmtId="0" fontId="7" fillId="0" borderId="0" xfId="5"/>
    <xf numFmtId="165" fontId="0" fillId="0" borderId="0" xfId="6" applyNumberFormat="1" applyFont="1"/>
    <xf numFmtId="0" fontId="6" fillId="0" borderId="1" xfId="5" applyFont="1" applyBorder="1"/>
    <xf numFmtId="0" fontId="7" fillId="0" borderId="0" xfId="5" applyAlignment="1">
      <alignment wrapText="1"/>
    </xf>
    <xf numFmtId="0" fontId="7" fillId="0" borderId="0" xfId="5" applyAlignment="1">
      <alignment vertical="center" wrapText="1"/>
    </xf>
    <xf numFmtId="14" fontId="4" fillId="3" borderId="1" xfId="0" applyNumberFormat="1" applyFont="1" applyFill="1" applyBorder="1" applyAlignment="1">
      <alignment horizontal="left" indent="1"/>
    </xf>
    <xf numFmtId="0" fontId="4" fillId="0" borderId="1" xfId="0" applyFont="1" applyBorder="1" applyAlignment="1">
      <alignment horizontal="left" indent="1"/>
    </xf>
    <xf numFmtId="0" fontId="4" fillId="3" borderId="1" xfId="0" applyFont="1" applyFill="1" applyBorder="1" applyAlignment="1">
      <alignment horizontal="left" indent="1"/>
    </xf>
    <xf numFmtId="0" fontId="2" fillId="14" borderId="0" xfId="1" applyFont="1" applyFill="1"/>
    <xf numFmtId="4" fontId="4" fillId="4" borderId="1" xfId="1" applyNumberFormat="1" applyFont="1" applyFill="1" applyBorder="1" applyAlignment="1">
      <alignment horizontal="center"/>
    </xf>
    <xf numFmtId="4" fontId="4" fillId="5" borderId="1" xfId="1" applyNumberFormat="1" applyFont="1" applyFill="1" applyBorder="1" applyAlignment="1">
      <alignment horizontal="center"/>
    </xf>
    <xf numFmtId="4" fontId="4" fillId="6" borderId="1" xfId="1" applyNumberFormat="1" applyFont="1" applyFill="1" applyBorder="1" applyAlignment="1">
      <alignment horizontal="center"/>
    </xf>
    <xf numFmtId="4" fontId="4" fillId="7" borderId="1" xfId="1" applyNumberFormat="1" applyFont="1" applyFill="1" applyBorder="1" applyAlignment="1">
      <alignment horizontal="center"/>
    </xf>
    <xf numFmtId="4" fontId="4" fillId="0" borderId="1" xfId="1" applyNumberFormat="1" applyFont="1" applyBorder="1" applyAlignment="1">
      <alignment horizontal="center"/>
    </xf>
    <xf numFmtId="4" fontId="9" fillId="0" borderId="1" xfId="1" applyNumberFormat="1" applyFont="1" applyFill="1" applyBorder="1" applyAlignment="1">
      <alignment horizontal="right" indent="1"/>
    </xf>
    <xf numFmtId="4" fontId="4" fillId="8" borderId="1" xfId="1" applyNumberFormat="1" applyFont="1" applyFill="1" applyBorder="1" applyAlignment="1">
      <alignment horizontal="center"/>
    </xf>
    <xf numFmtId="0" fontId="1" fillId="0" borderId="0" xfId="0" applyFont="1"/>
    <xf numFmtId="0" fontId="1" fillId="0" borderId="1" xfId="0" applyFont="1" applyFill="1" applyBorder="1"/>
    <xf numFmtId="14" fontId="1" fillId="0" borderId="1" xfId="2" applyNumberFormat="1" applyFont="1" applyFill="1" applyBorder="1"/>
    <xf numFmtId="0" fontId="1" fillId="0" borderId="2" xfId="0" applyFont="1" applyBorder="1"/>
    <xf numFmtId="0" fontId="8" fillId="0" borderId="0" xfId="5" applyFont="1" applyAlignment="1">
      <alignment horizontal="center"/>
    </xf>
    <xf numFmtId="4" fontId="4" fillId="15" borderId="1" xfId="1" applyNumberFormat="1" applyFont="1" applyFill="1" applyBorder="1" applyAlignment="1">
      <alignment horizontal="right" indent="1"/>
    </xf>
    <xf numFmtId="4" fontId="4" fillId="15" borderId="1" xfId="1" applyNumberFormat="1" applyFont="1" applyFill="1" applyBorder="1" applyAlignment="1">
      <alignment horizontal="center"/>
    </xf>
    <xf numFmtId="0" fontId="1" fillId="16" borderId="0" xfId="1" applyFont="1" applyFill="1"/>
    <xf numFmtId="0" fontId="10" fillId="16" borderId="0" xfId="1" applyFont="1" applyFill="1"/>
    <xf numFmtId="4" fontId="14" fillId="0" borderId="1" xfId="1" applyNumberFormat="1" applyFont="1" applyFill="1" applyBorder="1" applyAlignment="1">
      <alignment horizontal="right" indent="1"/>
    </xf>
    <xf numFmtId="4" fontId="4" fillId="0" borderId="1" xfId="1" applyNumberFormat="1" applyFont="1" applyFill="1" applyBorder="1" applyAlignment="1">
      <alignment horizontal="right" indent="1"/>
    </xf>
    <xf numFmtId="0" fontId="1" fillId="0" borderId="0" xfId="1" applyFont="1" applyFill="1"/>
    <xf numFmtId="0" fontId="1" fillId="22" borderId="0" xfId="1" applyFont="1" applyFill="1"/>
    <xf numFmtId="4" fontId="4" fillId="23" borderId="1" xfId="1" applyNumberFormat="1" applyFont="1" applyFill="1" applyBorder="1" applyAlignment="1">
      <alignment horizontal="right" indent="1"/>
    </xf>
    <xf numFmtId="4" fontId="4" fillId="23" borderId="1" xfId="1" applyNumberFormat="1" applyFont="1" applyFill="1" applyBorder="1" applyAlignment="1">
      <alignment horizontal="center"/>
    </xf>
    <xf numFmtId="0" fontId="4" fillId="0" borderId="1" xfId="0" applyFont="1" applyFill="1" applyBorder="1" applyAlignment="1">
      <alignment horizontal="left" indent="1"/>
    </xf>
    <xf numFmtId="4" fontId="4" fillId="3" borderId="1" xfId="1" applyNumberFormat="1" applyFont="1" applyFill="1" applyBorder="1" applyAlignment="1">
      <alignment horizontal="right" indent="1"/>
    </xf>
    <xf numFmtId="4" fontId="14" fillId="8" borderId="1" xfId="1" applyNumberFormat="1" applyFont="1" applyFill="1" applyBorder="1" applyAlignment="1">
      <alignment horizontal="right" indent="1"/>
    </xf>
    <xf numFmtId="0" fontId="2" fillId="20" borderId="0" xfId="1" applyFont="1" applyFill="1"/>
    <xf numFmtId="0" fontId="16" fillId="5" borderId="0" xfId="0" applyFont="1" applyFill="1"/>
    <xf numFmtId="0" fontId="17" fillId="0" borderId="0" xfId="0" applyFont="1"/>
    <xf numFmtId="0" fontId="8" fillId="0" borderId="0" xfId="5" applyFont="1" applyAlignment="1">
      <alignment horizontal="left"/>
    </xf>
    <xf numFmtId="0" fontId="8" fillId="0" borderId="24" xfId="5" applyFont="1" applyBorder="1" applyAlignment="1">
      <alignment horizontal="left"/>
    </xf>
    <xf numFmtId="0" fontId="8" fillId="0" borderId="24" xfId="5" applyFont="1" applyBorder="1" applyAlignment="1">
      <alignment horizontal="center"/>
    </xf>
    <xf numFmtId="0" fontId="8" fillId="0" borderId="2" xfId="5" applyFont="1" applyBorder="1" applyAlignment="1">
      <alignment horizontal="center"/>
    </xf>
    <xf numFmtId="0" fontId="8" fillId="0" borderId="19" xfId="5" applyFont="1" applyBorder="1" applyAlignment="1">
      <alignment horizontal="left"/>
    </xf>
    <xf numFmtId="0" fontId="8" fillId="0" borderId="19" xfId="5" applyFont="1" applyBorder="1" applyAlignment="1">
      <alignment horizontal="center"/>
    </xf>
    <xf numFmtId="0" fontId="8" fillId="0" borderId="35" xfId="5" applyFont="1" applyBorder="1" applyAlignment="1">
      <alignment horizontal="center"/>
    </xf>
    <xf numFmtId="0" fontId="8" fillId="0" borderId="36" xfId="5" applyFont="1" applyBorder="1" applyAlignment="1">
      <alignment horizontal="center"/>
    </xf>
    <xf numFmtId="0" fontId="8" fillId="0" borderId="29" xfId="5" applyFont="1" applyBorder="1" applyAlignment="1">
      <alignment horizontal="center"/>
    </xf>
    <xf numFmtId="0" fontId="8" fillId="0" borderId="1" xfId="5" applyFont="1" applyBorder="1" applyAlignment="1">
      <alignment horizontal="left"/>
    </xf>
    <xf numFmtId="0" fontId="8" fillId="0" borderId="1" xfId="5" applyFont="1" applyBorder="1" applyAlignment="1">
      <alignment horizontal="center"/>
    </xf>
    <xf numFmtId="0" fontId="8" fillId="26" borderId="1" xfId="5" applyFont="1" applyFill="1" applyBorder="1" applyAlignment="1">
      <alignment horizontal="center"/>
    </xf>
    <xf numFmtId="0" fontId="8" fillId="0" borderId="0" xfId="5" applyFont="1" applyBorder="1" applyAlignment="1">
      <alignment horizontal="left"/>
    </xf>
    <xf numFmtId="0" fontId="8" fillId="0" borderId="0" xfId="5" applyFont="1" applyBorder="1" applyAlignment="1">
      <alignment horizontal="center"/>
    </xf>
    <xf numFmtId="0" fontId="18" fillId="0" borderId="0" xfId="5" applyFont="1" applyAlignment="1">
      <alignment horizontal="left"/>
    </xf>
    <xf numFmtId="0" fontId="7" fillId="0" borderId="0" xfId="5" applyAlignment="1">
      <alignment horizontal="left"/>
    </xf>
    <xf numFmtId="0" fontId="8" fillId="0" borderId="36" xfId="5" applyFont="1" applyBorder="1" applyAlignment="1">
      <alignment horizontal="left"/>
    </xf>
    <xf numFmtId="0" fontId="7" fillId="0" borderId="1" xfId="5" applyBorder="1" applyAlignment="1">
      <alignment horizontal="left"/>
    </xf>
    <xf numFmtId="0" fontId="7" fillId="0" borderId="0" xfId="5" applyBorder="1" applyAlignment="1">
      <alignment horizontal="left"/>
    </xf>
    <xf numFmtId="14" fontId="7" fillId="5" borderId="1" xfId="5" applyNumberFormat="1" applyFont="1" applyFill="1" applyBorder="1" applyAlignment="1">
      <alignment horizontal="center"/>
    </xf>
    <xf numFmtId="0" fontId="7" fillId="5" borderId="1" xfId="5" applyFont="1" applyFill="1" applyBorder="1" applyAlignment="1">
      <alignment horizontal="center"/>
    </xf>
    <xf numFmtId="0" fontId="7" fillId="0" borderId="0" xfId="5" applyAlignment="1">
      <alignment horizontal="center"/>
    </xf>
    <xf numFmtId="0" fontId="15" fillId="24" borderId="37" xfId="8" applyAlignment="1">
      <alignment horizontal="center"/>
    </xf>
    <xf numFmtId="0" fontId="16" fillId="24" borderId="37" xfId="8" applyFont="1" applyAlignment="1">
      <alignment horizontal="center"/>
    </xf>
    <xf numFmtId="0" fontId="16" fillId="0" borderId="0" xfId="0" applyFont="1" applyFill="1"/>
    <xf numFmtId="0" fontId="1" fillId="0" borderId="0" xfId="10" applyFont="1" applyAlignment="1">
      <alignment horizontal="right" vertical="top"/>
    </xf>
    <xf numFmtId="0" fontId="1" fillId="0" borderId="0" xfId="10" applyFont="1" applyAlignment="1">
      <alignment vertical="top" wrapText="1"/>
    </xf>
    <xf numFmtId="0" fontId="1" fillId="0" borderId="0" xfId="10" applyFont="1" applyAlignment="1">
      <alignment horizontal="left" vertical="center" wrapText="1"/>
    </xf>
    <xf numFmtId="0" fontId="8" fillId="0" borderId="0" xfId="5" applyFont="1" applyAlignment="1">
      <alignment horizontal="left"/>
    </xf>
    <xf numFmtId="0" fontId="7" fillId="0" borderId="0" xfId="5" applyAlignment="1">
      <alignment horizontal="left"/>
    </xf>
    <xf numFmtId="0" fontId="7" fillId="0" borderId="0" xfId="5" applyAlignment="1"/>
    <xf numFmtId="0" fontId="8" fillId="0" borderId="0" xfId="5" applyFont="1" applyAlignment="1"/>
    <xf numFmtId="0" fontId="8" fillId="0" borderId="0" xfId="5" applyFont="1" applyAlignment="1">
      <alignment horizontal="left" readingOrder="1"/>
    </xf>
    <xf numFmtId="0" fontId="7" fillId="0" borderId="0" xfId="5" applyAlignment="1">
      <alignment readingOrder="1"/>
    </xf>
    <xf numFmtId="0" fontId="0" fillId="0" borderId="0" xfId="0" applyFill="1"/>
    <xf numFmtId="0" fontId="20" fillId="0" borderId="0" xfId="0" applyFont="1" applyFill="1" applyAlignment="1">
      <alignment vertical="center" wrapText="1"/>
    </xf>
    <xf numFmtId="0" fontId="19" fillId="0" borderId="0" xfId="0" applyFont="1" applyAlignment="1"/>
    <xf numFmtId="0" fontId="21" fillId="0" borderId="0" xfId="0" applyFont="1" applyAlignment="1">
      <alignment wrapText="1"/>
    </xf>
    <xf numFmtId="0" fontId="22" fillId="0" borderId="0" xfId="10" applyFont="1"/>
    <xf numFmtId="0" fontId="23" fillId="0" borderId="0" xfId="10" applyFont="1"/>
    <xf numFmtId="0" fontId="2" fillId="3" borderId="0" xfId="10" applyFont="1" applyFill="1" applyAlignment="1">
      <alignment horizontal="left" vertical="center" indent="1"/>
    </xf>
    <xf numFmtId="0" fontId="24" fillId="9" borderId="0" xfId="1" applyFont="1" applyFill="1"/>
    <xf numFmtId="0" fontId="23" fillId="3" borderId="0" xfId="1" applyFont="1" applyFill="1" applyAlignment="1">
      <alignment horizontal="left" indent="1"/>
    </xf>
    <xf numFmtId="0" fontId="23" fillId="0" borderId="0" xfId="1" applyFont="1" applyAlignment="1">
      <alignment horizontal="left" indent="1"/>
    </xf>
    <xf numFmtId="0" fontId="4" fillId="3" borderId="0" xfId="1" applyFont="1" applyFill="1" applyAlignment="1">
      <alignment horizontal="left" indent="1"/>
    </xf>
    <xf numFmtId="4" fontId="4" fillId="3" borderId="0" xfId="1" applyNumberFormat="1" applyFont="1" applyFill="1"/>
    <xf numFmtId="0" fontId="4" fillId="0" borderId="0" xfId="1" applyFont="1" applyAlignment="1">
      <alignment horizontal="left" indent="1"/>
    </xf>
    <xf numFmtId="4" fontId="4" fillId="0" borderId="0" xfId="1" applyNumberFormat="1" applyFont="1" applyAlignment="1">
      <alignment horizontal="right" indent="1"/>
    </xf>
    <xf numFmtId="4" fontId="4" fillId="3" borderId="0" xfId="1" applyNumberFormat="1" applyFont="1" applyFill="1" applyAlignment="1">
      <alignment horizontal="right" indent="1"/>
    </xf>
    <xf numFmtId="4" fontId="4" fillId="0" borderId="0" xfId="1" applyNumberFormat="1" applyFont="1"/>
    <xf numFmtId="0" fontId="26" fillId="0" borderId="0" xfId="0" applyFont="1" applyAlignment="1">
      <alignment horizontal="center"/>
    </xf>
    <xf numFmtId="0" fontId="27" fillId="0" borderId="0" xfId="0" applyFont="1"/>
    <xf numFmtId="0" fontId="28" fillId="0" borderId="0" xfId="0" applyFont="1" applyAlignment="1">
      <alignment horizontal="center"/>
    </xf>
    <xf numFmtId="0" fontId="27" fillId="0" borderId="24" xfId="0" applyFont="1" applyBorder="1"/>
    <xf numFmtId="0" fontId="27" fillId="0" borderId="23" xfId="0" applyFont="1" applyBorder="1" applyAlignment="1" applyProtection="1">
      <alignment horizontal="center"/>
      <protection locked="0"/>
    </xf>
    <xf numFmtId="0" fontId="28" fillId="0" borderId="0" xfId="0" applyFont="1" applyBorder="1" applyAlignment="1">
      <alignment horizontal="center"/>
    </xf>
    <xf numFmtId="0" fontId="27" fillId="0" borderId="19" xfId="0" applyFont="1" applyBorder="1"/>
    <xf numFmtId="0" fontId="27" fillId="0" borderId="18" xfId="0" applyFont="1" applyBorder="1" applyAlignment="1" applyProtection="1">
      <alignment horizontal="center"/>
      <protection locked="0"/>
    </xf>
    <xf numFmtId="165" fontId="27" fillId="0" borderId="18" xfId="2" applyNumberFormat="1" applyFont="1" applyBorder="1" applyAlignment="1" applyProtection="1">
      <alignment horizontal="center"/>
      <protection locked="0"/>
    </xf>
    <xf numFmtId="9" fontId="27" fillId="0" borderId="18" xfId="0" applyNumberFormat="1" applyFont="1" applyBorder="1" applyAlignment="1" applyProtection="1">
      <alignment horizontal="right"/>
      <protection locked="0"/>
    </xf>
    <xf numFmtId="0" fontId="10" fillId="0" borderId="0" xfId="0" applyFont="1"/>
    <xf numFmtId="0" fontId="9" fillId="0" borderId="20" xfId="0" applyFont="1" applyBorder="1" applyAlignment="1">
      <alignment horizontal="center"/>
    </xf>
    <xf numFmtId="0" fontId="9" fillId="0" borderId="22" xfId="0" applyFont="1" applyBorder="1" applyAlignment="1">
      <alignment horizontal="center" wrapText="1"/>
    </xf>
    <xf numFmtId="0" fontId="9" fillId="0" borderId="21" xfId="0" applyFont="1" applyBorder="1" applyAlignment="1">
      <alignment horizontal="center" wrapText="1"/>
    </xf>
    <xf numFmtId="1" fontId="9" fillId="0" borderId="22" xfId="0" applyNumberFormat="1" applyFont="1" applyBorder="1" applyAlignment="1">
      <alignment horizontal="center" wrapText="1"/>
    </xf>
    <xf numFmtId="1" fontId="9" fillId="0" borderId="21" xfId="0" applyNumberFormat="1" applyFont="1" applyBorder="1" applyAlignment="1">
      <alignment horizontal="center" wrapText="1"/>
    </xf>
    <xf numFmtId="0" fontId="9" fillId="0" borderId="20" xfId="0" applyFont="1" applyBorder="1" applyAlignment="1">
      <alignment horizontal="center" wrapText="1"/>
    </xf>
    <xf numFmtId="0" fontId="27" fillId="0" borderId="19" xfId="0" applyFont="1" applyBorder="1" applyAlignment="1">
      <alignment wrapText="1"/>
    </xf>
    <xf numFmtId="44" fontId="27" fillId="0" borderId="18" xfId="2" applyFont="1" applyBorder="1" applyAlignment="1" applyProtection="1">
      <alignment horizontal="right" wrapText="1"/>
      <protection locked="0"/>
    </xf>
    <xf numFmtId="0" fontId="10" fillId="0" borderId="0" xfId="0" applyFont="1" applyAlignment="1">
      <alignment wrapText="1"/>
    </xf>
    <xf numFmtId="0" fontId="27" fillId="0" borderId="13" xfId="0" applyFont="1" applyBorder="1" applyAlignment="1">
      <alignment wrapText="1"/>
    </xf>
    <xf numFmtId="0" fontId="27" fillId="0" borderId="15" xfId="0" applyFont="1" applyBorder="1" applyAlignment="1">
      <alignment horizontal="center" wrapText="1"/>
    </xf>
    <xf numFmtId="0" fontId="27" fillId="0" borderId="14" xfId="0" applyFont="1" applyBorder="1" applyAlignment="1">
      <alignment horizontal="center" wrapText="1"/>
    </xf>
    <xf numFmtId="167" fontId="27" fillId="0" borderId="15" xfId="0" applyNumberFormat="1" applyFont="1" applyBorder="1" applyAlignment="1">
      <alignment horizontal="center" wrapText="1"/>
    </xf>
    <xf numFmtId="1" fontId="27" fillId="0" borderId="15" xfId="0" applyNumberFormat="1" applyFont="1" applyBorder="1" applyAlignment="1">
      <alignment horizontal="center" wrapText="1"/>
    </xf>
    <xf numFmtId="165" fontId="27" fillId="0" borderId="18" xfId="2" applyNumberFormat="1" applyFont="1" applyBorder="1" applyAlignment="1" applyProtection="1">
      <alignment horizontal="right"/>
      <protection locked="0"/>
    </xf>
    <xf numFmtId="0" fontId="27" fillId="0" borderId="13" xfId="0" applyFont="1" applyBorder="1"/>
    <xf numFmtId="0" fontId="27" fillId="0" borderId="15" xfId="0" applyFont="1" applyBorder="1" applyAlignment="1" applyProtection="1">
      <alignment horizontal="center"/>
      <protection locked="0"/>
    </xf>
    <xf numFmtId="165" fontId="27" fillId="10" borderId="14" xfId="2" applyNumberFormat="1" applyFont="1" applyFill="1" applyBorder="1"/>
    <xf numFmtId="1" fontId="27" fillId="0" borderId="15" xfId="2" applyNumberFormat="1" applyFont="1" applyBorder="1" applyAlignment="1" applyProtection="1">
      <alignment horizontal="center"/>
      <protection locked="0"/>
    </xf>
    <xf numFmtId="1" fontId="27" fillId="0" borderId="15" xfId="2" applyNumberFormat="1" applyFont="1" applyBorder="1" applyAlignment="1" applyProtection="1">
      <alignment horizontal="center" wrapText="1"/>
      <protection locked="0"/>
    </xf>
    <xf numFmtId="0" fontId="27" fillId="0" borderId="15" xfId="0" applyNumberFormat="1" applyFont="1" applyBorder="1" applyAlignment="1" applyProtection="1">
      <alignment horizontal="center"/>
      <protection locked="0"/>
    </xf>
    <xf numFmtId="1" fontId="27" fillId="0" borderId="15" xfId="0" applyNumberFormat="1" applyFont="1" applyBorder="1" applyAlignment="1" applyProtection="1">
      <alignment horizontal="center"/>
      <protection locked="0"/>
    </xf>
    <xf numFmtId="165" fontId="27" fillId="10" borderId="13" xfId="2" applyNumberFormat="1" applyFont="1" applyFill="1" applyBorder="1"/>
    <xf numFmtId="166" fontId="27" fillId="0" borderId="18" xfId="3" applyNumberFormat="1" applyFont="1" applyBorder="1" applyAlignment="1" applyProtection="1">
      <alignment horizontal="right"/>
      <protection locked="0"/>
    </xf>
    <xf numFmtId="0" fontId="27" fillId="0" borderId="19" xfId="0" applyFont="1" applyFill="1" applyBorder="1"/>
    <xf numFmtId="165" fontId="27" fillId="0" borderId="18" xfId="2" applyNumberFormat="1" applyFont="1" applyFill="1" applyBorder="1" applyAlignment="1" applyProtection="1">
      <alignment horizontal="right"/>
      <protection locked="0"/>
    </xf>
    <xf numFmtId="0" fontId="27" fillId="0" borderId="17" xfId="0" applyFont="1" applyFill="1" applyBorder="1"/>
    <xf numFmtId="0" fontId="10" fillId="0" borderId="16" xfId="0" applyFont="1" applyBorder="1"/>
    <xf numFmtId="0" fontId="27" fillId="8" borderId="1" xfId="0" applyFont="1" applyFill="1" applyBorder="1"/>
    <xf numFmtId="2" fontId="27" fillId="8" borderId="1" xfId="0" applyNumberFormat="1" applyFont="1" applyFill="1" applyBorder="1"/>
    <xf numFmtId="0" fontId="27" fillId="0" borderId="10" xfId="0" applyFont="1" applyBorder="1"/>
    <xf numFmtId="0" fontId="27" fillId="0" borderId="9" xfId="0" applyFont="1" applyBorder="1" applyAlignment="1">
      <alignment horizontal="center"/>
    </xf>
    <xf numFmtId="0" fontId="27" fillId="10" borderId="12" xfId="0" applyFont="1" applyFill="1" applyBorder="1"/>
    <xf numFmtId="1" fontId="27" fillId="0" borderId="9" xfId="0" applyNumberFormat="1" applyFont="1" applyBorder="1" applyAlignment="1">
      <alignment horizontal="center"/>
    </xf>
    <xf numFmtId="0" fontId="27" fillId="10" borderId="11" xfId="0" applyFont="1" applyFill="1" applyBorder="1"/>
    <xf numFmtId="1" fontId="27" fillId="0" borderId="9" xfId="0" applyNumberFormat="1" applyFont="1" applyBorder="1" applyAlignment="1">
      <alignment horizontal="center" wrapText="1"/>
    </xf>
    <xf numFmtId="0" fontId="27" fillId="0" borderId="9" xfId="0" applyNumberFormat="1" applyFont="1" applyBorder="1" applyAlignment="1">
      <alignment horizontal="center"/>
    </xf>
    <xf numFmtId="0" fontId="27" fillId="10" borderId="10" xfId="0" applyFont="1" applyFill="1" applyBorder="1"/>
    <xf numFmtId="0" fontId="9" fillId="0" borderId="10" xfId="0" applyFont="1" applyBorder="1" applyAlignment="1">
      <alignment horizontal="right"/>
    </xf>
    <xf numFmtId="0" fontId="30" fillId="0" borderId="9" xfId="0" applyFont="1" applyBorder="1" applyAlignment="1">
      <alignment horizontal="center"/>
    </xf>
    <xf numFmtId="165" fontId="9" fillId="10" borderId="8" xfId="2" applyNumberFormat="1" applyFont="1" applyFill="1" applyBorder="1"/>
    <xf numFmtId="1" fontId="30" fillId="0" borderId="9" xfId="2" applyNumberFormat="1" applyFont="1" applyBorder="1" applyAlignment="1">
      <alignment horizontal="center"/>
    </xf>
    <xf numFmtId="1" fontId="30" fillId="0" borderId="9" xfId="2" applyNumberFormat="1" applyFont="1" applyBorder="1" applyAlignment="1">
      <alignment horizontal="center" wrapText="1"/>
    </xf>
    <xf numFmtId="165" fontId="30" fillId="0" borderId="9" xfId="2" applyNumberFormat="1" applyFont="1" applyBorder="1" applyAlignment="1">
      <alignment horizontal="center"/>
    </xf>
    <xf numFmtId="165" fontId="9" fillId="10" borderId="7" xfId="2" applyNumberFormat="1" applyFont="1" applyFill="1" applyBorder="1"/>
    <xf numFmtId="0" fontId="27" fillId="0" borderId="3" xfId="0" applyFont="1" applyBorder="1"/>
    <xf numFmtId="0" fontId="27" fillId="0" borderId="5" xfId="0" applyFont="1" applyBorder="1" applyAlignment="1">
      <alignment horizontal="center"/>
    </xf>
    <xf numFmtId="0" fontId="27" fillId="10" borderId="4" xfId="0" applyFont="1" applyFill="1" applyBorder="1"/>
    <xf numFmtId="1" fontId="27" fillId="0" borderId="5" xfId="0" applyNumberFormat="1" applyFont="1" applyBorder="1" applyAlignment="1">
      <alignment horizontal="center"/>
    </xf>
    <xf numFmtId="1" fontId="27" fillId="0" borderId="5" xfId="0" applyNumberFormat="1" applyFont="1" applyBorder="1" applyAlignment="1">
      <alignment horizontal="center" wrapText="1"/>
    </xf>
    <xf numFmtId="0" fontId="27" fillId="10" borderId="6" xfId="0" applyFont="1" applyFill="1" applyBorder="1"/>
    <xf numFmtId="0" fontId="27" fillId="10" borderId="3" xfId="0" applyFont="1" applyFill="1" applyBorder="1"/>
    <xf numFmtId="164" fontId="27" fillId="8" borderId="1" xfId="0" applyNumberFormat="1" applyFont="1" applyFill="1" applyBorder="1"/>
    <xf numFmtId="0" fontId="27" fillId="0" borderId="0" xfId="0" applyFont="1" applyAlignment="1">
      <alignment horizontal="center"/>
    </xf>
    <xf numFmtId="1" fontId="27" fillId="0" borderId="0" xfId="0" applyNumberFormat="1" applyFont="1" applyAlignment="1">
      <alignment horizontal="center"/>
    </xf>
    <xf numFmtId="1" fontId="27" fillId="0" borderId="0" xfId="0" applyNumberFormat="1" applyFont="1" applyAlignment="1">
      <alignment horizontal="center" wrapText="1"/>
    </xf>
    <xf numFmtId="0" fontId="31" fillId="0" borderId="0" xfId="0" applyFont="1"/>
    <xf numFmtId="1" fontId="31" fillId="0" borderId="0" xfId="0" applyNumberFormat="1" applyFont="1" applyAlignment="1">
      <alignment horizontal="center"/>
    </xf>
    <xf numFmtId="0" fontId="28" fillId="0" borderId="25" xfId="0" applyFont="1" applyBorder="1" applyAlignment="1">
      <alignment horizontal="center"/>
    </xf>
    <xf numFmtId="0" fontId="32" fillId="0" borderId="0" xfId="0" applyFont="1"/>
    <xf numFmtId="0" fontId="27" fillId="0" borderId="14" xfId="0" applyFont="1" applyBorder="1" applyAlignment="1">
      <alignment horizontal="center"/>
    </xf>
    <xf numFmtId="0" fontId="27" fillId="0" borderId="15" xfId="2" applyNumberFormat="1" applyFont="1" applyBorder="1" applyAlignment="1" applyProtection="1">
      <alignment horizontal="center"/>
      <protection locked="0"/>
    </xf>
    <xf numFmtId="44" fontId="27" fillId="10" borderId="14" xfId="6" applyFont="1" applyFill="1" applyBorder="1"/>
    <xf numFmtId="2" fontId="27" fillId="0" borderId="15" xfId="0" applyNumberFormat="1" applyFont="1" applyBorder="1" applyAlignment="1" applyProtection="1">
      <alignment horizontal="center"/>
      <protection locked="0"/>
    </xf>
    <xf numFmtId="6" fontId="27" fillId="0" borderId="15" xfId="0" applyNumberFormat="1" applyFont="1" applyBorder="1" applyAlignment="1" applyProtection="1">
      <alignment horizontal="center"/>
      <protection locked="0"/>
    </xf>
    <xf numFmtId="1" fontId="27" fillId="0" borderId="0" xfId="0" applyNumberFormat="1" applyFont="1"/>
    <xf numFmtId="0" fontId="22" fillId="0" borderId="0" xfId="1" applyFont="1"/>
    <xf numFmtId="0" fontId="23" fillId="3" borderId="0" xfId="1" applyFont="1" applyFill="1" applyBorder="1" applyAlignment="1">
      <alignment horizontal="left" indent="1"/>
    </xf>
    <xf numFmtId="0" fontId="23" fillId="0" borderId="0" xfId="1" applyFont="1" applyFill="1" applyBorder="1" applyAlignment="1">
      <alignment horizontal="left" indent="1"/>
    </xf>
    <xf numFmtId="14" fontId="4" fillId="5" borderId="1" xfId="1" applyNumberFormat="1" applyFont="1" applyFill="1" applyBorder="1" applyAlignment="1">
      <alignment horizontal="left" indent="1"/>
    </xf>
    <xf numFmtId="0" fontId="4" fillId="5" borderId="1" xfId="1" applyFont="1" applyFill="1" applyBorder="1" applyAlignment="1">
      <alignment horizontal="left" indent="1"/>
    </xf>
    <xf numFmtId="14" fontId="4" fillId="3" borderId="1" xfId="1" applyNumberFormat="1" applyFont="1" applyFill="1" applyBorder="1" applyAlignment="1">
      <alignment horizontal="left" indent="1"/>
    </xf>
    <xf numFmtId="0" fontId="4" fillId="0" borderId="1" xfId="1" applyFont="1" applyFill="1" applyBorder="1" applyAlignment="1">
      <alignment horizontal="left" indent="1"/>
    </xf>
    <xf numFmtId="0" fontId="4" fillId="3" borderId="1" xfId="1" applyFont="1" applyFill="1" applyBorder="1" applyAlignment="1">
      <alignment horizontal="left" indent="1"/>
    </xf>
    <xf numFmtId="0" fontId="14" fillId="3" borderId="1" xfId="1" applyFont="1" applyFill="1" applyBorder="1" applyAlignment="1">
      <alignment horizontal="left" indent="1"/>
    </xf>
    <xf numFmtId="0" fontId="14" fillId="0" borderId="1" xfId="1" applyFont="1" applyFill="1" applyBorder="1" applyAlignment="1">
      <alignment horizontal="left" indent="1"/>
    </xf>
    <xf numFmtId="4" fontId="14" fillId="3" borderId="1" xfId="1" applyNumberFormat="1" applyFont="1" applyFill="1" applyBorder="1" applyAlignment="1">
      <alignment horizontal="right" indent="1"/>
    </xf>
    <xf numFmtId="14" fontId="4" fillId="0" borderId="0" xfId="1" applyNumberFormat="1" applyFont="1" applyFill="1" applyAlignment="1">
      <alignment horizontal="left" indent="1"/>
    </xf>
    <xf numFmtId="0" fontId="4" fillId="0" borderId="0" xfId="1" applyFont="1" applyFill="1" applyAlignment="1">
      <alignment horizontal="left" indent="1"/>
    </xf>
    <xf numFmtId="4" fontId="4" fillId="0" borderId="0" xfId="1" applyNumberFormat="1" applyFont="1" applyFill="1" applyAlignment="1">
      <alignment horizontal="right" indent="1"/>
    </xf>
    <xf numFmtId="14" fontId="4" fillId="3" borderId="2" xfId="1" applyNumberFormat="1" applyFont="1" applyFill="1" applyBorder="1" applyAlignment="1">
      <alignment horizontal="left" indent="1"/>
    </xf>
    <xf numFmtId="0" fontId="4" fillId="0" borderId="2" xfId="1" applyFont="1" applyFill="1" applyBorder="1" applyAlignment="1">
      <alignment horizontal="left" indent="1"/>
    </xf>
    <xf numFmtId="4" fontId="4" fillId="3" borderId="2" xfId="1" applyNumberFormat="1" applyFont="1" applyFill="1" applyBorder="1" applyAlignment="1">
      <alignment horizontal="right" indent="1"/>
    </xf>
    <xf numFmtId="0" fontId="4" fillId="3" borderId="2" xfId="1" applyFont="1" applyFill="1" applyBorder="1" applyAlignment="1">
      <alignment horizontal="left" indent="1"/>
    </xf>
    <xf numFmtId="0" fontId="14" fillId="3" borderId="0" xfId="0" applyNumberFormat="1" applyFont="1" applyFill="1" applyBorder="1" applyAlignment="1" applyProtection="1">
      <alignment horizontal="left" indent="1"/>
    </xf>
    <xf numFmtId="0" fontId="14" fillId="0" borderId="0" xfId="0" applyNumberFormat="1" applyFont="1" applyFill="1" applyBorder="1" applyAlignment="1" applyProtection="1">
      <alignment horizontal="left" indent="1"/>
    </xf>
    <xf numFmtId="4" fontId="14" fillId="3" borderId="0" xfId="0" applyNumberFormat="1" applyFont="1" applyFill="1" applyBorder="1" applyAlignment="1" applyProtection="1">
      <alignment horizontal="right" indent="1"/>
    </xf>
    <xf numFmtId="0" fontId="22" fillId="0" borderId="0" xfId="0" applyFont="1"/>
    <xf numFmtId="0" fontId="23" fillId="3" borderId="0" xfId="0" applyFont="1" applyFill="1" applyBorder="1" applyAlignment="1">
      <alignment horizontal="left" indent="1"/>
    </xf>
    <xf numFmtId="0" fontId="23" fillId="0" borderId="0" xfId="0" applyFont="1" applyFill="1" applyBorder="1" applyAlignment="1">
      <alignment horizontal="left" indent="1"/>
    </xf>
    <xf numFmtId="14" fontId="4" fillId="5" borderId="1" xfId="0" applyNumberFormat="1" applyFont="1" applyFill="1" applyBorder="1" applyAlignment="1">
      <alignment horizontal="left" indent="1"/>
    </xf>
    <xf numFmtId="0" fontId="4" fillId="5" borderId="1" xfId="0" applyFont="1" applyFill="1" applyBorder="1" applyAlignment="1">
      <alignment horizontal="left" indent="1"/>
    </xf>
    <xf numFmtId="4" fontId="4" fillId="5" borderId="1" xfId="0" applyNumberFormat="1" applyFont="1" applyFill="1" applyBorder="1" applyAlignment="1">
      <alignment horizontal="right" indent="1"/>
    </xf>
    <xf numFmtId="4" fontId="4" fillId="3" borderId="1" xfId="0" applyNumberFormat="1" applyFont="1" applyFill="1" applyBorder="1" applyAlignment="1">
      <alignment horizontal="right" indent="1"/>
    </xf>
    <xf numFmtId="0" fontId="14" fillId="3" borderId="0" xfId="0" applyFont="1" applyFill="1" applyBorder="1" applyAlignment="1">
      <alignment horizontal="left" indent="1"/>
    </xf>
    <xf numFmtId="0" fontId="14" fillId="0" borderId="0" xfId="0" applyFont="1" applyFill="1" applyBorder="1" applyAlignment="1">
      <alignment horizontal="left" indent="1"/>
    </xf>
    <xf numFmtId="4" fontId="14" fillId="3" borderId="0" xfId="0" applyNumberFormat="1" applyFont="1" applyFill="1" applyBorder="1" applyAlignment="1">
      <alignment horizontal="right" indent="1"/>
    </xf>
    <xf numFmtId="14" fontId="4" fillId="0" borderId="1" xfId="0" applyNumberFormat="1" applyFont="1" applyFill="1" applyBorder="1" applyAlignment="1">
      <alignment horizontal="left" indent="1"/>
    </xf>
    <xf numFmtId="4" fontId="4" fillId="0" borderId="1" xfId="0" applyNumberFormat="1" applyFont="1" applyFill="1" applyBorder="1" applyAlignment="1">
      <alignment horizontal="right" indent="1"/>
    </xf>
    <xf numFmtId="14" fontId="10" fillId="0" borderId="1" xfId="0" applyNumberFormat="1" applyFont="1" applyFill="1" applyBorder="1" applyAlignment="1">
      <alignment horizontal="center"/>
    </xf>
    <xf numFmtId="0" fontId="10" fillId="0" borderId="1" xfId="0" applyFont="1" applyFill="1" applyBorder="1" applyAlignment="1">
      <alignment horizontal="center"/>
    </xf>
    <xf numFmtId="168" fontId="10" fillId="0" borderId="1" xfId="0" applyNumberFormat="1" applyFont="1" applyFill="1" applyBorder="1" applyAlignment="1">
      <alignment horizontal="center"/>
    </xf>
    <xf numFmtId="0" fontId="10" fillId="0" borderId="1" xfId="0" applyFont="1" applyFill="1" applyBorder="1" applyAlignment="1">
      <alignment horizontal="left"/>
    </xf>
    <xf numFmtId="0" fontId="10" fillId="0" borderId="1" xfId="0" applyFont="1" applyBorder="1" applyAlignment="1">
      <alignment horizontal="center"/>
    </xf>
    <xf numFmtId="168" fontId="10" fillId="0" borderId="1" xfId="0" applyNumberFormat="1" applyFont="1" applyBorder="1" applyAlignment="1">
      <alignment horizontal="center"/>
    </xf>
    <xf numFmtId="0" fontId="10" fillId="0" borderId="1" xfId="0" applyFont="1" applyBorder="1" applyAlignment="1">
      <alignment horizontal="left"/>
    </xf>
    <xf numFmtId="0" fontId="14" fillId="3" borderId="1" xfId="0" applyFont="1" applyFill="1" applyBorder="1" applyAlignment="1">
      <alignment horizontal="left" indent="1"/>
    </xf>
    <xf numFmtId="0" fontId="14" fillId="0" borderId="1" xfId="0" applyFont="1" applyFill="1" applyBorder="1" applyAlignment="1">
      <alignment horizontal="left" indent="1"/>
    </xf>
    <xf numFmtId="4" fontId="14" fillId="3" borderId="1" xfId="0" applyNumberFormat="1" applyFont="1" applyFill="1" applyBorder="1" applyAlignment="1">
      <alignment horizontal="right" indent="1"/>
    </xf>
    <xf numFmtId="0" fontId="9" fillId="0" borderId="20" xfId="1" applyFont="1" applyBorder="1" applyAlignment="1">
      <alignment horizontal="center"/>
    </xf>
    <xf numFmtId="0" fontId="9" fillId="0" borderId="22" xfId="1" applyFont="1" applyBorder="1" applyAlignment="1">
      <alignment horizontal="center" wrapText="1"/>
    </xf>
    <xf numFmtId="0" fontId="9" fillId="0" borderId="21" xfId="1" applyFont="1" applyBorder="1" applyAlignment="1">
      <alignment horizontal="center" wrapText="1"/>
    </xf>
    <xf numFmtId="0" fontId="33" fillId="0" borderId="13" xfId="1" applyNumberFormat="1" applyFont="1" applyBorder="1" applyAlignment="1">
      <alignment horizontal="center"/>
    </xf>
    <xf numFmtId="2" fontId="9" fillId="0" borderId="26" xfId="1" applyNumberFormat="1" applyFont="1" applyBorder="1" applyAlignment="1">
      <alignment horizontal="center" wrapText="1"/>
    </xf>
    <xf numFmtId="2" fontId="34" fillId="13" borderId="1" xfId="1" applyNumberFormat="1" applyFont="1" applyFill="1" applyBorder="1" applyAlignment="1">
      <alignment horizontal="center"/>
    </xf>
    <xf numFmtId="2" fontId="34" fillId="0" borderId="0" xfId="1" applyNumberFormat="1" applyFont="1" applyAlignment="1">
      <alignment horizontal="center"/>
    </xf>
    <xf numFmtId="2" fontId="9" fillId="12" borderId="14" xfId="1" applyNumberFormat="1" applyFont="1" applyFill="1" applyBorder="1" applyAlignment="1">
      <alignment horizontal="center"/>
    </xf>
    <xf numFmtId="2" fontId="9" fillId="0" borderId="15" xfId="1" applyNumberFormat="1" applyFont="1" applyBorder="1" applyAlignment="1">
      <alignment horizontal="center" wrapText="1"/>
    </xf>
    <xf numFmtId="2" fontId="33" fillId="11" borderId="14" xfId="4" applyNumberFormat="1" applyFont="1" applyFill="1" applyBorder="1" applyAlignment="1">
      <alignment horizontal="center"/>
    </xf>
    <xf numFmtId="2" fontId="9" fillId="0" borderId="26" xfId="1" applyNumberFormat="1" applyFont="1" applyBorder="1" applyAlignment="1" applyProtection="1">
      <alignment horizontal="center"/>
      <protection locked="0"/>
    </xf>
    <xf numFmtId="2" fontId="9" fillId="13" borderId="1" xfId="2" applyNumberFormat="1" applyFont="1" applyFill="1" applyBorder="1" applyAlignment="1">
      <alignment horizontal="center"/>
    </xf>
    <xf numFmtId="2" fontId="9" fillId="0" borderId="16" xfId="2" applyNumberFormat="1" applyFont="1" applyBorder="1" applyAlignment="1" applyProtection="1">
      <alignment horizontal="center"/>
      <protection locked="0"/>
    </xf>
    <xf numFmtId="2" fontId="9" fillId="12" borderId="14" xfId="2" applyNumberFormat="1" applyFont="1" applyFill="1" applyBorder="1" applyAlignment="1">
      <alignment horizontal="center"/>
    </xf>
    <xf numFmtId="2" fontId="9" fillId="0" borderId="15" xfId="2" applyNumberFormat="1" applyFont="1" applyBorder="1" applyAlignment="1" applyProtection="1">
      <alignment horizontal="center" wrapText="1"/>
      <protection locked="0"/>
    </xf>
    <xf numFmtId="0" fontId="33" fillId="11" borderId="14" xfId="2" applyNumberFormat="1" applyFont="1" applyFill="1" applyBorder="1"/>
    <xf numFmtId="2" fontId="9" fillId="0" borderId="1" xfId="2" applyNumberFormat="1" applyFont="1" applyBorder="1" applyAlignment="1" applyProtection="1">
      <alignment horizontal="center"/>
      <protection locked="0"/>
    </xf>
    <xf numFmtId="2" fontId="9" fillId="12" borderId="1" xfId="2" applyNumberFormat="1" applyFont="1" applyFill="1" applyBorder="1" applyAlignment="1">
      <alignment horizontal="center"/>
    </xf>
    <xf numFmtId="0" fontId="33" fillId="0" borderId="34" xfId="1" applyNumberFormat="1" applyFont="1" applyBorder="1" applyAlignment="1">
      <alignment horizontal="center"/>
    </xf>
    <xf numFmtId="2" fontId="9" fillId="13" borderId="2" xfId="2" applyNumberFormat="1" applyFont="1" applyFill="1" applyBorder="1" applyAlignment="1">
      <alignment horizontal="center"/>
    </xf>
    <xf numFmtId="2" fontId="9" fillId="0" borderId="2" xfId="2" applyNumberFormat="1" applyFont="1" applyBorder="1" applyAlignment="1" applyProtection="1">
      <alignment horizontal="center"/>
      <protection locked="0"/>
    </xf>
    <xf numFmtId="2" fontId="9" fillId="12" borderId="2" xfId="2" applyNumberFormat="1" applyFont="1" applyFill="1" applyBorder="1" applyAlignment="1">
      <alignment horizontal="center"/>
    </xf>
    <xf numFmtId="0" fontId="33" fillId="11" borderId="12" xfId="2" applyNumberFormat="1" applyFont="1" applyFill="1" applyBorder="1"/>
    <xf numFmtId="0" fontId="33" fillId="0" borderId="33" xfId="1" applyNumberFormat="1" applyFont="1" applyBorder="1" applyAlignment="1">
      <alignment horizontal="center"/>
    </xf>
    <xf numFmtId="2" fontId="9" fillId="13" borderId="32" xfId="1" applyNumberFormat="1" applyFont="1" applyFill="1" applyBorder="1" applyAlignment="1">
      <alignment horizontal="center"/>
    </xf>
    <xf numFmtId="2" fontId="9" fillId="0" borderId="32" xfId="1" applyNumberFormat="1" applyFont="1" applyBorder="1" applyAlignment="1">
      <alignment horizontal="center"/>
    </xf>
    <xf numFmtId="2" fontId="9" fillId="12" borderId="32" xfId="1" applyNumberFormat="1" applyFont="1" applyFill="1" applyBorder="1" applyAlignment="1">
      <alignment horizontal="center"/>
    </xf>
    <xf numFmtId="0" fontId="33" fillId="11" borderId="31" xfId="1" applyNumberFormat="1" applyFont="1" applyFill="1" applyBorder="1"/>
    <xf numFmtId="0" fontId="33" fillId="0" borderId="30" xfId="1" applyNumberFormat="1" applyFont="1" applyBorder="1" applyAlignment="1">
      <alignment horizontal="center"/>
    </xf>
    <xf numFmtId="2" fontId="9" fillId="13" borderId="29" xfId="1" applyNumberFormat="1" applyFont="1" applyFill="1" applyBorder="1" applyAlignment="1">
      <alignment horizontal="center"/>
    </xf>
    <xf numFmtId="2" fontId="9" fillId="0" borderId="28" xfId="1" applyNumberFormat="1" applyFont="1" applyBorder="1" applyAlignment="1">
      <alignment horizontal="center" wrapText="1"/>
    </xf>
    <xf numFmtId="2" fontId="9" fillId="12" borderId="27" xfId="1" applyNumberFormat="1" applyFont="1" applyFill="1" applyBorder="1" applyAlignment="1">
      <alignment horizontal="center"/>
    </xf>
    <xf numFmtId="0" fontId="33" fillId="11" borderId="27" xfId="1" applyNumberFormat="1" applyFont="1" applyFill="1" applyBorder="1" applyAlignment="1">
      <alignment horizontal="center"/>
    </xf>
    <xf numFmtId="0" fontId="32" fillId="0" borderId="0" xfId="5" applyFont="1"/>
    <xf numFmtId="0" fontId="32" fillId="0" borderId="0" xfId="5" applyFont="1" applyAlignment="1">
      <alignment vertical="center" wrapText="1"/>
    </xf>
    <xf numFmtId="0" fontId="32" fillId="0" borderId="0" xfId="5" applyFont="1" applyAlignment="1">
      <alignment wrapText="1"/>
    </xf>
    <xf numFmtId="0" fontId="27" fillId="0" borderId="1" xfId="5" applyFont="1" applyBorder="1"/>
    <xf numFmtId="165" fontId="10" fillId="0" borderId="0" xfId="6" applyNumberFormat="1" applyFont="1"/>
    <xf numFmtId="0" fontId="1" fillId="9" borderId="0" xfId="1" applyFont="1" applyFill="1"/>
    <xf numFmtId="0" fontId="22" fillId="9" borderId="0" xfId="1" applyFont="1" applyFill="1"/>
    <xf numFmtId="4" fontId="4" fillId="0" borderId="0" xfId="1" applyNumberFormat="1" applyFont="1" applyAlignment="1">
      <alignment horizontal="center"/>
    </xf>
    <xf numFmtId="0" fontId="26" fillId="0" borderId="0" xfId="5" applyFont="1" applyAlignment="1">
      <alignment horizontal="center"/>
    </xf>
    <xf numFmtId="0" fontId="27" fillId="0" borderId="0" xfId="5" applyFont="1"/>
    <xf numFmtId="0" fontId="28" fillId="0" borderId="0" xfId="5" applyFont="1" applyAlignment="1">
      <alignment horizontal="center"/>
    </xf>
    <xf numFmtId="0" fontId="27" fillId="0" borderId="24" xfId="5" applyFont="1" applyBorder="1"/>
    <xf numFmtId="0" fontId="27" fillId="0" borderId="23" xfId="5" applyFont="1" applyBorder="1" applyAlignment="1" applyProtection="1">
      <alignment horizontal="center"/>
      <protection locked="0"/>
    </xf>
    <xf numFmtId="0" fontId="28" fillId="0" borderId="0" xfId="5" applyFont="1" applyBorder="1" applyAlignment="1">
      <alignment horizontal="center"/>
    </xf>
    <xf numFmtId="0" fontId="27" fillId="0" borderId="19" xfId="5" applyFont="1" applyBorder="1"/>
    <xf numFmtId="0" fontId="27" fillId="0" borderId="18" xfId="5" applyFont="1" applyBorder="1" applyAlignment="1" applyProtection="1">
      <alignment horizontal="center"/>
      <protection locked="0"/>
    </xf>
    <xf numFmtId="165" fontId="27" fillId="0" borderId="18" xfId="6" applyNumberFormat="1" applyFont="1" applyBorder="1" applyAlignment="1" applyProtection="1">
      <alignment horizontal="center"/>
      <protection locked="0"/>
    </xf>
    <xf numFmtId="9" fontId="27" fillId="0" borderId="18" xfId="5" applyNumberFormat="1" applyFont="1" applyBorder="1" applyAlignment="1" applyProtection="1">
      <alignment horizontal="right"/>
      <protection locked="0"/>
    </xf>
    <xf numFmtId="0" fontId="9" fillId="0" borderId="20" xfId="5" applyFont="1" applyBorder="1" applyAlignment="1">
      <alignment horizontal="center"/>
    </xf>
    <xf numFmtId="0" fontId="9" fillId="0" borderId="22" xfId="5" applyFont="1" applyBorder="1" applyAlignment="1">
      <alignment horizontal="center" wrapText="1"/>
    </xf>
    <xf numFmtId="0" fontId="9" fillId="0" borderId="21" xfId="5" applyFont="1" applyBorder="1" applyAlignment="1">
      <alignment horizontal="center" wrapText="1"/>
    </xf>
    <xf numFmtId="0" fontId="9" fillId="0" borderId="20" xfId="5" applyFont="1" applyBorder="1" applyAlignment="1">
      <alignment horizontal="center" wrapText="1"/>
    </xf>
    <xf numFmtId="0" fontId="27" fillId="0" borderId="19" xfId="5" applyFont="1" applyBorder="1" applyAlignment="1">
      <alignment wrapText="1"/>
    </xf>
    <xf numFmtId="44" fontId="27" fillId="0" borderId="18" xfId="6" applyFont="1" applyBorder="1" applyAlignment="1" applyProtection="1">
      <alignment horizontal="right" wrapText="1"/>
      <protection locked="0"/>
    </xf>
    <xf numFmtId="0" fontId="27" fillId="0" borderId="13" xfId="5" applyFont="1" applyBorder="1" applyAlignment="1">
      <alignment wrapText="1"/>
    </xf>
    <xf numFmtId="0" fontId="27" fillId="0" borderId="15" xfId="5" applyFont="1" applyBorder="1" applyAlignment="1">
      <alignment horizontal="center" wrapText="1"/>
    </xf>
    <xf numFmtId="0" fontId="27" fillId="0" borderId="14" xfId="5" applyFont="1" applyBorder="1" applyAlignment="1">
      <alignment horizontal="center" wrapText="1"/>
    </xf>
    <xf numFmtId="1" fontId="27" fillId="0" borderId="15" xfId="5" applyNumberFormat="1" applyFont="1" applyBorder="1" applyAlignment="1">
      <alignment horizontal="center" wrapText="1"/>
    </xf>
    <xf numFmtId="165" fontId="27" fillId="0" borderId="18" xfId="6" applyNumberFormat="1" applyFont="1" applyBorder="1" applyAlignment="1" applyProtection="1">
      <alignment horizontal="right"/>
      <protection locked="0"/>
    </xf>
    <xf numFmtId="0" fontId="27" fillId="0" borderId="13" xfId="5" applyFont="1" applyBorder="1"/>
    <xf numFmtId="0" fontId="27" fillId="0" borderId="15" xfId="5" applyFont="1" applyBorder="1" applyAlignment="1" applyProtection="1">
      <alignment horizontal="center"/>
      <protection locked="0"/>
    </xf>
    <xf numFmtId="165" fontId="27" fillId="10" borderId="14" xfId="6" applyNumberFormat="1" applyFont="1" applyFill="1" applyBorder="1"/>
    <xf numFmtId="1" fontId="27" fillId="0" borderId="15" xfId="6" applyNumberFormat="1" applyFont="1" applyBorder="1" applyAlignment="1" applyProtection="1">
      <alignment horizontal="center"/>
      <protection locked="0"/>
    </xf>
    <xf numFmtId="1" fontId="27" fillId="0" borderId="15" xfId="6" applyNumberFormat="1" applyFont="1" applyBorder="1" applyAlignment="1" applyProtection="1">
      <alignment horizontal="center" wrapText="1"/>
      <protection locked="0"/>
    </xf>
    <xf numFmtId="0" fontId="27" fillId="0" borderId="15" xfId="5" applyNumberFormat="1" applyFont="1" applyBorder="1" applyAlignment="1" applyProtection="1">
      <alignment horizontal="center"/>
      <protection locked="0"/>
    </xf>
    <xf numFmtId="1" fontId="27" fillId="0" borderId="15" xfId="5" applyNumberFormat="1" applyFont="1" applyBorder="1" applyAlignment="1" applyProtection="1">
      <alignment horizontal="center"/>
      <protection locked="0"/>
    </xf>
    <xf numFmtId="165" fontId="27" fillId="10" borderId="13" xfId="6" applyNumberFormat="1" applyFont="1" applyFill="1" applyBorder="1"/>
    <xf numFmtId="0" fontId="27" fillId="0" borderId="19" xfId="5" applyFont="1" applyFill="1" applyBorder="1"/>
    <xf numFmtId="165" fontId="27" fillId="0" borderId="18" xfId="6" applyNumberFormat="1" applyFont="1" applyFill="1" applyBorder="1" applyAlignment="1" applyProtection="1">
      <alignment horizontal="right"/>
      <protection locked="0"/>
    </xf>
    <xf numFmtId="0" fontId="27" fillId="0" borderId="17" xfId="5" applyFont="1" applyFill="1" applyBorder="1"/>
    <xf numFmtId="0" fontId="32" fillId="0" borderId="16" xfId="5" applyFont="1" applyBorder="1"/>
    <xf numFmtId="0" fontId="27" fillId="10" borderId="1" xfId="5" applyFont="1" applyFill="1" applyBorder="1"/>
    <xf numFmtId="2" fontId="27" fillId="10" borderId="1" xfId="5" applyNumberFormat="1" applyFont="1" applyFill="1" applyBorder="1"/>
    <xf numFmtId="0" fontId="27" fillId="0" borderId="10" xfId="5" applyFont="1" applyBorder="1"/>
    <xf numFmtId="0" fontId="27" fillId="0" borderId="9" xfId="5" applyFont="1" applyBorder="1" applyAlignment="1">
      <alignment horizontal="center"/>
    </xf>
    <xf numFmtId="0" fontId="27" fillId="10" borderId="12" xfId="5" applyFont="1" applyFill="1" applyBorder="1"/>
    <xf numFmtId="1" fontId="27" fillId="0" borderId="9" xfId="5" applyNumberFormat="1" applyFont="1" applyBorder="1" applyAlignment="1">
      <alignment horizontal="center"/>
    </xf>
    <xf numFmtId="0" fontId="27" fillId="10" borderId="11" xfId="5" applyFont="1" applyFill="1" applyBorder="1"/>
    <xf numFmtId="1" fontId="27" fillId="0" borderId="9" xfId="5" applyNumberFormat="1" applyFont="1" applyBorder="1" applyAlignment="1">
      <alignment horizontal="center" wrapText="1"/>
    </xf>
    <xf numFmtId="0" fontId="27" fillId="10" borderId="10" xfId="5" applyFont="1" applyFill="1" applyBorder="1"/>
    <xf numFmtId="0" fontId="9" fillId="0" borderId="10" xfId="5" applyFont="1" applyBorder="1" applyAlignment="1">
      <alignment horizontal="right"/>
    </xf>
    <xf numFmtId="0" fontId="30" fillId="0" borderId="9" xfId="5" applyFont="1" applyBorder="1" applyAlignment="1">
      <alignment horizontal="center"/>
    </xf>
    <xf numFmtId="165" fontId="9" fillId="10" borderId="8" xfId="6" applyNumberFormat="1" applyFont="1" applyFill="1" applyBorder="1"/>
    <xf numFmtId="1" fontId="30" fillId="0" borderId="9" xfId="6" applyNumberFormat="1" applyFont="1" applyBorder="1" applyAlignment="1">
      <alignment horizontal="center"/>
    </xf>
    <xf numFmtId="1" fontId="30" fillId="0" borderId="9" xfId="6" applyNumberFormat="1" applyFont="1" applyBorder="1" applyAlignment="1">
      <alignment horizontal="center" wrapText="1"/>
    </xf>
    <xf numFmtId="165" fontId="30" fillId="0" borderId="9" xfId="6" applyNumberFormat="1" applyFont="1" applyBorder="1" applyAlignment="1">
      <alignment horizontal="center"/>
    </xf>
    <xf numFmtId="165" fontId="9" fillId="10" borderId="7" xfId="6" applyNumberFormat="1" applyFont="1" applyFill="1" applyBorder="1"/>
    <xf numFmtId="0" fontId="27" fillId="0" borderId="3" xfId="5" applyFont="1" applyBorder="1"/>
    <xf numFmtId="0" fontId="27" fillId="0" borderId="5" xfId="5" applyFont="1" applyBorder="1" applyAlignment="1">
      <alignment horizontal="center"/>
    </xf>
    <xf numFmtId="0" fontId="27" fillId="10" borderId="4" xfId="5" applyFont="1" applyFill="1" applyBorder="1"/>
    <xf numFmtId="1" fontId="27" fillId="0" borderId="5" xfId="5" applyNumberFormat="1" applyFont="1" applyBorder="1" applyAlignment="1">
      <alignment horizontal="center"/>
    </xf>
    <xf numFmtId="1" fontId="27" fillId="0" borderId="5" xfId="5" applyNumberFormat="1" applyFont="1" applyBorder="1" applyAlignment="1">
      <alignment horizontal="center" wrapText="1"/>
    </xf>
    <xf numFmtId="0" fontId="27" fillId="10" borderId="6" xfId="5" applyFont="1" applyFill="1" applyBorder="1"/>
    <xf numFmtId="0" fontId="27" fillId="10" borderId="3" xfId="5" applyFont="1" applyFill="1" applyBorder="1"/>
    <xf numFmtId="164" fontId="27" fillId="10" borderId="1" xfId="5" applyNumberFormat="1" applyFont="1" applyFill="1" applyBorder="1"/>
    <xf numFmtId="0" fontId="27" fillId="0" borderId="0" xfId="5" applyFont="1" applyAlignment="1">
      <alignment horizontal="center"/>
    </xf>
    <xf numFmtId="1" fontId="27" fillId="0" borderId="0" xfId="5" applyNumberFormat="1" applyFont="1" applyAlignment="1">
      <alignment horizontal="center"/>
    </xf>
    <xf numFmtId="1" fontId="27" fillId="0" borderId="0" xfId="5" applyNumberFormat="1" applyFont="1" applyAlignment="1">
      <alignment horizontal="center" wrapText="1"/>
    </xf>
    <xf numFmtId="0" fontId="31" fillId="0" borderId="0" xfId="5" applyFont="1"/>
    <xf numFmtId="1" fontId="31" fillId="0" borderId="0" xfId="5" applyNumberFormat="1" applyFont="1" applyAlignment="1">
      <alignment horizontal="center"/>
    </xf>
    <xf numFmtId="0" fontId="28" fillId="0" borderId="25" xfId="5" applyFont="1" applyBorder="1" applyAlignment="1">
      <alignment horizontal="center"/>
    </xf>
    <xf numFmtId="0" fontId="27" fillId="0" borderId="14" xfId="5" applyFont="1" applyBorder="1" applyAlignment="1">
      <alignment horizontal="center"/>
    </xf>
    <xf numFmtId="2" fontId="27" fillId="0" borderId="15" xfId="6" applyNumberFormat="1" applyFont="1" applyBorder="1" applyAlignment="1" applyProtection="1">
      <alignment horizontal="center"/>
      <protection locked="0"/>
    </xf>
    <xf numFmtId="2" fontId="27" fillId="0" borderId="15" xfId="5" applyNumberFormat="1" applyFont="1" applyBorder="1" applyAlignment="1" applyProtection="1">
      <alignment horizontal="center"/>
      <protection locked="0"/>
    </xf>
    <xf numFmtId="6" fontId="27" fillId="0" borderId="15" xfId="5" applyNumberFormat="1" applyFont="1" applyBorder="1" applyAlignment="1" applyProtection="1">
      <alignment horizontal="center"/>
      <protection locked="0"/>
    </xf>
    <xf numFmtId="1" fontId="27" fillId="0" borderId="0" xfId="5" applyNumberFormat="1" applyFont="1"/>
    <xf numFmtId="14" fontId="4" fillId="3" borderId="0" xfId="1" applyNumberFormat="1" applyFont="1" applyFill="1" applyAlignment="1">
      <alignment horizontal="left" indent="1"/>
    </xf>
    <xf numFmtId="14" fontId="4" fillId="3" borderId="2" xfId="0" applyNumberFormat="1" applyFont="1" applyFill="1" applyBorder="1" applyAlignment="1">
      <alignment horizontal="left" indent="1"/>
    </xf>
    <xf numFmtId="0" fontId="4" fillId="0" borderId="2" xfId="0" applyFont="1" applyFill="1" applyBorder="1" applyAlignment="1">
      <alignment horizontal="left" indent="1"/>
    </xf>
    <xf numFmtId="4" fontId="4" fillId="3" borderId="2" xfId="0" applyNumberFormat="1" applyFont="1" applyFill="1" applyBorder="1" applyAlignment="1">
      <alignment horizontal="right" indent="1"/>
    </xf>
    <xf numFmtId="0" fontId="4" fillId="3" borderId="2" xfId="0" applyFont="1" applyFill="1" applyBorder="1" applyAlignment="1">
      <alignment horizontal="left" indent="1"/>
    </xf>
    <xf numFmtId="14" fontId="4" fillId="5" borderId="2" xfId="0" applyNumberFormat="1" applyFont="1" applyFill="1" applyBorder="1" applyAlignment="1">
      <alignment horizontal="left" indent="1"/>
    </xf>
    <xf numFmtId="0" fontId="4" fillId="5" borderId="2" xfId="0" applyFont="1" applyFill="1" applyBorder="1" applyAlignment="1">
      <alignment horizontal="left" indent="1"/>
    </xf>
    <xf numFmtId="4" fontId="4" fillId="5" borderId="2" xfId="0" applyNumberFormat="1" applyFont="1" applyFill="1" applyBorder="1" applyAlignment="1">
      <alignment horizontal="right" indent="1"/>
    </xf>
    <xf numFmtId="0" fontId="10" fillId="0" borderId="35" xfId="0" applyFont="1" applyFill="1" applyBorder="1"/>
    <xf numFmtId="0" fontId="10" fillId="0" borderId="1" xfId="0" applyFont="1" applyFill="1" applyBorder="1"/>
    <xf numFmtId="0" fontId="10" fillId="0" borderId="29" xfId="0" applyFont="1" applyBorder="1"/>
    <xf numFmtId="0" fontId="10" fillId="0" borderId="36" xfId="0" applyFont="1" applyBorder="1"/>
    <xf numFmtId="0" fontId="33" fillId="0" borderId="13" xfId="5" applyFont="1" applyBorder="1" applyAlignment="1">
      <alignment horizontal="center"/>
    </xf>
    <xf numFmtId="0" fontId="27" fillId="0" borderId="26" xfId="5" applyFont="1" applyBorder="1" applyAlignment="1">
      <alignment horizontal="center" wrapText="1"/>
    </xf>
    <xf numFmtId="0" fontId="34" fillId="13" borderId="1" xfId="5" applyNumberFormat="1" applyFont="1" applyFill="1" applyBorder="1" applyAlignment="1">
      <alignment horizontal="center"/>
    </xf>
    <xf numFmtId="0" fontId="34" fillId="0" borderId="0" xfId="5" applyFont="1" applyAlignment="1">
      <alignment horizontal="center"/>
    </xf>
    <xf numFmtId="2" fontId="9" fillId="12" borderId="14" xfId="5" applyNumberFormat="1" applyFont="1" applyFill="1" applyBorder="1" applyAlignment="1">
      <alignment horizontal="center"/>
    </xf>
    <xf numFmtId="0" fontId="33" fillId="11" borderId="14" xfId="7" applyNumberFormat="1" applyFont="1" applyFill="1" applyBorder="1" applyAlignment="1">
      <alignment horizontal="center"/>
    </xf>
    <xf numFmtId="2" fontId="9" fillId="0" borderId="26" xfId="5" applyNumberFormat="1" applyFont="1" applyBorder="1" applyAlignment="1" applyProtection="1">
      <alignment horizontal="center"/>
      <protection locked="0"/>
    </xf>
    <xf numFmtId="2" fontId="9" fillId="13" borderId="1" xfId="6" applyNumberFormat="1" applyFont="1" applyFill="1" applyBorder="1" applyAlignment="1">
      <alignment horizontal="center"/>
    </xf>
    <xf numFmtId="1" fontId="9" fillId="0" borderId="16" xfId="6" applyNumberFormat="1" applyFont="1" applyBorder="1" applyAlignment="1" applyProtection="1">
      <alignment horizontal="center"/>
      <protection locked="0"/>
    </xf>
    <xf numFmtId="2" fontId="9" fillId="12" borderId="14" xfId="6" applyNumberFormat="1" applyFont="1" applyFill="1" applyBorder="1" applyAlignment="1">
      <alignment horizontal="center"/>
    </xf>
    <xf numFmtId="2" fontId="9" fillId="0" borderId="15" xfId="6" applyNumberFormat="1" applyFont="1" applyBorder="1" applyAlignment="1" applyProtection="1">
      <alignment horizontal="center" wrapText="1"/>
      <protection locked="0"/>
    </xf>
    <xf numFmtId="0" fontId="33" fillId="11" borderId="14" xfId="6" applyNumberFormat="1" applyFont="1" applyFill="1" applyBorder="1"/>
    <xf numFmtId="0" fontId="33" fillId="5" borderId="14" xfId="6" applyNumberFormat="1" applyFont="1" applyFill="1" applyBorder="1"/>
    <xf numFmtId="2" fontId="34" fillId="13" borderId="1" xfId="5" applyNumberFormat="1" applyFont="1" applyFill="1" applyBorder="1" applyAlignment="1">
      <alignment horizontal="center"/>
    </xf>
    <xf numFmtId="1" fontId="9" fillId="0" borderId="1" xfId="6" applyNumberFormat="1" applyFont="1" applyBorder="1" applyAlignment="1" applyProtection="1">
      <alignment horizontal="center"/>
      <protection locked="0"/>
    </xf>
    <xf numFmtId="2" fontId="9" fillId="12" borderId="1" xfId="6" applyNumberFormat="1" applyFont="1" applyFill="1" applyBorder="1" applyAlignment="1">
      <alignment horizontal="center"/>
    </xf>
    <xf numFmtId="0" fontId="33" fillId="0" borderId="34" xfId="5" applyFont="1" applyBorder="1" applyAlignment="1">
      <alignment horizontal="center"/>
    </xf>
    <xf numFmtId="2" fontId="9" fillId="13" borderId="2" xfId="6" applyNumberFormat="1" applyFont="1" applyFill="1" applyBorder="1" applyAlignment="1">
      <alignment horizontal="center"/>
    </xf>
    <xf numFmtId="1" fontId="9" fillId="0" borderId="2" xfId="6" applyNumberFormat="1" applyFont="1" applyBorder="1" applyAlignment="1" applyProtection="1">
      <alignment horizontal="center"/>
      <protection locked="0"/>
    </xf>
    <xf numFmtId="2" fontId="9" fillId="12" borderId="2" xfId="6" applyNumberFormat="1" applyFont="1" applyFill="1" applyBorder="1" applyAlignment="1">
      <alignment horizontal="center"/>
    </xf>
    <xf numFmtId="0" fontId="33" fillId="11" borderId="12" xfId="6" applyNumberFormat="1" applyFont="1" applyFill="1" applyBorder="1"/>
    <xf numFmtId="0" fontId="33" fillId="0" borderId="33" xfId="5" applyFont="1" applyBorder="1" applyAlignment="1">
      <alignment horizontal="center"/>
    </xf>
    <xf numFmtId="2" fontId="9" fillId="13" borderId="32" xfId="5" applyNumberFormat="1" applyFont="1" applyFill="1" applyBorder="1" applyAlignment="1">
      <alignment horizontal="center"/>
    </xf>
    <xf numFmtId="1" fontId="9" fillId="0" borderId="32" xfId="5" applyNumberFormat="1" applyFont="1" applyBorder="1" applyAlignment="1">
      <alignment horizontal="center"/>
    </xf>
    <xf numFmtId="2" fontId="9" fillId="12" borderId="32" xfId="5" applyNumberFormat="1" applyFont="1" applyFill="1" applyBorder="1" applyAlignment="1">
      <alignment horizontal="center"/>
    </xf>
    <xf numFmtId="0" fontId="33" fillId="11" borderId="31" xfId="5" applyNumberFormat="1" applyFont="1" applyFill="1" applyBorder="1"/>
    <xf numFmtId="0" fontId="33" fillId="0" borderId="30" xfId="5" applyFont="1" applyBorder="1" applyAlignment="1">
      <alignment horizontal="center"/>
    </xf>
    <xf numFmtId="2" fontId="9" fillId="13" borderId="29" xfId="5" applyNumberFormat="1" applyFont="1" applyFill="1" applyBorder="1" applyAlignment="1">
      <alignment horizontal="center"/>
    </xf>
    <xf numFmtId="14" fontId="9" fillId="0" borderId="28" xfId="5" applyNumberFormat="1" applyFont="1" applyBorder="1" applyAlignment="1">
      <alignment horizontal="center" wrapText="1"/>
    </xf>
    <xf numFmtId="2" fontId="9" fillId="12" borderId="27" xfId="5" applyNumberFormat="1" applyFont="1" applyFill="1" applyBorder="1" applyAlignment="1">
      <alignment horizontal="center"/>
    </xf>
    <xf numFmtId="0" fontId="33" fillId="11" borderId="27" xfId="5" applyNumberFormat="1" applyFont="1" applyFill="1" applyBorder="1" applyAlignment="1">
      <alignment horizontal="center"/>
    </xf>
    <xf numFmtId="0" fontId="36" fillId="16" borderId="0" xfId="1" applyFont="1" applyFill="1"/>
    <xf numFmtId="0" fontId="27" fillId="17" borderId="0" xfId="5" applyFont="1" applyFill="1"/>
    <xf numFmtId="1" fontId="27" fillId="17" borderId="0" xfId="5" applyNumberFormat="1" applyFont="1" applyFill="1"/>
    <xf numFmtId="0" fontId="31" fillId="17" borderId="0" xfId="5" applyFont="1" applyFill="1"/>
    <xf numFmtId="1" fontId="31" fillId="17" borderId="0" xfId="5" applyNumberFormat="1" applyFont="1" applyFill="1" applyAlignment="1">
      <alignment horizontal="center"/>
    </xf>
    <xf numFmtId="1" fontId="27" fillId="17" borderId="0" xfId="5" applyNumberFormat="1" applyFont="1" applyFill="1" applyAlignment="1">
      <alignment horizontal="center"/>
    </xf>
    <xf numFmtId="0" fontId="14" fillId="18" borderId="0" xfId="5" applyFont="1" applyFill="1"/>
    <xf numFmtId="1" fontId="14" fillId="18" borderId="0" xfId="5" applyNumberFormat="1" applyFont="1" applyFill="1"/>
    <xf numFmtId="1" fontId="14" fillId="18" borderId="0" xfId="5" applyNumberFormat="1" applyFont="1" applyFill="1" applyAlignment="1">
      <alignment horizontal="center"/>
    </xf>
    <xf numFmtId="0" fontId="9" fillId="19" borderId="0" xfId="5" applyFont="1" applyFill="1"/>
    <xf numFmtId="1" fontId="9" fillId="19" borderId="0" xfId="5" applyNumberFormat="1" applyFont="1" applyFill="1"/>
    <xf numFmtId="1" fontId="9" fillId="19" borderId="0" xfId="5" applyNumberFormat="1" applyFont="1" applyFill="1" applyAlignment="1">
      <alignment horizontal="center"/>
    </xf>
    <xf numFmtId="0" fontId="14" fillId="3" borderId="1" xfId="0" applyNumberFormat="1" applyFont="1" applyFill="1" applyBorder="1" applyAlignment="1" applyProtection="1">
      <alignment horizontal="left" indent="1"/>
    </xf>
    <xf numFmtId="0" fontId="14" fillId="0" borderId="1" xfId="0" applyNumberFormat="1" applyFont="1" applyFill="1" applyBorder="1" applyAlignment="1" applyProtection="1">
      <alignment horizontal="left" indent="1"/>
    </xf>
    <xf numFmtId="4" fontId="14" fillId="3" borderId="1" xfId="0" applyNumberFormat="1" applyFont="1" applyFill="1" applyBorder="1" applyAlignment="1" applyProtection="1">
      <alignment horizontal="right" indent="1"/>
    </xf>
    <xf numFmtId="14" fontId="10" fillId="0" borderId="1" xfId="0" applyNumberFormat="1" applyFont="1" applyBorder="1" applyAlignment="1">
      <alignment horizontal="center"/>
    </xf>
    <xf numFmtId="0" fontId="10" fillId="0" borderId="1" xfId="0" applyFont="1" applyBorder="1"/>
    <xf numFmtId="168" fontId="10" fillId="0" borderId="1" xfId="0" applyNumberFormat="1" applyFont="1" applyBorder="1"/>
    <xf numFmtId="0" fontId="33" fillId="2" borderId="13" xfId="5" applyFont="1" applyFill="1" applyBorder="1" applyAlignment="1">
      <alignment horizontal="center"/>
    </xf>
    <xf numFmtId="2" fontId="9" fillId="2" borderId="26" xfId="5" applyNumberFormat="1" applyFont="1" applyFill="1" applyBorder="1" applyAlignment="1" applyProtection="1">
      <alignment horizontal="center"/>
      <protection locked="0"/>
    </xf>
    <xf numFmtId="2" fontId="9" fillId="2" borderId="1" xfId="6" applyNumberFormat="1" applyFont="1" applyFill="1" applyBorder="1" applyAlignment="1">
      <alignment horizontal="center"/>
    </xf>
    <xf numFmtId="1" fontId="9" fillId="2" borderId="16" xfId="6" applyNumberFormat="1" applyFont="1" applyFill="1" applyBorder="1" applyAlignment="1" applyProtection="1">
      <alignment horizontal="center"/>
      <protection locked="0"/>
    </xf>
    <xf numFmtId="2" fontId="9" fillId="2" borderId="14" xfId="6" applyNumberFormat="1" applyFont="1" applyFill="1" applyBorder="1" applyAlignment="1">
      <alignment horizontal="center"/>
    </xf>
    <xf numFmtId="2" fontId="9" fillId="2" borderId="15" xfId="6" applyNumberFormat="1" applyFont="1" applyFill="1" applyBorder="1" applyAlignment="1" applyProtection="1">
      <alignment horizontal="center" wrapText="1"/>
      <protection locked="0"/>
    </xf>
    <xf numFmtId="0" fontId="9" fillId="0" borderId="28" xfId="5" applyFont="1" applyBorder="1" applyAlignment="1">
      <alignment horizontal="center" wrapText="1"/>
    </xf>
    <xf numFmtId="0" fontId="22" fillId="16" borderId="0" xfId="1" applyFont="1" applyFill="1"/>
    <xf numFmtId="169" fontId="27" fillId="0" borderId="14" xfId="5" applyNumberFormat="1" applyFont="1" applyBorder="1" applyAlignment="1">
      <alignment horizontal="center" wrapText="1"/>
    </xf>
    <xf numFmtId="169" fontId="27" fillId="10" borderId="14" xfId="6" applyNumberFormat="1" applyFont="1" applyFill="1" applyBorder="1"/>
    <xf numFmtId="0" fontId="27" fillId="6" borderId="19" xfId="5" applyFont="1" applyFill="1" applyBorder="1"/>
    <xf numFmtId="0" fontId="27" fillId="20" borderId="19" xfId="5" applyFont="1" applyFill="1" applyBorder="1"/>
    <xf numFmtId="169" fontId="27" fillId="10" borderId="11" xfId="5" applyNumberFormat="1" applyFont="1" applyFill="1" applyBorder="1"/>
    <xf numFmtId="169" fontId="9" fillId="10" borderId="8" xfId="6" applyNumberFormat="1" applyFont="1" applyFill="1" applyBorder="1"/>
    <xf numFmtId="169" fontId="27" fillId="10" borderId="4" xfId="5" applyNumberFormat="1" applyFont="1" applyFill="1" applyBorder="1"/>
    <xf numFmtId="169" fontId="27" fillId="0" borderId="0" xfId="5" applyNumberFormat="1" applyFont="1"/>
    <xf numFmtId="0" fontId="27" fillId="6" borderId="0" xfId="5" applyFont="1" applyFill="1"/>
    <xf numFmtId="1" fontId="27" fillId="6" borderId="0" xfId="5" applyNumberFormat="1" applyFont="1" applyFill="1"/>
    <xf numFmtId="0" fontId="31" fillId="6" borderId="0" xfId="5" applyFont="1" applyFill="1"/>
    <xf numFmtId="1" fontId="31" fillId="6" borderId="0" xfId="5" applyNumberFormat="1" applyFont="1" applyFill="1" applyAlignment="1">
      <alignment horizontal="center"/>
    </xf>
    <xf numFmtId="1" fontId="27" fillId="6" borderId="0" xfId="5" applyNumberFormat="1" applyFont="1" applyFill="1" applyAlignment="1">
      <alignment horizontal="center"/>
    </xf>
    <xf numFmtId="0" fontId="27" fillId="2" borderId="0" xfId="5" applyFont="1" applyFill="1"/>
    <xf numFmtId="1" fontId="27" fillId="2" borderId="0" xfId="5" applyNumberFormat="1" applyFont="1" applyFill="1"/>
    <xf numFmtId="1" fontId="27" fillId="2" borderId="0" xfId="5" applyNumberFormat="1" applyFont="1" applyFill="1" applyAlignment="1">
      <alignment horizontal="center"/>
    </xf>
    <xf numFmtId="0" fontId="27" fillId="21" borderId="1" xfId="5" applyFont="1" applyFill="1" applyBorder="1"/>
    <xf numFmtId="2" fontId="27" fillId="21" borderId="1" xfId="5" applyNumberFormat="1" applyFont="1" applyFill="1" applyBorder="1"/>
    <xf numFmtId="164" fontId="27" fillId="21" borderId="1" xfId="5" applyNumberFormat="1" applyFont="1" applyFill="1" applyBorder="1"/>
    <xf numFmtId="0" fontId="33" fillId="17" borderId="0" xfId="5" applyFont="1" applyFill="1"/>
    <xf numFmtId="1" fontId="33" fillId="17" borderId="0" xfId="5" applyNumberFormat="1" applyFont="1" applyFill="1"/>
    <xf numFmtId="1" fontId="33" fillId="17" borderId="0" xfId="5" applyNumberFormat="1" applyFont="1" applyFill="1" applyAlignment="1">
      <alignment horizontal="center"/>
    </xf>
    <xf numFmtId="0" fontId="14" fillId="3" borderId="0" xfId="1" applyFont="1" applyFill="1" applyBorder="1" applyAlignment="1">
      <alignment horizontal="left" indent="1"/>
    </xf>
    <xf numFmtId="0" fontId="14" fillId="0" borderId="0" xfId="1" applyFont="1" applyFill="1" applyBorder="1" applyAlignment="1">
      <alignment horizontal="left" indent="1"/>
    </xf>
    <xf numFmtId="4" fontId="14" fillId="3" borderId="0" xfId="1" applyNumberFormat="1" applyFont="1" applyFill="1" applyBorder="1" applyAlignment="1">
      <alignment horizontal="right" indent="1"/>
    </xf>
    <xf numFmtId="0" fontId="23" fillId="3" borderId="2" xfId="0" applyFont="1" applyFill="1" applyBorder="1" applyAlignment="1">
      <alignment horizontal="left" indent="1"/>
    </xf>
    <xf numFmtId="14" fontId="4" fillId="0" borderId="2" xfId="0" applyNumberFormat="1" applyFont="1" applyFill="1" applyBorder="1" applyAlignment="1">
      <alignment horizontal="left" indent="1"/>
    </xf>
    <xf numFmtId="4" fontId="4" fillId="0" borderId="2" xfId="0" applyNumberFormat="1" applyFont="1" applyFill="1" applyBorder="1" applyAlignment="1">
      <alignment horizontal="right" indent="1"/>
    </xf>
    <xf numFmtId="0" fontId="37" fillId="0" borderId="20" xfId="5" applyFont="1" applyBorder="1" applyAlignment="1">
      <alignment horizontal="center"/>
    </xf>
    <xf numFmtId="0" fontId="37" fillId="0" borderId="22" xfId="5" applyFont="1" applyBorder="1" applyAlignment="1">
      <alignment horizontal="center" wrapText="1"/>
    </xf>
    <xf numFmtId="0" fontId="37" fillId="0" borderId="21" xfId="5" applyFont="1" applyBorder="1" applyAlignment="1">
      <alignment horizontal="center" wrapText="1"/>
    </xf>
    <xf numFmtId="0" fontId="38" fillId="0" borderId="0" xfId="5" applyFont="1"/>
    <xf numFmtId="0" fontId="39" fillId="0" borderId="13" xfId="5" applyFont="1" applyBorder="1" applyAlignment="1">
      <alignment horizontal="center"/>
    </xf>
    <xf numFmtId="0" fontId="40" fillId="0" borderId="26" xfId="5" applyFont="1" applyBorder="1" applyAlignment="1">
      <alignment horizontal="center" wrapText="1"/>
    </xf>
    <xf numFmtId="0" fontId="41" fillId="13" borderId="1" xfId="5" applyNumberFormat="1" applyFont="1" applyFill="1" applyBorder="1" applyAlignment="1">
      <alignment horizontal="center"/>
    </xf>
    <xf numFmtId="0" fontId="41" fillId="0" borderId="0" xfId="5" applyFont="1" applyAlignment="1">
      <alignment horizontal="center"/>
    </xf>
    <xf numFmtId="2" fontId="37" fillId="12" borderId="14" xfId="5" applyNumberFormat="1" applyFont="1" applyFill="1" applyBorder="1" applyAlignment="1">
      <alignment horizontal="center"/>
    </xf>
    <xf numFmtId="0" fontId="40" fillId="0" borderId="15" xfId="5" applyFont="1" applyBorder="1" applyAlignment="1">
      <alignment horizontal="center" wrapText="1"/>
    </xf>
    <xf numFmtId="0" fontId="39" fillId="11" borderId="14" xfId="7" applyNumberFormat="1" applyFont="1" applyFill="1" applyBorder="1" applyAlignment="1">
      <alignment horizontal="center"/>
    </xf>
    <xf numFmtId="2" fontId="37" fillId="0" borderId="26" xfId="5" applyNumberFormat="1" applyFont="1" applyBorder="1" applyAlignment="1" applyProtection="1">
      <alignment horizontal="center"/>
      <protection locked="0"/>
    </xf>
    <xf numFmtId="2" fontId="37" fillId="13" borderId="1" xfId="6" applyNumberFormat="1" applyFont="1" applyFill="1" applyBorder="1" applyAlignment="1">
      <alignment horizontal="center"/>
    </xf>
    <xf numFmtId="1" fontId="37" fillId="0" borderId="16" xfId="6" applyNumberFormat="1" applyFont="1" applyBorder="1" applyAlignment="1" applyProtection="1">
      <alignment horizontal="center"/>
      <protection locked="0"/>
    </xf>
    <xf numFmtId="2" fontId="37" fillId="12" borderId="14" xfId="6" applyNumberFormat="1" applyFont="1" applyFill="1" applyBorder="1" applyAlignment="1">
      <alignment horizontal="center"/>
    </xf>
    <xf numFmtId="2" fontId="37" fillId="0" borderId="15" xfId="6" applyNumberFormat="1" applyFont="1" applyBorder="1" applyAlignment="1" applyProtection="1">
      <alignment horizontal="center" wrapText="1"/>
      <protection locked="0"/>
    </xf>
    <xf numFmtId="0" fontId="39" fillId="11" borderId="14" xfId="6" applyNumberFormat="1" applyFont="1" applyFill="1" applyBorder="1"/>
    <xf numFmtId="2" fontId="41" fillId="13" borderId="1" xfId="5" applyNumberFormat="1" applyFont="1" applyFill="1" applyBorder="1" applyAlignment="1">
      <alignment horizontal="center"/>
    </xf>
    <xf numFmtId="1" fontId="37" fillId="0" borderId="1" xfId="6" applyNumberFormat="1" applyFont="1" applyBorder="1" applyAlignment="1" applyProtection="1">
      <alignment horizontal="center"/>
      <protection locked="0"/>
    </xf>
    <xf numFmtId="2" fontId="37" fillId="12" borderId="1" xfId="6" applyNumberFormat="1" applyFont="1" applyFill="1" applyBorder="1" applyAlignment="1">
      <alignment horizontal="center"/>
    </xf>
    <xf numFmtId="0" fontId="39" fillId="0" borderId="34" xfId="5" applyFont="1" applyBorder="1" applyAlignment="1">
      <alignment horizontal="center"/>
    </xf>
    <xf numFmtId="2" fontId="37" fillId="13" borderId="2" xfId="6" applyNumberFormat="1" applyFont="1" applyFill="1" applyBorder="1" applyAlignment="1">
      <alignment horizontal="center"/>
    </xf>
    <xf numFmtId="1" fontId="37" fillId="0" borderId="2" xfId="6" applyNumberFormat="1" applyFont="1" applyBorder="1" applyAlignment="1" applyProtection="1">
      <alignment horizontal="center"/>
      <protection locked="0"/>
    </xf>
    <xf numFmtId="2" fontId="37" fillId="12" borderId="2" xfId="6" applyNumberFormat="1" applyFont="1" applyFill="1" applyBorder="1" applyAlignment="1">
      <alignment horizontal="center"/>
    </xf>
    <xf numFmtId="0" fontId="39" fillId="11" borderId="12" xfId="6" applyNumberFormat="1" applyFont="1" applyFill="1" applyBorder="1"/>
    <xf numFmtId="0" fontId="39" fillId="0" borderId="33" xfId="5" applyFont="1" applyBorder="1" applyAlignment="1">
      <alignment horizontal="center"/>
    </xf>
    <xf numFmtId="2" fontId="37" fillId="13" borderId="32" xfId="5" applyNumberFormat="1" applyFont="1" applyFill="1" applyBorder="1" applyAlignment="1">
      <alignment horizontal="center"/>
    </xf>
    <xf numFmtId="1" fontId="37" fillId="0" borderId="32" xfId="5" applyNumberFormat="1" applyFont="1" applyBorder="1" applyAlignment="1">
      <alignment horizontal="center"/>
    </xf>
    <xf numFmtId="2" fontId="37" fillId="12" borderId="32" xfId="5" applyNumberFormat="1" applyFont="1" applyFill="1" applyBorder="1" applyAlignment="1">
      <alignment horizontal="center"/>
    </xf>
    <xf numFmtId="0" fontId="39" fillId="11" borderId="31" xfId="5" applyNumberFormat="1" applyFont="1" applyFill="1" applyBorder="1"/>
    <xf numFmtId="0" fontId="39" fillId="0" borderId="30" xfId="5" applyFont="1" applyBorder="1" applyAlignment="1">
      <alignment horizontal="center"/>
    </xf>
    <xf numFmtId="2" fontId="37" fillId="13" borderId="29" xfId="5" applyNumberFormat="1" applyFont="1" applyFill="1" applyBorder="1" applyAlignment="1">
      <alignment horizontal="center"/>
    </xf>
    <xf numFmtId="0" fontId="37" fillId="0" borderId="28" xfId="5" applyFont="1" applyBorder="1" applyAlignment="1">
      <alignment horizontal="center" wrapText="1"/>
    </xf>
    <xf numFmtId="2" fontId="37" fillId="12" borderId="27" xfId="5" applyNumberFormat="1" applyFont="1" applyFill="1" applyBorder="1" applyAlignment="1">
      <alignment horizontal="center"/>
    </xf>
    <xf numFmtId="0" fontId="39" fillId="11" borderId="27" xfId="5" applyNumberFormat="1" applyFont="1" applyFill="1" applyBorder="1" applyAlignment="1">
      <alignment horizontal="center"/>
    </xf>
    <xf numFmtId="0" fontId="27" fillId="14" borderId="15" xfId="6" applyNumberFormat="1" applyFont="1" applyFill="1" applyBorder="1" applyAlignment="1" applyProtection="1">
      <alignment horizontal="center"/>
      <protection locked="0"/>
    </xf>
    <xf numFmtId="0" fontId="27" fillId="0" borderId="15" xfId="6" applyNumberFormat="1" applyFont="1" applyBorder="1" applyAlignment="1" applyProtection="1">
      <alignment horizontal="center"/>
      <protection locked="0"/>
    </xf>
    <xf numFmtId="0" fontId="27" fillId="2" borderId="19" xfId="5" applyFont="1" applyFill="1" applyBorder="1"/>
    <xf numFmtId="0" fontId="27" fillId="0" borderId="9" xfId="5" applyNumberFormat="1" applyFont="1" applyBorder="1" applyAlignment="1">
      <alignment horizontal="center"/>
    </xf>
    <xf numFmtId="0" fontId="30" fillId="0" borderId="9" xfId="6" applyNumberFormat="1" applyFont="1" applyBorder="1" applyAlignment="1">
      <alignment horizontal="center"/>
    </xf>
    <xf numFmtId="0" fontId="27" fillId="0" borderId="5" xfId="5" applyNumberFormat="1" applyFont="1" applyBorder="1" applyAlignment="1">
      <alignment horizontal="center"/>
    </xf>
    <xf numFmtId="0" fontId="27" fillId="18" borderId="0" xfId="5" applyFont="1" applyFill="1"/>
    <xf numFmtId="1" fontId="27" fillId="18" borderId="0" xfId="5" applyNumberFormat="1" applyFont="1" applyFill="1"/>
    <xf numFmtId="1" fontId="27" fillId="18" borderId="0" xfId="5" applyNumberFormat="1" applyFont="1" applyFill="1" applyAlignment="1">
      <alignment horizontal="center"/>
    </xf>
    <xf numFmtId="0" fontId="33" fillId="0" borderId="0" xfId="5" applyFont="1"/>
    <xf numFmtId="14" fontId="4" fillId="15" borderId="1" xfId="0" applyNumberFormat="1" applyFont="1" applyFill="1" applyBorder="1" applyAlignment="1">
      <alignment horizontal="left" indent="1"/>
    </xf>
    <xf numFmtId="0" fontId="4" fillId="15" borderId="1" xfId="0" applyFont="1" applyFill="1" applyBorder="1" applyAlignment="1">
      <alignment horizontal="left" indent="1"/>
    </xf>
    <xf numFmtId="4" fontId="4" fillId="15" borderId="1" xfId="0" applyNumberFormat="1" applyFont="1" applyFill="1" applyBorder="1" applyAlignment="1">
      <alignment horizontal="right" indent="1"/>
    </xf>
    <xf numFmtId="0" fontId="4" fillId="20" borderId="2" xfId="0" applyFont="1" applyFill="1" applyBorder="1" applyAlignment="1">
      <alignment horizontal="left" indent="1"/>
    </xf>
    <xf numFmtId="44" fontId="9" fillId="10" borderId="8" xfId="6" applyNumberFormat="1" applyFont="1" applyFill="1" applyBorder="1"/>
    <xf numFmtId="0" fontId="9" fillId="0" borderId="13" xfId="5" applyFont="1" applyBorder="1" applyAlignment="1">
      <alignment horizontal="center"/>
    </xf>
    <xf numFmtId="0" fontId="42" fillId="11" borderId="14" xfId="7" applyNumberFormat="1" applyFont="1" applyFill="1" applyBorder="1" applyAlignment="1">
      <alignment horizontal="center"/>
    </xf>
    <xf numFmtId="0" fontId="42" fillId="11" borderId="14" xfId="6" applyNumberFormat="1" applyFont="1" applyFill="1" applyBorder="1"/>
    <xf numFmtId="0" fontId="42" fillId="11" borderId="12" xfId="6" applyNumberFormat="1" applyFont="1" applyFill="1" applyBorder="1"/>
    <xf numFmtId="0" fontId="42" fillId="11" borderId="31" xfId="5" applyNumberFormat="1" applyFont="1" applyFill="1" applyBorder="1"/>
    <xf numFmtId="0" fontId="42" fillId="11" borderId="27" xfId="5" applyNumberFormat="1" applyFont="1" applyFill="1" applyBorder="1" applyAlignment="1">
      <alignment horizontal="center"/>
    </xf>
    <xf numFmtId="0" fontId="42" fillId="2" borderId="14" xfId="6" applyNumberFormat="1" applyFont="1" applyFill="1" applyBorder="1"/>
    <xf numFmtId="0" fontId="43" fillId="0" borderId="0" xfId="5" applyFont="1"/>
    <xf numFmtId="0" fontId="34" fillId="2" borderId="0" xfId="5" applyFont="1" applyFill="1"/>
    <xf numFmtId="0" fontId="33" fillId="5" borderId="0" xfId="5" applyFont="1" applyFill="1"/>
    <xf numFmtId="1" fontId="33" fillId="5" borderId="0" xfId="5" applyNumberFormat="1" applyFont="1" applyFill="1"/>
    <xf numFmtId="1" fontId="33" fillId="5" borderId="0" xfId="5" applyNumberFormat="1" applyFont="1" applyFill="1" applyAlignment="1">
      <alignment horizontal="center"/>
    </xf>
    <xf numFmtId="1" fontId="27" fillId="5" borderId="0" xfId="5" applyNumberFormat="1" applyFont="1" applyFill="1" applyAlignment="1">
      <alignment horizontal="center"/>
    </xf>
    <xf numFmtId="14" fontId="4" fillId="15" borderId="1" xfId="1" applyNumberFormat="1" applyFont="1" applyFill="1" applyBorder="1" applyAlignment="1">
      <alignment horizontal="left" indent="1"/>
    </xf>
    <xf numFmtId="0" fontId="4" fillId="15" borderId="1" xfId="1" applyFont="1" applyFill="1" applyBorder="1" applyAlignment="1">
      <alignment horizontal="left" indent="1"/>
    </xf>
    <xf numFmtId="14" fontId="1" fillId="3" borderId="1" xfId="0" applyNumberFormat="1" applyFont="1" applyFill="1" applyBorder="1" applyAlignment="1">
      <alignment horizontal="left" indent="1"/>
    </xf>
    <xf numFmtId="0" fontId="1" fillId="0" borderId="1" xfId="0" applyFont="1" applyFill="1" applyBorder="1" applyAlignment="1">
      <alignment horizontal="left" indent="1"/>
    </xf>
    <xf numFmtId="4" fontId="1" fillId="3" borderId="1" xfId="0" applyNumberFormat="1" applyFont="1" applyFill="1" applyBorder="1" applyAlignment="1">
      <alignment horizontal="right" indent="1"/>
    </xf>
    <xf numFmtId="0" fontId="1" fillId="3" borderId="1" xfId="0" applyFont="1" applyFill="1" applyBorder="1" applyAlignment="1">
      <alignment horizontal="left" indent="1"/>
    </xf>
    <xf numFmtId="0" fontId="10" fillId="3" borderId="1" xfId="0" applyFont="1" applyFill="1" applyBorder="1" applyAlignment="1">
      <alignment horizontal="left" indent="1"/>
    </xf>
    <xf numFmtId="0" fontId="10" fillId="0" borderId="1" xfId="0" applyFont="1" applyBorder="1" applyAlignment="1">
      <alignment horizontal="left" indent="1"/>
    </xf>
    <xf numFmtId="0" fontId="34" fillId="20" borderId="0" xfId="5" applyFont="1" applyFill="1"/>
    <xf numFmtId="0" fontId="32" fillId="0" borderId="0" xfId="5" applyFont="1" applyFill="1"/>
    <xf numFmtId="0" fontId="27" fillId="5" borderId="1" xfId="5" applyFont="1" applyFill="1" applyBorder="1"/>
    <xf numFmtId="2" fontId="27" fillId="5" borderId="1" xfId="5" applyNumberFormat="1" applyFont="1" applyFill="1" applyBorder="1"/>
    <xf numFmtId="164" fontId="27" fillId="5" borderId="1" xfId="5" applyNumberFormat="1" applyFont="1" applyFill="1" applyBorder="1"/>
    <xf numFmtId="0" fontId="32" fillId="20" borderId="0" xfId="5" applyFont="1" applyFill="1"/>
    <xf numFmtId="0" fontId="1" fillId="14" borderId="0" xfId="1" applyFont="1" applyFill="1"/>
    <xf numFmtId="170" fontId="4" fillId="3" borderId="2" xfId="0" applyNumberFormat="1" applyFont="1" applyFill="1" applyBorder="1" applyAlignment="1">
      <alignment horizontal="left" indent="1"/>
    </xf>
    <xf numFmtId="0" fontId="33" fillId="3" borderId="1" xfId="0" applyFont="1" applyFill="1" applyBorder="1" applyAlignment="1">
      <alignment horizontal="left" indent="1"/>
    </xf>
    <xf numFmtId="0" fontId="27" fillId="8" borderId="1" xfId="5" applyFont="1" applyFill="1" applyBorder="1"/>
    <xf numFmtId="2" fontId="27" fillId="8" borderId="1" xfId="5" applyNumberFormat="1" applyFont="1" applyFill="1" applyBorder="1"/>
    <xf numFmtId="164" fontId="27" fillId="8" borderId="1" xfId="5" applyNumberFormat="1" applyFont="1" applyFill="1" applyBorder="1"/>
    <xf numFmtId="0" fontId="33" fillId="0" borderId="13" xfId="5" applyNumberFormat="1" applyFont="1" applyBorder="1" applyAlignment="1">
      <alignment horizontal="center"/>
    </xf>
    <xf numFmtId="2" fontId="9" fillId="0" borderId="26" xfId="5" applyNumberFormat="1" applyFont="1" applyBorder="1" applyAlignment="1">
      <alignment horizontal="center" wrapText="1"/>
    </xf>
    <xf numFmtId="2" fontId="34" fillId="0" borderId="0" xfId="5" applyNumberFormat="1" applyFont="1" applyAlignment="1">
      <alignment horizontal="center"/>
    </xf>
    <xf numFmtId="2" fontId="9" fillId="0" borderId="15" xfId="5" applyNumberFormat="1" applyFont="1" applyBorder="1" applyAlignment="1">
      <alignment horizontal="center" wrapText="1"/>
    </xf>
    <xf numFmtId="2" fontId="33" fillId="11" borderId="14" xfId="7" applyNumberFormat="1" applyFont="1" applyFill="1" applyBorder="1" applyAlignment="1">
      <alignment horizontal="center"/>
    </xf>
    <xf numFmtId="2" fontId="9" fillId="0" borderId="16" xfId="6" applyNumberFormat="1" applyFont="1" applyBorder="1" applyAlignment="1" applyProtection="1">
      <alignment horizontal="center"/>
      <protection locked="0"/>
    </xf>
    <xf numFmtId="2" fontId="9" fillId="0" borderId="1" xfId="6" applyNumberFormat="1" applyFont="1" applyBorder="1" applyAlignment="1" applyProtection="1">
      <alignment horizontal="center"/>
      <protection locked="0"/>
    </xf>
    <xf numFmtId="0" fontId="33" fillId="0" borderId="34" xfId="5" applyNumberFormat="1" applyFont="1" applyBorder="1" applyAlignment="1">
      <alignment horizontal="center"/>
    </xf>
    <xf numFmtId="2" fontId="9" fillId="0" borderId="2" xfId="6" applyNumberFormat="1" applyFont="1" applyBorder="1" applyAlignment="1" applyProtection="1">
      <alignment horizontal="center"/>
      <protection locked="0"/>
    </xf>
    <xf numFmtId="0" fontId="33" fillId="0" borderId="33" xfId="5" applyNumberFormat="1" applyFont="1" applyBorder="1" applyAlignment="1">
      <alignment horizontal="center"/>
    </xf>
    <xf numFmtId="2" fontId="9" fillId="0" borderId="32" xfId="5" applyNumberFormat="1" applyFont="1" applyBorder="1" applyAlignment="1">
      <alignment horizontal="center"/>
    </xf>
    <xf numFmtId="0" fontId="33" fillId="0" borderId="30" xfId="5" applyNumberFormat="1" applyFont="1" applyBorder="1" applyAlignment="1">
      <alignment horizontal="center"/>
    </xf>
    <xf numFmtId="2" fontId="9" fillId="0" borderId="28" xfId="5" applyNumberFormat="1" applyFont="1" applyBorder="1" applyAlignment="1">
      <alignment horizontal="center" wrapText="1"/>
    </xf>
    <xf numFmtId="0" fontId="44" fillId="12" borderId="0" xfId="5" applyFont="1" applyFill="1"/>
    <xf numFmtId="1" fontId="27" fillId="12" borderId="0" xfId="5" applyNumberFormat="1" applyFont="1" applyFill="1"/>
    <xf numFmtId="0" fontId="27" fillId="12" borderId="0" xfId="5" applyFont="1" applyFill="1"/>
    <xf numFmtId="1" fontId="27" fillId="12" borderId="0" xfId="5" applyNumberFormat="1" applyFont="1" applyFill="1" applyAlignment="1">
      <alignment horizontal="center"/>
    </xf>
    <xf numFmtId="0" fontId="33" fillId="2" borderId="0" xfId="5" applyFont="1" applyFill="1"/>
    <xf numFmtId="1" fontId="33" fillId="2" borderId="0" xfId="5" applyNumberFormat="1" applyFont="1" applyFill="1"/>
    <xf numFmtId="1" fontId="33" fillId="2" borderId="0" xfId="5" applyNumberFormat="1" applyFont="1" applyFill="1" applyAlignment="1">
      <alignment horizontal="center"/>
    </xf>
    <xf numFmtId="4" fontId="14" fillId="0" borderId="0" xfId="0" applyNumberFormat="1" applyFont="1" applyFill="1" applyBorder="1" applyAlignment="1">
      <alignment horizontal="right" indent="1"/>
    </xf>
    <xf numFmtId="2" fontId="9" fillId="12" borderId="16" xfId="6" applyNumberFormat="1" applyFont="1" applyFill="1" applyBorder="1" applyAlignment="1" applyProtection="1">
      <alignment horizontal="center"/>
      <protection locked="0"/>
    </xf>
    <xf numFmtId="2" fontId="9" fillId="12" borderId="17" xfId="6" applyNumberFormat="1" applyFont="1" applyFill="1" applyBorder="1" applyAlignment="1">
      <alignment horizontal="center"/>
    </xf>
    <xf numFmtId="2" fontId="27" fillId="0" borderId="15" xfId="2" applyNumberFormat="1" applyFont="1" applyBorder="1" applyAlignment="1" applyProtection="1">
      <alignment horizontal="center"/>
      <protection locked="0"/>
    </xf>
    <xf numFmtId="0" fontId="9" fillId="0" borderId="0" xfId="5" applyFont="1" applyFill="1"/>
    <xf numFmtId="1" fontId="9" fillId="0" borderId="0" xfId="5" applyNumberFormat="1" applyFont="1" applyFill="1" applyAlignment="1">
      <alignment horizontal="center"/>
    </xf>
    <xf numFmtId="1" fontId="27" fillId="0" borderId="0" xfId="5" applyNumberFormat="1" applyFont="1" applyFill="1" applyAlignment="1">
      <alignment horizontal="center"/>
    </xf>
    <xf numFmtId="0" fontId="27" fillId="0" borderId="0" xfId="5" applyFont="1" applyFill="1"/>
    <xf numFmtId="1" fontId="9" fillId="0" borderId="0" xfId="5" applyNumberFormat="1" applyFont="1" applyFill="1"/>
    <xf numFmtId="1" fontId="33" fillId="0" borderId="0" xfId="5" applyNumberFormat="1" applyFont="1"/>
    <xf numFmtId="1" fontId="33" fillId="0" borderId="0" xfId="5" applyNumberFormat="1" applyFont="1" applyAlignment="1">
      <alignment horizontal="center"/>
    </xf>
    <xf numFmtId="0" fontId="14" fillId="8" borderId="1" xfId="1" applyFont="1" applyFill="1" applyBorder="1" applyAlignment="1">
      <alignment horizontal="left" indent="1"/>
    </xf>
    <xf numFmtId="0" fontId="33" fillId="3" borderId="1" xfId="1" applyFont="1" applyFill="1" applyBorder="1" applyAlignment="1">
      <alignment horizontal="left" indent="1"/>
    </xf>
    <xf numFmtId="8" fontId="27" fillId="0" borderId="18" xfId="6" applyNumberFormat="1" applyFont="1" applyBorder="1" applyAlignment="1" applyProtection="1">
      <alignment horizontal="right" wrapText="1"/>
      <protection locked="0"/>
    </xf>
    <xf numFmtId="168" fontId="27" fillId="10" borderId="13" xfId="6" applyNumberFormat="1" applyFont="1" applyFill="1" applyBorder="1"/>
    <xf numFmtId="1" fontId="27" fillId="5" borderId="0" xfId="5" applyNumberFormat="1" applyFont="1" applyFill="1"/>
    <xf numFmtId="0" fontId="27" fillId="5" borderId="0" xfId="5" applyFont="1" applyFill="1"/>
    <xf numFmtId="14" fontId="27" fillId="15" borderId="1" xfId="1" applyNumberFormat="1" applyFont="1" applyFill="1" applyBorder="1" applyAlignment="1">
      <alignment horizontal="left" indent="1"/>
    </xf>
    <xf numFmtId="168" fontId="4" fillId="5" borderId="1" xfId="1" applyNumberFormat="1" applyFont="1" applyFill="1" applyBorder="1" applyAlignment="1">
      <alignment horizontal="right" indent="1"/>
    </xf>
    <xf numFmtId="0" fontId="1" fillId="25" borderId="0" xfId="1" applyFont="1" applyFill="1"/>
    <xf numFmtId="14" fontId="4" fillId="20" borderId="2" xfId="0" applyNumberFormat="1" applyFont="1" applyFill="1" applyBorder="1" applyAlignment="1">
      <alignment horizontal="left" indent="1"/>
    </xf>
    <xf numFmtId="4" fontId="4" fillId="20" borderId="2" xfId="0" applyNumberFormat="1" applyFont="1" applyFill="1" applyBorder="1" applyAlignment="1">
      <alignment horizontal="right" indent="1"/>
    </xf>
    <xf numFmtId="14" fontId="9" fillId="0" borderId="16" xfId="6" applyNumberFormat="1" applyFont="1" applyBorder="1" applyAlignment="1" applyProtection="1">
      <alignment horizontal="center"/>
      <protection locked="0"/>
    </xf>
    <xf numFmtId="14" fontId="9" fillId="0" borderId="26" xfId="5" applyNumberFormat="1" applyFont="1" applyBorder="1" applyAlignment="1" applyProtection="1">
      <alignment horizontal="center"/>
      <protection locked="0"/>
    </xf>
    <xf numFmtId="14" fontId="9" fillId="0" borderId="1" xfId="6" applyNumberFormat="1" applyFont="1" applyBorder="1" applyAlignment="1" applyProtection="1">
      <alignment horizontal="center"/>
      <protection locked="0"/>
    </xf>
    <xf numFmtId="14" fontId="9" fillId="0" borderId="2" xfId="6" applyNumberFormat="1" applyFont="1" applyBorder="1" applyAlignment="1" applyProtection="1">
      <alignment horizontal="center"/>
      <protection locked="0"/>
    </xf>
    <xf numFmtId="14" fontId="9" fillId="0" borderId="32" xfId="5" applyNumberFormat="1" applyFont="1" applyBorder="1" applyAlignment="1">
      <alignment horizontal="center"/>
    </xf>
    <xf numFmtId="166" fontId="27" fillId="0" borderId="18" xfId="9" applyNumberFormat="1" applyFont="1" applyBorder="1" applyAlignment="1" applyProtection="1">
      <alignment horizontal="right"/>
      <protection locked="0"/>
    </xf>
    <xf numFmtId="0" fontId="33" fillId="0" borderId="0" xfId="5" applyFont="1" applyFill="1"/>
    <xf numFmtId="1" fontId="27" fillId="0" borderId="0" xfId="5" applyNumberFormat="1" applyFont="1" applyFill="1"/>
    <xf numFmtId="1" fontId="33" fillId="0" borderId="0" xfId="5" applyNumberFormat="1" applyFont="1" applyFill="1"/>
    <xf numFmtId="1" fontId="33" fillId="0" borderId="0" xfId="5" applyNumberFormat="1" applyFont="1" applyFill="1" applyAlignment="1">
      <alignment horizontal="center"/>
    </xf>
    <xf numFmtId="14" fontId="4" fillId="0" borderId="1" xfId="1" applyNumberFormat="1" applyFont="1" applyFill="1" applyBorder="1" applyAlignment="1">
      <alignment horizontal="left" indent="1"/>
    </xf>
    <xf numFmtId="0" fontId="15" fillId="0" borderId="0" xfId="8" applyFill="1" applyBorder="1" applyAlignment="1">
      <alignment horizontal="center"/>
    </xf>
    <xf numFmtId="0" fontId="15" fillId="24" borderId="38" xfId="8" applyBorder="1" applyAlignment="1">
      <alignment horizontal="center"/>
    </xf>
  </cellXfs>
  <cellStyles count="11">
    <cellStyle name="Comma 2" xfId="3"/>
    <cellStyle name="Comma 2 2" xfId="9"/>
    <cellStyle name="Currency 2" xfId="2"/>
    <cellStyle name="Currency 2 2" xfId="6"/>
    <cellStyle name="Normal" xfId="0" builtinId="0"/>
    <cellStyle name="Normal 2" xfId="1"/>
    <cellStyle name="Normal 2 2" xfId="5"/>
    <cellStyle name="Normal 2 3" xfId="10"/>
    <cellStyle name="Output" xfId="8" builtinId="21"/>
    <cellStyle name="Percent 2" xfId="4"/>
    <cellStyle name="Percent 2 2" xfId="7"/>
  </cellStyles>
  <dxfs count="4343">
    <dxf>
      <font>
        <strike val="0"/>
        <outline val="0"/>
        <shadow val="0"/>
        <u val="none"/>
        <vertAlign val="baseline"/>
        <name val="Calibri"/>
        <scheme val="minor"/>
      </font>
      <fill>
        <patternFill patternType="none">
          <fgColor rgb="FF000000"/>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rgb="FF000000"/>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rgb="FF000000"/>
        <name val="Calibri"/>
        <scheme val="minor"/>
      </font>
    </dxf>
    <dxf>
      <font>
        <b/>
        <strike val="0"/>
        <outline val="0"/>
        <shadow val="0"/>
        <u val="none"/>
        <vertAlign val="baseline"/>
        <sz val="8"/>
        <color rgb="FF000000"/>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fill>
        <patternFill patternType="none">
          <fgColor rgb="FF000000"/>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rgb="FF000000"/>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rgb="FF000000"/>
        <name val="Calibri"/>
        <scheme val="minor"/>
      </font>
    </dxf>
    <dxf>
      <font>
        <strike val="0"/>
        <outline val="0"/>
        <shadow val="0"/>
        <u val="none"/>
        <vertAlign val="baseline"/>
        <sz val="8"/>
        <color rgb="FF000000"/>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fill>
        <patternFill patternType="none">
          <fgColor rgb="FF000000"/>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rgb="FF000000"/>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rgb="FF000000"/>
        <name val="Calibri"/>
        <scheme val="minor"/>
      </font>
    </dxf>
    <dxf>
      <font>
        <b/>
        <strike val="0"/>
        <outline val="0"/>
        <shadow val="0"/>
        <u val="none"/>
        <vertAlign val="baseline"/>
        <sz val="8"/>
        <color rgb="FF000000"/>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fill>
        <patternFill patternType="none">
          <fgColor rgb="FF000000"/>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rgb="FF000000"/>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rgb="FF000000"/>
        <name val="Calibri"/>
        <scheme val="minor"/>
      </font>
    </dxf>
    <dxf>
      <font>
        <strike val="0"/>
        <outline val="0"/>
        <shadow val="0"/>
        <u val="none"/>
        <vertAlign val="baseline"/>
        <sz val="8"/>
        <color rgb="FF000000"/>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fill>
        <patternFill patternType="none">
          <fgColor rgb="FF000000"/>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rgb="FF000000"/>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rgb="FF000000"/>
        <name val="Calibri"/>
        <scheme val="minor"/>
      </font>
    </dxf>
    <dxf>
      <font>
        <b/>
        <strike val="0"/>
        <outline val="0"/>
        <shadow val="0"/>
        <u val="none"/>
        <vertAlign val="baseline"/>
        <sz val="8"/>
        <color rgb="FF000000"/>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rgb="FF000000"/>
        <name val="Calibri"/>
        <scheme val="minor"/>
      </font>
    </dxf>
    <dxf>
      <font>
        <strike val="0"/>
        <outline val="0"/>
        <shadow val="0"/>
        <u val="none"/>
        <vertAlign val="baseline"/>
        <sz val="8"/>
        <color rgb="FF000000"/>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b/>
        <strike val="0"/>
        <outline val="0"/>
        <shadow val="0"/>
        <u val="none"/>
        <vertAlign val="baseline"/>
        <sz val="8"/>
        <color theme="1"/>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b/>
        <strike val="0"/>
        <outline val="0"/>
        <shadow val="0"/>
        <u val="none"/>
        <vertAlign val="baseline"/>
        <sz val="8"/>
        <color theme="1"/>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b/>
        <strike val="0"/>
        <outline val="0"/>
        <shadow val="0"/>
        <u val="none"/>
        <vertAlign val="baseline"/>
        <sz val="8"/>
        <color theme="1"/>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b/>
        <strike val="0"/>
        <outline val="0"/>
        <shadow val="0"/>
        <u val="none"/>
        <vertAlign val="baseline"/>
        <sz val="8"/>
        <color theme="1"/>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b/>
        <strike val="0"/>
        <outline val="0"/>
        <shadow val="0"/>
        <u val="none"/>
        <vertAlign val="baseline"/>
        <sz val="8"/>
        <color theme="1"/>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b/>
        <strike val="0"/>
        <outline val="0"/>
        <shadow val="0"/>
        <u val="none"/>
        <vertAlign val="baseline"/>
        <sz val="8"/>
        <color theme="1"/>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b/>
        <strike val="0"/>
        <outline val="0"/>
        <shadow val="0"/>
        <u val="none"/>
        <vertAlign val="baseline"/>
        <sz val="8"/>
        <color theme="1"/>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b/>
        <strike val="0"/>
        <outline val="0"/>
        <shadow val="0"/>
        <u val="none"/>
        <vertAlign val="baseline"/>
        <sz val="8"/>
        <color theme="1"/>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fill>
        <patternFill patternType="none">
          <fgColor indexed="64"/>
          <bgColor auto="1"/>
        </patternFill>
      </fill>
    </dxf>
    <dxf>
      <font>
        <b/>
        <strike val="0"/>
        <outline val="0"/>
        <shadow val="0"/>
        <u val="none"/>
        <vertAlign val="baseline"/>
        <sz val="8"/>
        <color theme="1"/>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b/>
        <strike val="0"/>
        <outline val="0"/>
        <shadow val="0"/>
        <u val="none"/>
        <vertAlign val="baseline"/>
        <sz val="8"/>
        <color theme="1"/>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b/>
        <strike val="0"/>
        <outline val="0"/>
        <shadow val="0"/>
        <u val="none"/>
        <vertAlign val="baseline"/>
        <sz val="8"/>
        <color theme="1"/>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b/>
        <strike val="0"/>
        <outline val="0"/>
        <shadow val="0"/>
        <u val="none"/>
        <vertAlign val="baseline"/>
        <sz val="8"/>
        <color theme="1"/>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b/>
        <strike val="0"/>
        <outline val="0"/>
        <shadow val="0"/>
        <u val="none"/>
        <vertAlign val="baseline"/>
        <sz val="8"/>
        <color theme="1"/>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theme="1"/>
        <name val="Calibri"/>
        <scheme val="minor"/>
      </font>
    </dxf>
    <dxf>
      <font>
        <b/>
        <strike val="0"/>
        <outline val="0"/>
        <shadow val="0"/>
        <u val="none"/>
        <vertAlign val="baseline"/>
        <sz val="8"/>
        <color theme="1"/>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numFmt numFmtId="0" formatCode="General"/>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border diagonalUp="0" diagonalDown="0" outline="0">
        <left style="thin">
          <color indexed="64"/>
        </left>
        <right style="thin">
          <color auto="1"/>
        </right>
        <top style="thin">
          <color auto="1"/>
        </top>
        <bottom style="thin">
          <color auto="1"/>
        </bottom>
      </border>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alignment horizontal="center" vertical="bottom" textRotation="0" wrapText="0" indent="0" justifyLastLine="0" shrinkToFit="0" readingOrder="0"/>
      <border diagonalUp="0" diagonalDown="0" outline="0">
        <left style="thin">
          <color indexed="64"/>
        </left>
        <right style="thin">
          <color auto="1"/>
        </right>
        <top style="thin">
          <color auto="1"/>
        </top>
        <bottom style="thin">
          <color auto="1"/>
        </bottom>
      </border>
    </dxf>
    <dxf>
      <font>
        <strike val="0"/>
        <outline val="0"/>
        <shadow val="0"/>
        <u val="none"/>
        <vertAlign val="baseline"/>
        <name val="Calibri"/>
        <scheme val="minor"/>
      </font>
      <numFmt numFmtId="168" formatCode="&quot;$&quot;#,##0.0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numFmt numFmtId="168" formatCode="&quot;$&quot;#,##0.00"/>
      <alignment horizontal="center" vertical="bottom" textRotation="0" wrapText="0" indent="0" justifyLastLine="0" shrinkToFit="0" readingOrder="0"/>
      <border diagonalUp="0" diagonalDown="0" outline="0">
        <left style="thin">
          <color indexed="64"/>
        </left>
        <right style="thin">
          <color indexed="64"/>
        </right>
        <top style="thin">
          <color auto="1"/>
        </top>
        <bottom style="thin">
          <color auto="1"/>
        </bottom>
      </border>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alignment horizontal="center" vertical="bottom" textRotation="0" wrapText="0" indent="0" justifyLastLine="0" shrinkToFit="0" readingOrder="0"/>
      <border diagonalUp="0" diagonalDown="0" outline="0">
        <left style="thin">
          <color indexed="64"/>
        </left>
        <right style="thin">
          <color indexed="64"/>
        </right>
        <top style="thin">
          <color auto="1"/>
        </top>
        <bottom style="thin">
          <color auto="1"/>
        </bottom>
      </border>
    </dxf>
    <dxf>
      <font>
        <strike val="0"/>
        <outline val="0"/>
        <shadow val="0"/>
        <u val="none"/>
        <vertAlign val="baseline"/>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alignment horizontal="center" vertical="bottom"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b val="0"/>
        <i val="0"/>
        <strike val="0"/>
        <condense val="0"/>
        <extend val="0"/>
        <outline val="0"/>
        <shadow val="0"/>
        <u val="none"/>
        <vertAlign val="baseline"/>
        <sz val="8"/>
        <color theme="1"/>
        <name val="Calibri"/>
        <scheme val="minor"/>
      </font>
      <numFmt numFmtId="4" formatCode="#,##0.00"/>
      <fill>
        <patternFill patternType="none">
          <fgColor indexed="64"/>
          <bgColor auto="1"/>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b val="0"/>
        <i val="0"/>
        <strike val="0"/>
        <condense val="0"/>
        <extend val="0"/>
        <outline val="0"/>
        <shadow val="0"/>
        <u val="none"/>
        <vertAlign val="baseline"/>
        <sz val="8"/>
        <color theme="1"/>
        <name val="Calibri"/>
        <scheme val="minor"/>
      </font>
      <numFmt numFmtId="19" formatCode="m/d/yyyy"/>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theme="1"/>
        <name val="Calibri"/>
        <scheme val="minor"/>
      </font>
    </dxf>
    <dxf>
      <font>
        <b/>
        <strike val="0"/>
        <outline val="0"/>
        <shadow val="0"/>
        <u val="none"/>
        <vertAlign val="baseline"/>
        <sz val="8"/>
        <color theme="1"/>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numFmt numFmtId="0" formatCode="General"/>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0" formatCode="General"/>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0" formatCode="General"/>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0" formatCode="General"/>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0" formatCode="General"/>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fill>
        <patternFill patternType="none">
          <fgColor indexed="64"/>
          <bgColor auto="1"/>
        </patternFill>
      </fill>
    </dxf>
    <dxf>
      <font>
        <strike val="0"/>
        <outline val="0"/>
        <shadow val="0"/>
        <u val="none"/>
        <vertAlign val="baseline"/>
        <name val="Calibri"/>
        <scheme val="minor"/>
      </font>
      <border diagonalUp="0" diagonalDown="0" outline="0">
        <left style="thin">
          <color auto="1"/>
        </left>
        <right style="thin">
          <color auto="1"/>
        </right>
        <top/>
        <bottom/>
      </border>
    </dxf>
    <dxf>
      <font>
        <strike val="0"/>
        <outline val="0"/>
        <shadow val="0"/>
        <u val="none"/>
        <vertAlign val="baseline"/>
        <name val="Calibri"/>
        <scheme val="minor"/>
      </font>
      <border diagonalUp="0" diagonalDown="0" outline="0">
        <left style="thin">
          <color auto="1"/>
        </left>
        <right style="thin">
          <color auto="1"/>
        </right>
        <top/>
        <bottom/>
      </border>
    </dxf>
    <dxf>
      <font>
        <strike val="0"/>
        <outline val="0"/>
        <shadow val="0"/>
        <u val="none"/>
        <vertAlign val="baseline"/>
        <name val="Calibri"/>
        <scheme val="minor"/>
      </font>
    </dxf>
    <dxf>
      <font>
        <strike val="0"/>
        <outline val="0"/>
        <shadow val="0"/>
        <u val="none"/>
        <vertAlign val="baseline"/>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numFmt numFmtId="19" formatCode="m/d/yyyy"/>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theme="1"/>
        <name val="Calibri"/>
        <scheme val="minor"/>
      </font>
    </dxf>
    <dxf>
      <font>
        <b/>
        <strike val="0"/>
        <outline val="0"/>
        <shadow val="0"/>
        <u val="none"/>
        <vertAlign val="baseline"/>
        <sz val="8"/>
        <color theme="1"/>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numFmt numFmtId="4" formatCode="#,##0.00"/>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center" vertical="bottom" textRotation="0" wrapText="0" indent="0" justifyLastLine="0" shrinkToFit="0" readingOrder="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alignment horizontal="center" vertical="bottom" textRotation="0" wrapText="0" indent="0" justifyLastLine="0" shrinkToFit="0" readingOrder="0"/>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name val="Calibri"/>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numFmt numFmtId="168" formatCode="&quot;$&quot;#,##0.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theme="1"/>
        <name val="Calibri"/>
        <scheme val="minor"/>
      </font>
    </dxf>
    <dxf>
      <font>
        <b/>
        <strike val="0"/>
        <outline val="0"/>
        <shadow val="0"/>
        <u val="none"/>
        <vertAlign val="baseline"/>
        <sz val="8"/>
        <color theme="1"/>
        <name val="Calibri"/>
        <scheme val="minor"/>
      </font>
    </dxf>
    <dxf>
      <font>
        <strike val="0"/>
        <outline val="0"/>
        <shadow val="0"/>
        <u val="none"/>
        <vertAlign val="baseline"/>
        <sz val="9"/>
        <color theme="1"/>
        <name val="Calibri"/>
        <scheme val="minor"/>
      </font>
      <alignment horizontal="left" vertical="bottom" textRotation="0" wrapText="0" relative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strike val="0"/>
        <outline val="0"/>
        <shadow val="0"/>
        <u val="none"/>
        <vertAlign val="baseline"/>
        <sz val="8"/>
        <color theme="1"/>
        <name val="Calibri"/>
        <scheme val="minor"/>
      </font>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strike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numFmt numFmtId="0" formatCode="General"/>
      <fill>
        <patternFill patternType="solid">
          <fgColor indexed="64"/>
          <bgColor theme="0" tint="-4.9989318521683403E-2"/>
        </patternFill>
      </fill>
      <alignment horizontal="left" vertical="bottom" textRotation="0" wrapText="0" indent="1" justifyLastLine="0" shrinkToFit="0" readingOrder="0"/>
      <protection locked="1" hidden="0"/>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0" formatCode="General"/>
      <fill>
        <patternFill patternType="none">
          <fgColor indexed="64"/>
          <bgColor indexed="65"/>
        </patternFill>
      </fill>
      <alignment horizontal="left" vertical="bottom" textRotation="0" wrapText="0" indent="1" justifyLastLine="0" shrinkToFit="0" readingOrder="0"/>
      <protection locked="1" hidden="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0" formatCode="General"/>
      <fill>
        <patternFill patternType="none">
          <fgColor indexed="64"/>
          <bgColor indexed="65"/>
        </patternFill>
      </fill>
      <alignment horizontal="left" vertical="bottom" textRotation="0" wrapText="0" indent="1" justifyLastLine="0" shrinkToFit="0" readingOrder="0"/>
      <protection locked="1" hidden="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protection locked="1" hidden="0"/>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0" formatCode="General"/>
      <fill>
        <patternFill patternType="none">
          <fgColor indexed="64"/>
          <bgColor indexed="65"/>
        </patternFill>
      </fill>
      <alignment horizontal="left" vertical="bottom" textRotation="0" wrapText="0" indent="1" justifyLastLine="0" shrinkToFit="0" readingOrder="0"/>
      <protection locked="1" hidden="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0" formatCode="General"/>
      <fill>
        <patternFill patternType="solid">
          <fgColor indexed="64"/>
          <bgColor theme="0" tint="-4.9989318521683403E-2"/>
        </patternFill>
      </fill>
      <alignment horizontal="left" vertical="bottom" textRotation="0" wrapText="0" indent="1" justifyLastLine="0" shrinkToFit="0" readingOrder="0"/>
      <protection locked="1" hidden="0"/>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name val="Calibri"/>
        <scheme val="minor"/>
      </font>
    </dxf>
    <dxf>
      <font>
        <strike val="0"/>
        <outline val="0"/>
        <shadow val="0"/>
        <u val="none"/>
        <vertAlign val="baseline"/>
        <name val="Calibri"/>
        <scheme val="minor"/>
      </font>
    </dxf>
    <dxf>
      <font>
        <b val="0"/>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19" formatCode="m/d/yyyy"/>
      <fill>
        <patternFill patternType="solid">
          <fgColor indexed="64"/>
          <bgColor theme="0" tint="-4.9989318521683403E-2"/>
        </patternFill>
      </fill>
      <alignment horizontal="left" vertical="bottom" textRotation="0" wrapText="0" indent="1"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8"/>
        <color theme="1"/>
        <name val="Calibri"/>
        <scheme val="minor"/>
      </font>
    </dxf>
    <dxf>
      <font>
        <strike val="0"/>
        <outline val="0"/>
        <shadow val="0"/>
        <u val="none"/>
        <vertAlign val="baseline"/>
        <sz val="8"/>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dxf>
    <dxf>
      <font>
        <b val="0"/>
        <i val="0"/>
        <strike val="0"/>
        <condense val="0"/>
        <extend val="0"/>
        <outline val="0"/>
        <shadow val="0"/>
        <u val="none"/>
        <vertAlign val="baseline"/>
        <sz val="8"/>
        <color theme="1"/>
        <name val="Calibri"/>
        <scheme val="minor"/>
      </font>
      <numFmt numFmtId="4" formatCode="#,##0.00"/>
    </dxf>
    <dxf>
      <font>
        <strike val="0"/>
        <outline val="0"/>
        <shadow val="0"/>
        <vertAlign val="baseline"/>
        <name val="Calibri"/>
        <scheme val="minor"/>
      </font>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dxf>
    <dxf>
      <font>
        <b val="0"/>
        <i val="0"/>
        <strike val="0"/>
        <outline val="0"/>
        <shadow val="0"/>
        <u val="none"/>
        <vertAlign val="baseline"/>
        <sz val="8"/>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fill>
        <patternFill patternType="solid">
          <fgColor indexed="64"/>
          <bgColor theme="0" tint="-4.9989318521683403E-2"/>
        </patternFill>
      </fill>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numFmt numFmtId="4" formatCode="#,##0.00"/>
      <alignment horizontal="right" vertical="bottom" textRotation="0" wrapText="0" indent="1" justifyLastLine="0" shrinkToFit="0" readingOrder="0"/>
    </dxf>
    <dxf>
      <font>
        <b val="0"/>
        <i val="0"/>
        <strike val="0"/>
        <outline val="0"/>
        <shadow val="0"/>
        <u val="none"/>
        <vertAlign val="baseline"/>
        <sz val="8"/>
        <color theme="1"/>
        <name val="Calibri"/>
        <scheme val="minor"/>
      </font>
      <alignment horizontal="right" vertical="bottom"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ri"/>
        <scheme val="minor"/>
      </font>
      <fill>
        <patternFill patternType="solid">
          <fgColor indexed="64"/>
          <bgColor theme="0" tint="-4.9989318521683403E-2"/>
        </patternFill>
      </fill>
      <alignment horizontal="left" vertical="bottom" textRotation="0" wrapText="0" indent="1" justifyLastLine="0" shrinkToFit="0" readingOrder="0"/>
    </dxf>
    <dxf>
      <font>
        <b val="0"/>
        <i val="0"/>
        <strike val="0"/>
        <outline val="0"/>
        <shadow val="0"/>
        <u val="none"/>
        <vertAlign val="baseline"/>
        <sz val="8"/>
        <color theme="1"/>
        <name val="Calibri"/>
        <scheme val="minor"/>
      </font>
      <alignment horizontal="left" vertical="bottom" textRotation="0" wrapText="0" indent="1" justifyLastLine="0" shrinkToFit="0" readingOrder="0"/>
    </dxf>
    <dxf>
      <font>
        <b val="0"/>
        <i val="0"/>
        <strike val="0"/>
        <condense val="0"/>
        <extend val="0"/>
        <outline val="0"/>
        <shadow val="0"/>
        <u val="none"/>
        <vertAlign val="baseline"/>
        <sz val="8"/>
        <color theme="1"/>
        <name val="Calibri Light"/>
        <scheme val="major"/>
      </font>
      <numFmt numFmtId="4" formatCode="#,##0.00"/>
      <fill>
        <patternFill patternType="solid">
          <fgColor indexed="64"/>
          <bgColor theme="0" tint="-4.9989318521683403E-2"/>
        </patternFill>
      </fill>
    </dxf>
    <dxf>
      <font>
        <b val="0"/>
        <i val="0"/>
        <strike val="0"/>
        <outline val="0"/>
        <shadow val="0"/>
        <u val="none"/>
        <vertAlign val="baseline"/>
        <sz val="8"/>
        <color theme="1"/>
      </font>
      <numFmt numFmtId="4" formatCode="#,##0.00"/>
      <alignment horizontal="righ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8"/>
        <color theme="1"/>
      </font>
      <alignment horizontal="righ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8"/>
        <color theme="1"/>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8"/>
        <color theme="1"/>
      </font>
      <alignment horizontal="righ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8"/>
        <color theme="1"/>
      </font>
      <alignment horizontal="righ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8"/>
        <color theme="1"/>
      </font>
      <alignment horizontal="righ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8"/>
        <color theme="1"/>
      </font>
      <alignment horizontal="righ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8"/>
        <color theme="1"/>
      </font>
      <alignment horizontal="righ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8"/>
        <color theme="1"/>
      </font>
      <alignment horizontal="righ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8"/>
        <color theme="1"/>
      </font>
      <alignment horizontal="righ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8"/>
        <color theme="1"/>
      </font>
      <alignment horizontal="righ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8"/>
        <color theme="1"/>
      </font>
      <alignment horizontal="righ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8"/>
        <color theme="1"/>
      </font>
      <alignment horizontal="right" vertical="bottom"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8"/>
        <color theme="1"/>
        <name val="Calibri Light"/>
        <scheme val="major"/>
      </font>
      <alignment horizontal="left" vertical="bottom" textRotation="0" wrapText="0" indent="1" justifyLastLine="0" shrinkToFit="0" readingOrder="0"/>
    </dxf>
    <dxf>
      <font>
        <strike val="0"/>
        <outline val="0"/>
        <shadow val="0"/>
        <u val="none"/>
        <vertAlign val="baseline"/>
        <sz val="8"/>
        <color theme="1"/>
        <name val="Calibri Light"/>
        <scheme val="major"/>
      </font>
    </dxf>
    <dxf>
      <font>
        <strike val="0"/>
        <outline val="0"/>
        <shadow val="0"/>
        <u val="none"/>
        <vertAlign val="baseline"/>
        <sz val="8"/>
        <color theme="1"/>
        <name val="Calibri Light"/>
        <scheme val="major"/>
      </font>
    </dxf>
    <dxf>
      <font>
        <strike val="0"/>
        <outline val="0"/>
        <shadow val="0"/>
        <u val="none"/>
        <vertAlign val="baseline"/>
        <sz val="9"/>
        <color theme="1"/>
        <name val="Calibri Light"/>
        <scheme val="major"/>
      </font>
    </dxf>
    <dxf>
      <fill>
        <patternFill>
          <bgColor theme="0" tint="-4.9989318521683403E-2"/>
        </patternFill>
      </fill>
    </dxf>
    <dxf>
      <fill>
        <patternFill>
          <bgColor theme="0" tint="-4.9989318521683403E-2"/>
        </patternFill>
      </fill>
    </dxf>
    <dxf>
      <font>
        <b/>
        <i val="0"/>
        <color theme="1"/>
      </font>
      <fill>
        <patternFill patternType="none">
          <bgColor auto="1"/>
        </patternFill>
      </fill>
      <border>
        <left/>
        <right/>
        <top style="thin">
          <color theme="0" tint="-0.14996795556505021"/>
        </top>
        <bottom style="thin">
          <color theme="1" tint="0.499984740745262"/>
        </bottom>
        <vertical style="thin">
          <color theme="0" tint="-0.14996795556505021"/>
        </vertical>
        <horizontal/>
      </border>
    </dxf>
    <dxf>
      <font>
        <b/>
        <i val="0"/>
        <color theme="1"/>
      </font>
      <fill>
        <patternFill patternType="none">
          <bgColor auto="1"/>
        </patternFill>
      </fill>
      <border>
        <left/>
        <right/>
        <top style="thin">
          <color theme="1" tint="0.499984740745262"/>
        </top>
        <bottom style="thin">
          <color theme="0" tint="-0.14996795556505021"/>
        </bottom>
        <vertical/>
        <horizontal/>
      </border>
    </dxf>
    <dxf>
      <font>
        <b val="0"/>
        <i val="0"/>
        <color theme="1"/>
      </font>
      <fill>
        <patternFill patternType="none">
          <bgColor auto="1"/>
        </patternFill>
      </fill>
      <border diagonalUp="0" diagonalDown="0">
        <left/>
        <right/>
        <top/>
        <bottom/>
        <vertical style="thin">
          <color theme="0" tint="-0.14996795556505021"/>
        </vertical>
        <horizontal/>
      </border>
    </dxf>
  </dxfs>
  <tableStyles count="1" defaultTableStyle="TableStyleMedium2" defaultPivotStyle="PivotStyleLight16">
    <tableStyle name="Summary Table" pivot="0" count="5">
      <tableStyleElement type="wholeTable" dxfId="4342"/>
      <tableStyleElement type="headerRow" dxfId="4341"/>
      <tableStyleElement type="totalRow" dxfId="4340"/>
      <tableStyleElement type="firstColumn" dxfId="4339"/>
      <tableStyleElement type="firstColumnStripe" dxfId="433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18.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13.xml"/><Relationship Id="rId110" Type="http://schemas.openxmlformats.org/officeDocument/2006/relationships/externalLink" Target="externalLinks/externalLink21.xml"/><Relationship Id="rId115"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1.xml"/><Relationship Id="rId105" Type="http://schemas.openxmlformats.org/officeDocument/2006/relationships/externalLink" Target="externalLinks/externalLink16.xml"/><Relationship Id="rId113"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4.xml"/><Relationship Id="rId98"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4.xml"/><Relationship Id="rId108" Type="http://schemas.openxmlformats.org/officeDocument/2006/relationships/externalLink" Target="externalLinks/externalLink19.xml"/><Relationship Id="rId11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7.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5.xml"/><Relationship Id="rId99" Type="http://schemas.openxmlformats.org/officeDocument/2006/relationships/externalLink" Target="externalLinks/externalLink10.xml"/><Relationship Id="rId10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8.xml"/><Relationship Id="rId104" Type="http://schemas.openxmlformats.org/officeDocument/2006/relationships/externalLink" Target="externalLinks/externalLink1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201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201 summary'!$C$19:$P$19</c15:sqref>
                  </c15:fullRef>
                </c:ext>
              </c:extLst>
              <c:f>'Bus 201 summary'!$C$19:$N$19</c:f>
              <c:numCache>
                <c:formatCode>#,##0.00</c:formatCode>
                <c:ptCount val="12"/>
                <c:pt idx="6">
                  <c:v>290.64999999999998</c:v>
                </c:pt>
                <c:pt idx="8">
                  <c:v>496.29</c:v>
                </c:pt>
              </c:numCache>
            </c:numRef>
          </c:val>
          <c:extLst xmlns:c16r2="http://schemas.microsoft.com/office/drawing/2015/06/chart">
            <c:ext xmlns:c16="http://schemas.microsoft.com/office/drawing/2014/chart" uri="{C3380CC4-5D6E-409C-BE32-E72D297353CC}">
              <c16:uniqueId val="{00000000-3883-4FDF-BB66-E48645E84684}"/>
            </c:ext>
          </c:extLst>
        </c:ser>
        <c:ser>
          <c:idx val="1"/>
          <c:order val="1"/>
          <c:tx>
            <c:strRef>
              <c:f>'Bus 201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201 summary'!$C$20:$P$20</c15:sqref>
                  </c15:fullRef>
                </c:ext>
              </c:extLst>
              <c:f>'Bus 201 summary'!$C$20:$N$20</c:f>
              <c:numCache>
                <c:formatCode>#,##0.00</c:formatCode>
                <c:ptCount val="12"/>
              </c:numCache>
            </c:numRef>
          </c:val>
          <c:extLst xmlns:c16r2="http://schemas.microsoft.com/office/drawing/2015/06/chart">
            <c:ext xmlns:c16="http://schemas.microsoft.com/office/drawing/2014/chart" uri="{C3380CC4-5D6E-409C-BE32-E72D297353CC}">
              <c16:uniqueId val="{00000001-3883-4FDF-BB66-E48645E84684}"/>
            </c:ext>
          </c:extLst>
        </c:ser>
        <c:ser>
          <c:idx val="2"/>
          <c:order val="2"/>
          <c:tx>
            <c:strRef>
              <c:f>'Bus 201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201 summary'!$C$21:$P$21</c15:sqref>
                  </c15:fullRef>
                </c:ext>
              </c:extLst>
              <c:f>'Bus 201 summary'!$C$21:$N$21</c:f>
              <c:numCache>
                <c:formatCode>#,##0.00</c:formatCode>
                <c:ptCount val="12"/>
              </c:numCache>
            </c:numRef>
          </c:val>
          <c:extLst xmlns:c16r2="http://schemas.microsoft.com/office/drawing/2015/06/chart">
            <c:ext xmlns:c16="http://schemas.microsoft.com/office/drawing/2014/chart" uri="{C3380CC4-5D6E-409C-BE32-E72D297353CC}">
              <c16:uniqueId val="{00000002-3883-4FDF-BB66-E48645E84684}"/>
            </c:ext>
          </c:extLst>
        </c:ser>
        <c:ser>
          <c:idx val="3"/>
          <c:order val="3"/>
          <c:tx>
            <c:strRef>
              <c:f>'Bus 201 summary'!$B$22</c:f>
              <c:strCache>
                <c:ptCount val="1"/>
                <c:pt idx="0">
                  <c:v>CALIPERS</c:v>
                </c:pt>
              </c:strCache>
            </c:strRef>
          </c:tx>
          <c:spPr>
            <a:solidFill>
              <a:schemeClr val="accent4"/>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201 summary'!$C$22:$P$22</c15:sqref>
                  </c15:fullRef>
                </c:ext>
              </c:extLst>
              <c:f>'Bus 201 summary'!$C$22:$N$22</c:f>
              <c:numCache>
                <c:formatCode>#,##0.00</c:formatCode>
                <c:ptCount val="12"/>
              </c:numCache>
            </c:numRef>
          </c:val>
          <c:extLst xmlns:c16r2="http://schemas.microsoft.com/office/drawing/2015/06/chart">
            <c:ext xmlns:c16="http://schemas.microsoft.com/office/drawing/2014/chart" uri="{C3380CC4-5D6E-409C-BE32-E72D297353CC}">
              <c16:uniqueId val="{00000003-3883-4FDF-BB66-E48645E84684}"/>
            </c:ext>
          </c:extLst>
        </c:ser>
        <c:ser>
          <c:idx val="4"/>
          <c:order val="4"/>
          <c:tx>
            <c:strRef>
              <c:f>'Bus 201 summary'!$B$23</c:f>
              <c:strCache>
                <c:ptCount val="1"/>
                <c:pt idx="0">
                  <c:v>STARTERS</c:v>
                </c:pt>
              </c:strCache>
            </c:strRef>
          </c:tx>
          <c:spPr>
            <a:solidFill>
              <a:schemeClr val="accent5"/>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201 summary'!$C$23:$P$23</c15:sqref>
                  </c15:fullRef>
                </c:ext>
              </c:extLst>
              <c:f>'Bus 201 summary'!$C$23:$N$23</c:f>
              <c:numCache>
                <c:formatCode>#,##0.00</c:formatCode>
                <c:ptCount val="12"/>
              </c:numCache>
            </c:numRef>
          </c:val>
          <c:extLst xmlns:c16r2="http://schemas.microsoft.com/office/drawing/2015/06/chart">
            <c:ext xmlns:c16="http://schemas.microsoft.com/office/drawing/2014/chart" uri="{C3380CC4-5D6E-409C-BE32-E72D297353CC}">
              <c16:uniqueId val="{00000004-3883-4FDF-BB66-E48645E84684}"/>
            </c:ext>
          </c:extLst>
        </c:ser>
        <c:ser>
          <c:idx val="5"/>
          <c:order val="5"/>
          <c:tx>
            <c:strRef>
              <c:f>'Bus 201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201 summary'!$C$24:$P$24</c15:sqref>
                  </c15:fullRef>
                </c:ext>
              </c:extLst>
              <c:f>'Bus 201 summary'!$C$24:$N$24</c:f>
              <c:numCache>
                <c:formatCode>#,##0.00</c:formatCode>
                <c:ptCount val="12"/>
              </c:numCache>
            </c:numRef>
          </c:val>
          <c:extLst xmlns:c16r2="http://schemas.microsoft.com/office/drawing/2015/06/chart">
            <c:ext xmlns:c16="http://schemas.microsoft.com/office/drawing/2014/chart" uri="{C3380CC4-5D6E-409C-BE32-E72D297353CC}">
              <c16:uniqueId val="{00000005-3883-4FDF-BB66-E48645E84684}"/>
            </c:ext>
          </c:extLst>
        </c:ser>
        <c:ser>
          <c:idx val="6"/>
          <c:order val="6"/>
          <c:tx>
            <c:strRef>
              <c:f>'Bus 201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201 summary'!$C$25:$P$25</c15:sqref>
                  </c15:fullRef>
                </c:ext>
              </c:extLst>
              <c:f>'Bus 201 summary'!$C$25:$N$25</c:f>
              <c:numCache>
                <c:formatCode>#,##0.00</c:formatCode>
                <c:ptCount val="12"/>
              </c:numCache>
            </c:numRef>
          </c:val>
          <c:extLst xmlns:c16r2="http://schemas.microsoft.com/office/drawing/2015/06/chart">
            <c:ext xmlns:c16="http://schemas.microsoft.com/office/drawing/2014/chart" uri="{C3380CC4-5D6E-409C-BE32-E72D297353CC}">
              <c16:uniqueId val="{00000006-3883-4FDF-BB66-E48645E84684}"/>
            </c:ext>
          </c:extLst>
        </c:ser>
        <c:ser>
          <c:idx val="7"/>
          <c:order val="7"/>
          <c:tx>
            <c:strRef>
              <c:f>'Bus 201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201 summary'!$C$26:$P$26</c15:sqref>
                  </c15:fullRef>
                </c:ext>
              </c:extLst>
              <c:f>'Bus 201 summary'!$C$26:$N$26</c:f>
              <c:numCache>
                <c:formatCode>#,##0.00</c:formatCode>
                <c:ptCount val="12"/>
              </c:numCache>
            </c:numRef>
          </c:val>
          <c:extLst xmlns:c16r2="http://schemas.microsoft.com/office/drawing/2015/06/chart">
            <c:ext xmlns:c16="http://schemas.microsoft.com/office/drawing/2014/chart" uri="{C3380CC4-5D6E-409C-BE32-E72D297353CC}">
              <c16:uniqueId val="{00000007-3883-4FDF-BB66-E48645E84684}"/>
            </c:ext>
          </c:extLst>
        </c:ser>
        <c:ser>
          <c:idx val="8"/>
          <c:order val="8"/>
          <c:tx>
            <c:strRef>
              <c:f>'Bus 201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201 summary'!$C$27:$P$27</c15:sqref>
                  </c15:fullRef>
                </c:ext>
              </c:extLst>
              <c:f>'Bus 201 summary'!$C$27:$N$27</c:f>
              <c:numCache>
                <c:formatCode>#,##0.00</c:formatCode>
                <c:ptCount val="12"/>
              </c:numCache>
            </c:numRef>
          </c:val>
          <c:extLst xmlns:c16r2="http://schemas.microsoft.com/office/drawing/2015/06/chart">
            <c:ext xmlns:c16="http://schemas.microsoft.com/office/drawing/2014/chart" uri="{C3380CC4-5D6E-409C-BE32-E72D297353CC}">
              <c16:uniqueId val="{00000008-3883-4FDF-BB66-E48645E84684}"/>
            </c:ext>
          </c:extLst>
        </c:ser>
        <c:ser>
          <c:idx val="9"/>
          <c:order val="9"/>
          <c:tx>
            <c:strRef>
              <c:f>'Bus 201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201 summary'!$C$28:$P$28</c15:sqref>
                  </c15:fullRef>
                </c:ext>
              </c:extLst>
              <c:f>'Bus 201 summary'!$C$28:$N$28</c:f>
            </c:numRef>
          </c:val>
          <c:extLst xmlns:c16r2="http://schemas.microsoft.com/office/drawing/2015/06/chart">
            <c:ext xmlns:c16="http://schemas.microsoft.com/office/drawing/2014/chart" uri="{C3380CC4-5D6E-409C-BE32-E72D297353CC}">
              <c16:uniqueId val="{00000009-3883-4FDF-BB66-E48645E84684}"/>
            </c:ext>
          </c:extLst>
        </c:ser>
        <c:ser>
          <c:idx val="10"/>
          <c:order val="10"/>
          <c:tx>
            <c:strRef>
              <c:f>'Bus 201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201 summary'!$C$29:$P$29</c15:sqref>
                  </c15:fullRef>
                </c:ext>
              </c:extLst>
              <c:f>'Bus 201 summary'!$C$29:$N$29</c:f>
            </c:numRef>
          </c:val>
          <c:extLst xmlns:c16r2="http://schemas.microsoft.com/office/drawing/2015/06/chart">
            <c:ext xmlns:c16="http://schemas.microsoft.com/office/drawing/2014/chart" uri="{C3380CC4-5D6E-409C-BE32-E72D297353CC}">
              <c16:uniqueId val="{0000000A-3883-4FDF-BB66-E48645E84684}"/>
            </c:ext>
          </c:extLst>
        </c:ser>
        <c:ser>
          <c:idx val="11"/>
          <c:order val="11"/>
          <c:tx>
            <c:strRef>
              <c:f>'Bus 201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201 summary'!$C$30:$P$30</c15:sqref>
                  </c15:fullRef>
                </c:ext>
              </c:extLst>
              <c:f>'Bus 201 summary'!$C$30:$N$30</c:f>
            </c:numRef>
          </c:val>
          <c:extLst xmlns:c16r2="http://schemas.microsoft.com/office/drawing/2015/06/chart">
            <c:ext xmlns:c16="http://schemas.microsoft.com/office/drawing/2014/chart" uri="{C3380CC4-5D6E-409C-BE32-E72D297353CC}">
              <c16:uniqueId val="{0000000B-3883-4FDF-BB66-E48645E84684}"/>
            </c:ext>
          </c:extLst>
        </c:ser>
        <c:ser>
          <c:idx val="12"/>
          <c:order val="12"/>
          <c:tx>
            <c:strRef>
              <c:f>'Bus 201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201 summary'!$C$31:$P$31</c15:sqref>
                  </c15:fullRef>
                </c:ext>
              </c:extLst>
              <c:f>'Bus 201 summary'!$C$31:$N$31</c:f>
            </c:numRef>
          </c:val>
          <c:extLst xmlns:c16r2="http://schemas.microsoft.com/office/drawing/2015/06/chart">
            <c:ext xmlns:c16="http://schemas.microsoft.com/office/drawing/2014/chart" uri="{C3380CC4-5D6E-409C-BE32-E72D297353CC}">
              <c16:uniqueId val="{0000000C-3883-4FDF-BB66-E48645E84684}"/>
            </c:ext>
          </c:extLst>
        </c:ser>
        <c:ser>
          <c:idx val="13"/>
          <c:order val="13"/>
          <c:tx>
            <c:strRef>
              <c:f>'Bus 201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201 summary'!$C$32:$P$32</c15:sqref>
                  </c15:fullRef>
                </c:ext>
              </c:extLst>
              <c:f>'Bus 201 summary'!$C$32:$N$32</c:f>
              <c:numCache>
                <c:formatCode>#,##0.00</c:formatCode>
                <c:ptCount val="12"/>
              </c:numCache>
            </c:numRef>
          </c:val>
          <c:extLst xmlns:c16r2="http://schemas.microsoft.com/office/drawing/2015/06/chart">
            <c:ext xmlns:c16="http://schemas.microsoft.com/office/drawing/2014/chart" uri="{C3380CC4-5D6E-409C-BE32-E72D297353CC}">
              <c16:uniqueId val="{0000000D-3883-4FDF-BB66-E48645E84684}"/>
            </c:ext>
          </c:extLst>
        </c:ser>
        <c:ser>
          <c:idx val="14"/>
          <c:order val="14"/>
          <c:tx>
            <c:strRef>
              <c:f>'Bus 201 summary'!$B$33</c:f>
              <c:strCache>
                <c:ptCount val="1"/>
                <c:pt idx="0">
                  <c:v>WARRANTY</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201 summary'!$C$33:$P$33</c15:sqref>
                  </c15:fullRef>
                </c:ext>
              </c:extLst>
              <c:f>'Bus 201 summary'!$C$33:$N$33</c:f>
              <c:numCache>
                <c:formatCode>#,##0.00</c:formatCode>
                <c:ptCount val="12"/>
              </c:numCache>
            </c:numRef>
          </c:val>
          <c:extLst xmlns:c16r2="http://schemas.microsoft.com/office/drawing/2015/06/chart">
            <c:ext xmlns:c16="http://schemas.microsoft.com/office/drawing/2014/chart" uri="{C3380CC4-5D6E-409C-BE32-E72D297353CC}">
              <c16:uniqueId val="{0000000E-3883-4FDF-BB66-E48645E84684}"/>
            </c:ext>
          </c:extLst>
        </c:ser>
        <c:ser>
          <c:idx val="15"/>
          <c:order val="15"/>
          <c:tx>
            <c:strRef>
              <c:f>'Bus 201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201 summary'!$C$34:$P$34</c15:sqref>
                  </c15:fullRef>
                </c:ext>
              </c:extLst>
              <c:f>'Bus 201 summary'!$C$34:$N$34</c:f>
              <c:numCache>
                <c:formatCode>#,##0.00</c:formatCode>
                <c:ptCount val="12"/>
              </c:numCache>
            </c:numRef>
          </c:val>
          <c:extLst xmlns:c16r2="http://schemas.microsoft.com/office/drawing/2015/06/chart">
            <c:ext xmlns:c16="http://schemas.microsoft.com/office/drawing/2014/chart" uri="{C3380CC4-5D6E-409C-BE32-E72D297353CC}">
              <c16:uniqueId val="{0000000F-3883-4FDF-BB66-E48645E84684}"/>
            </c:ext>
          </c:extLst>
        </c:ser>
        <c:ser>
          <c:idx val="16"/>
          <c:order val="16"/>
          <c:tx>
            <c:strRef>
              <c:f>'Bus 201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201 summary'!$C$35:$P$35</c15:sqref>
                  </c15:fullRef>
                </c:ext>
              </c:extLst>
              <c:f>'Bus 201 summary'!$C$35:$N$35</c:f>
              <c:numCache>
                <c:formatCode>#,##0.00</c:formatCode>
                <c:ptCount val="12"/>
                <c:pt idx="7">
                  <c:v>7.83</c:v>
                </c:pt>
              </c:numCache>
            </c:numRef>
          </c:val>
          <c:extLst xmlns:c16r2="http://schemas.microsoft.com/office/drawing/2015/06/chart">
            <c:ext xmlns:c16="http://schemas.microsoft.com/office/drawing/2014/chart" uri="{C3380CC4-5D6E-409C-BE32-E72D297353CC}">
              <c16:uniqueId val="{00000010-3883-4FDF-BB66-E48645E84684}"/>
            </c:ext>
          </c:extLst>
        </c:ser>
        <c:ser>
          <c:idx val="17"/>
          <c:order val="17"/>
          <c:tx>
            <c:strRef>
              <c:f>'Bus 201 summary'!$B$36</c:f>
              <c:strCache>
                <c:ptCount val="1"/>
                <c:pt idx="0">
                  <c:v>OIL BULK/OTHER</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201 summary'!$C$36:$P$36</c15:sqref>
                  </c15:fullRef>
                </c:ext>
              </c:extLst>
              <c:f>'Bus 201 summary'!$C$36:$N$36</c:f>
              <c:numCache>
                <c:formatCode>#,##0.00</c:formatCode>
                <c:ptCount val="12"/>
              </c:numCache>
            </c:numRef>
          </c:val>
          <c:extLst xmlns:c16r2="http://schemas.microsoft.com/office/drawing/2015/06/chart">
            <c:ext xmlns:c16="http://schemas.microsoft.com/office/drawing/2014/chart" uri="{C3380CC4-5D6E-409C-BE32-E72D297353CC}">
              <c16:uniqueId val="{00000011-3883-4FDF-BB66-E48645E84684}"/>
            </c:ext>
          </c:extLst>
        </c:ser>
        <c:ser>
          <c:idx val="18"/>
          <c:order val="18"/>
          <c:tx>
            <c:strRef>
              <c:f>'Bus 201 summary'!$B$37</c:f>
              <c:strCache>
                <c:ptCount val="1"/>
                <c:pt idx="0">
                  <c:v>OTHER PARTS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201 summary'!$C$37:$P$37</c15:sqref>
                  </c15:fullRef>
                </c:ext>
              </c:extLst>
              <c:f>'Bus 201 summary'!$C$37:$N$37</c:f>
              <c:numCache>
                <c:formatCode>#,##0.00</c:formatCode>
                <c:ptCount val="12"/>
                <c:pt idx="6">
                  <c:v>17.91</c:v>
                </c:pt>
              </c:numCache>
            </c:numRef>
          </c:val>
          <c:extLst xmlns:c16r2="http://schemas.microsoft.com/office/drawing/2015/06/chart">
            <c:ext xmlns:c16="http://schemas.microsoft.com/office/drawing/2014/chart" uri="{C3380CC4-5D6E-409C-BE32-E72D297353CC}">
              <c16:uniqueId val="{00000012-3883-4FDF-BB66-E48645E84684}"/>
            </c:ext>
          </c:extLst>
        </c:ser>
        <c:ser>
          <c:idx val="19"/>
          <c:order val="19"/>
          <c:tx>
            <c:strRef>
              <c:f>'Bus 201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'Bus 201 summary'!$C$18:$P$18</c15:sqref>
                  </c15:fullRef>
                </c:ext>
              </c:extLst>
              <c:f>'Bus 201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201 summary'!$C$38:$P$38</c15:sqref>
                  </c15:fullRef>
                </c:ext>
              </c:extLst>
              <c:f>'Bus 201 summary'!$C$38:$N$38</c:f>
              <c:numCache>
                <c:formatCode>#,##0.00</c:formatCode>
                <c:ptCount val="12"/>
                <c:pt idx="6">
                  <c:v>10</c:v>
                </c:pt>
                <c:pt idx="7">
                  <c:v>10</c:v>
                </c:pt>
              </c:numCache>
            </c:numRef>
          </c:val>
          <c:extLst xmlns:c16r2="http://schemas.microsoft.com/office/drawing/2015/06/chart">
            <c:ext xmlns:c16="http://schemas.microsoft.com/office/drawing/2014/chart" uri="{C3380CC4-5D6E-409C-BE32-E72D297353CC}">
              <c16:uniqueId val="{00000013-3883-4FDF-BB66-E48645E84684}"/>
            </c:ext>
          </c:extLst>
        </c:ser>
        <c:dLbls>
          <c:showLegendKey val="0"/>
          <c:showVal val="0"/>
          <c:showCatName val="0"/>
          <c:showSerName val="0"/>
          <c:showPercent val="0"/>
          <c:showBubbleSize val="0"/>
        </c:dLbls>
        <c:gapWidth val="150"/>
        <c:axId val="663626648"/>
        <c:axId val="663627432"/>
      </c:barChart>
      <c:catAx>
        <c:axId val="663626648"/>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63627432"/>
        <c:crosses val="autoZero"/>
        <c:auto val="1"/>
        <c:lblAlgn val="ctr"/>
        <c:lblOffset val="100"/>
        <c:noMultiLvlLbl val="0"/>
      </c:catAx>
      <c:valAx>
        <c:axId val="663627432"/>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63626648"/>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866728171240174"/>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'302 Chart'!$C$4:$C$5</c:f>
              <c:strCache>
                <c:ptCount val="2"/>
                <c:pt idx="0">
                  <c:v>Projected Cost-Current Maintenance Practices, $109,252  </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'302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'302 Chart'!$C$6:$C$17</c:f>
              <c:numCache>
                <c:formatCode>_("$"* #,##0_);_("$"* \(#,##0\);_("$"* "-"??_);_(@_)</c:formatCode>
                <c:ptCount val="12"/>
                <c:pt idx="0">
                  <c:v>5178.7299999999996</c:v>
                </c:pt>
                <c:pt idx="1">
                  <c:v>5178.7299999999996</c:v>
                </c:pt>
                <c:pt idx="2">
                  <c:v>5178.7299999999996</c:v>
                </c:pt>
                <c:pt idx="3">
                  <c:v>5178.7299999999996</c:v>
                </c:pt>
                <c:pt idx="4">
                  <c:v>17505.73</c:v>
                </c:pt>
                <c:pt idx="5">
                  <c:v>5178.7299999999996</c:v>
                </c:pt>
                <c:pt idx="6">
                  <c:v>5178.7299999999996</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930A-4177-A497-CD247CF9DE65}"/>
            </c:ext>
          </c:extLst>
        </c:ser>
        <c:ser>
          <c:idx val="1"/>
          <c:order val="1"/>
          <c:tx>
            <c:strRef>
              <c:f>'302 Chart'!$D$4:$D$5</c:f>
              <c:strCache>
                <c:ptCount val="2"/>
                <c:pt idx="0">
                  <c:v>Projected Cost Alternate Maintenance Practices, $253,816</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'302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'302 Chart'!$D$6:$D$17</c:f>
              <c:numCache>
                <c:formatCode>_("$"* #,##0_);_("$"* \(#,##0\);_("$"* "-"??_);_(@_)</c:formatCode>
                <c:ptCount val="12"/>
                <c:pt idx="0">
                  <c:v>240</c:v>
                </c:pt>
                <c:pt idx="1">
                  <c:v>3799.1499999999996</c:v>
                </c:pt>
                <c:pt idx="2">
                  <c:v>5421.92</c:v>
                </c:pt>
                <c:pt idx="3">
                  <c:v>3782.77</c:v>
                </c:pt>
                <c:pt idx="4">
                  <c:v>2946.8649999999998</c:v>
                </c:pt>
                <c:pt idx="5">
                  <c:v>5320.9249999999993</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930A-4177-A497-CD247CF9DE65}"/>
            </c:ext>
          </c:extLst>
        </c:ser>
        <c:dLbls>
          <c:dLblPos val="ctr"/>
          <c:showLegendKey val="0"/>
          <c:showVal val="1"/>
          <c:showCatName val="0"/>
          <c:showSerName val="0"/>
          <c:showPercent val="0"/>
          <c:showBubbleSize val="0"/>
        </c:dLbls>
        <c:smooth val="0"/>
        <c:axId val="670105328"/>
        <c:axId val="669830296"/>
      </c:lineChart>
      <c:catAx>
        <c:axId val="670105328"/>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69830296"/>
        <c:crosses val="autoZero"/>
        <c:auto val="1"/>
        <c:lblAlgn val="ctr"/>
        <c:lblOffset val="100"/>
        <c:tickLblSkip val="1"/>
        <c:tickMarkSkip val="1"/>
        <c:noMultiLvlLbl val="0"/>
      </c:catAx>
      <c:valAx>
        <c:axId val="669830296"/>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701053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alignWithMargins="0"/>
    <c:pageMargins b="1" l="0.75" r="0.7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303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303 summary'!$C$19:$P$19</c15:sqref>
                  </c15:fullRef>
                </c:ext>
              </c:extLst>
              <c:f>'Bus 303 summary'!$C$19:$N$19</c:f>
              <c:numCache>
                <c:formatCode>#,##0.00</c:formatCode>
                <c:ptCount val="12"/>
                <c:pt idx="6">
                  <c:v>825.76</c:v>
                </c:pt>
                <c:pt idx="7">
                  <c:v>426.16</c:v>
                </c:pt>
                <c:pt idx="8">
                  <c:v>110.94</c:v>
                </c:pt>
              </c:numCache>
            </c:numRef>
          </c:val>
          <c:extLst xmlns:c16r2="http://schemas.microsoft.com/office/drawing/2015/06/chart">
            <c:ext xmlns:c16="http://schemas.microsoft.com/office/drawing/2014/chart" uri="{C3380CC4-5D6E-409C-BE32-E72D297353CC}">
              <c16:uniqueId val="{00000000-8D0F-463D-9248-1AF2D69410D8}"/>
            </c:ext>
          </c:extLst>
        </c:ser>
        <c:ser>
          <c:idx val="1"/>
          <c:order val="1"/>
          <c:tx>
            <c:strRef>
              <c:f>'Bus 303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303 summary'!$C$20:$P$20</c15:sqref>
                  </c15:fullRef>
                </c:ext>
              </c:extLst>
              <c:f>'Bus 303 summary'!$C$20:$N$20</c:f>
              <c:numCache>
                <c:formatCode>#,##0.00</c:formatCode>
                <c:ptCount val="12"/>
                <c:pt idx="6">
                  <c:v>418.8</c:v>
                </c:pt>
              </c:numCache>
            </c:numRef>
          </c:val>
          <c:extLst xmlns:c16r2="http://schemas.microsoft.com/office/drawing/2015/06/chart">
            <c:ext xmlns:c16="http://schemas.microsoft.com/office/drawing/2014/chart" uri="{C3380CC4-5D6E-409C-BE32-E72D297353CC}">
              <c16:uniqueId val="{00000001-8D0F-463D-9248-1AF2D69410D8}"/>
            </c:ext>
          </c:extLst>
        </c:ser>
        <c:ser>
          <c:idx val="2"/>
          <c:order val="2"/>
          <c:tx>
            <c:strRef>
              <c:f>'Bus 303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303 summary'!$C$21:$P$21</c15:sqref>
                  </c15:fullRef>
                </c:ext>
              </c:extLst>
              <c:f>'Bus 303 summary'!$C$21:$N$21</c:f>
              <c:numCache>
                <c:formatCode>#,##0.00</c:formatCode>
                <c:ptCount val="12"/>
                <c:pt idx="6">
                  <c:v>48.09</c:v>
                </c:pt>
              </c:numCache>
            </c:numRef>
          </c:val>
          <c:extLst xmlns:c16r2="http://schemas.microsoft.com/office/drawing/2015/06/chart">
            <c:ext xmlns:c16="http://schemas.microsoft.com/office/drawing/2014/chart" uri="{C3380CC4-5D6E-409C-BE32-E72D297353CC}">
              <c16:uniqueId val="{00000002-8D0F-463D-9248-1AF2D69410D8}"/>
            </c:ext>
          </c:extLst>
        </c:ser>
        <c:ser>
          <c:idx val="3"/>
          <c:order val="3"/>
          <c:tx>
            <c:strRef>
              <c:f>'Bus 303 summary'!$B$22</c:f>
              <c:strCache>
                <c:ptCount val="1"/>
                <c:pt idx="0">
                  <c:v>CALIPERS</c:v>
                </c:pt>
              </c:strCache>
            </c:strRef>
          </c:tx>
          <c:spPr>
            <a:solidFill>
              <a:schemeClr val="accent4"/>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303 summary'!$C$22:$P$22</c15:sqref>
                  </c15:fullRef>
                </c:ext>
              </c:extLst>
              <c:f>'Bus 303 summary'!$C$22:$N$22</c:f>
              <c:numCache>
                <c:formatCode>#,##0.00</c:formatCode>
                <c:ptCount val="12"/>
              </c:numCache>
            </c:numRef>
          </c:val>
          <c:extLst xmlns:c16r2="http://schemas.microsoft.com/office/drawing/2015/06/chart">
            <c:ext xmlns:c16="http://schemas.microsoft.com/office/drawing/2014/chart" uri="{C3380CC4-5D6E-409C-BE32-E72D297353CC}">
              <c16:uniqueId val="{00000003-8D0F-463D-9248-1AF2D69410D8}"/>
            </c:ext>
          </c:extLst>
        </c:ser>
        <c:ser>
          <c:idx val="4"/>
          <c:order val="4"/>
          <c:tx>
            <c:strRef>
              <c:f>'Bus 303 summary'!$B$23</c:f>
              <c:strCache>
                <c:ptCount val="1"/>
                <c:pt idx="0">
                  <c:v>STARTERS/ALTERNATOR</c:v>
                </c:pt>
              </c:strCache>
            </c:strRef>
          </c:tx>
          <c:spPr>
            <a:solidFill>
              <a:schemeClr val="accent5"/>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303 summary'!$C$23:$P$23</c15:sqref>
                  </c15:fullRef>
                </c:ext>
              </c:extLst>
              <c:f>'Bus 303 summary'!$C$23:$N$23</c:f>
              <c:numCache>
                <c:formatCode>#,##0.00</c:formatCode>
                <c:ptCount val="12"/>
              </c:numCache>
            </c:numRef>
          </c:val>
          <c:extLst xmlns:c16r2="http://schemas.microsoft.com/office/drawing/2015/06/chart">
            <c:ext xmlns:c16="http://schemas.microsoft.com/office/drawing/2014/chart" uri="{C3380CC4-5D6E-409C-BE32-E72D297353CC}">
              <c16:uniqueId val="{00000004-8D0F-463D-9248-1AF2D69410D8}"/>
            </c:ext>
          </c:extLst>
        </c:ser>
        <c:ser>
          <c:idx val="5"/>
          <c:order val="5"/>
          <c:tx>
            <c:strRef>
              <c:f>'Bus 303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303 summary'!$C$24:$P$24</c15:sqref>
                  </c15:fullRef>
                </c:ext>
              </c:extLst>
              <c:f>'Bus 303 summary'!$C$24:$N$24</c:f>
              <c:numCache>
                <c:formatCode>#,##0.00</c:formatCode>
                <c:ptCount val="12"/>
                <c:pt idx="6">
                  <c:v>163.85</c:v>
                </c:pt>
                <c:pt idx="7">
                  <c:v>1.8</c:v>
                </c:pt>
                <c:pt idx="8">
                  <c:v>3</c:v>
                </c:pt>
              </c:numCache>
            </c:numRef>
          </c:val>
          <c:extLst xmlns:c16r2="http://schemas.microsoft.com/office/drawing/2015/06/chart">
            <c:ext xmlns:c16="http://schemas.microsoft.com/office/drawing/2014/chart" uri="{C3380CC4-5D6E-409C-BE32-E72D297353CC}">
              <c16:uniqueId val="{00000005-8D0F-463D-9248-1AF2D69410D8}"/>
            </c:ext>
          </c:extLst>
        </c:ser>
        <c:ser>
          <c:idx val="6"/>
          <c:order val="6"/>
          <c:tx>
            <c:strRef>
              <c:f>'Bus 303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303 summary'!$C$25:$P$25</c15:sqref>
                  </c15:fullRef>
                </c:ext>
              </c:extLst>
              <c:f>'Bus 303 summary'!$C$25:$N$25</c:f>
              <c:numCache>
                <c:formatCode>#,##0.00</c:formatCode>
                <c:ptCount val="12"/>
              </c:numCache>
            </c:numRef>
          </c:val>
          <c:extLst xmlns:c16r2="http://schemas.microsoft.com/office/drawing/2015/06/chart">
            <c:ext xmlns:c16="http://schemas.microsoft.com/office/drawing/2014/chart" uri="{C3380CC4-5D6E-409C-BE32-E72D297353CC}">
              <c16:uniqueId val="{00000006-8D0F-463D-9248-1AF2D69410D8}"/>
            </c:ext>
          </c:extLst>
        </c:ser>
        <c:ser>
          <c:idx val="7"/>
          <c:order val="7"/>
          <c:tx>
            <c:strRef>
              <c:f>'Bus 303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303 summary'!$C$26:$P$26</c15:sqref>
                  </c15:fullRef>
                </c:ext>
              </c:extLst>
              <c:f>'Bus 303 summary'!$C$26:$N$26</c:f>
              <c:numCache>
                <c:formatCode>#,##0.00</c:formatCode>
                <c:ptCount val="12"/>
              </c:numCache>
            </c:numRef>
          </c:val>
          <c:extLst xmlns:c16r2="http://schemas.microsoft.com/office/drawing/2015/06/chart">
            <c:ext xmlns:c16="http://schemas.microsoft.com/office/drawing/2014/chart" uri="{C3380CC4-5D6E-409C-BE32-E72D297353CC}">
              <c16:uniqueId val="{00000007-8D0F-463D-9248-1AF2D69410D8}"/>
            </c:ext>
          </c:extLst>
        </c:ser>
        <c:ser>
          <c:idx val="8"/>
          <c:order val="8"/>
          <c:tx>
            <c:strRef>
              <c:f>'Bus 303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303 summary'!$C$27:$P$27</c15:sqref>
                  </c15:fullRef>
                </c:ext>
              </c:extLst>
              <c:f>'Bus 303 summary'!$C$27:$N$27</c:f>
              <c:numCache>
                <c:formatCode>#,##0.00</c:formatCode>
                <c:ptCount val="12"/>
              </c:numCache>
            </c:numRef>
          </c:val>
          <c:extLst xmlns:c16r2="http://schemas.microsoft.com/office/drawing/2015/06/chart">
            <c:ext xmlns:c16="http://schemas.microsoft.com/office/drawing/2014/chart" uri="{C3380CC4-5D6E-409C-BE32-E72D297353CC}">
              <c16:uniqueId val="{00000008-8D0F-463D-9248-1AF2D69410D8}"/>
            </c:ext>
          </c:extLst>
        </c:ser>
        <c:ser>
          <c:idx val="9"/>
          <c:order val="9"/>
          <c:tx>
            <c:strRef>
              <c:f>'Bus 303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303 summary'!$C$28:$P$28</c15:sqref>
                  </c15:fullRef>
                </c:ext>
              </c:extLst>
              <c:f>'Bus 303 summary'!$C$28:$N$28</c:f>
            </c:numRef>
          </c:val>
          <c:extLst xmlns:c16r2="http://schemas.microsoft.com/office/drawing/2015/06/chart">
            <c:ext xmlns:c16="http://schemas.microsoft.com/office/drawing/2014/chart" uri="{C3380CC4-5D6E-409C-BE32-E72D297353CC}">
              <c16:uniqueId val="{00000009-8D0F-463D-9248-1AF2D69410D8}"/>
            </c:ext>
          </c:extLst>
        </c:ser>
        <c:ser>
          <c:idx val="10"/>
          <c:order val="10"/>
          <c:tx>
            <c:strRef>
              <c:f>'Bus 303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303 summary'!$C$29:$P$29</c15:sqref>
                  </c15:fullRef>
                </c:ext>
              </c:extLst>
              <c:f>'Bus 303 summary'!$C$29:$N$29</c:f>
            </c:numRef>
          </c:val>
          <c:extLst xmlns:c16r2="http://schemas.microsoft.com/office/drawing/2015/06/chart">
            <c:ext xmlns:c16="http://schemas.microsoft.com/office/drawing/2014/chart" uri="{C3380CC4-5D6E-409C-BE32-E72D297353CC}">
              <c16:uniqueId val="{0000000A-8D0F-463D-9248-1AF2D69410D8}"/>
            </c:ext>
          </c:extLst>
        </c:ser>
        <c:ser>
          <c:idx val="11"/>
          <c:order val="11"/>
          <c:tx>
            <c:strRef>
              <c:f>'Bus 303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303 summary'!$C$30:$P$30</c15:sqref>
                  </c15:fullRef>
                </c:ext>
              </c:extLst>
              <c:f>'Bus 303 summary'!$C$30:$N$30</c:f>
            </c:numRef>
          </c:val>
          <c:extLst xmlns:c16r2="http://schemas.microsoft.com/office/drawing/2015/06/chart">
            <c:ext xmlns:c16="http://schemas.microsoft.com/office/drawing/2014/chart" uri="{C3380CC4-5D6E-409C-BE32-E72D297353CC}">
              <c16:uniqueId val="{0000000B-8D0F-463D-9248-1AF2D69410D8}"/>
            </c:ext>
          </c:extLst>
        </c:ser>
        <c:ser>
          <c:idx val="12"/>
          <c:order val="12"/>
          <c:tx>
            <c:strRef>
              <c:f>'Bus 303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303 summary'!$C$31:$P$31</c15:sqref>
                  </c15:fullRef>
                </c:ext>
              </c:extLst>
              <c:f>'Bus 303 summary'!$C$31:$N$31</c:f>
            </c:numRef>
          </c:val>
          <c:extLst xmlns:c16r2="http://schemas.microsoft.com/office/drawing/2015/06/chart">
            <c:ext xmlns:c16="http://schemas.microsoft.com/office/drawing/2014/chart" uri="{C3380CC4-5D6E-409C-BE32-E72D297353CC}">
              <c16:uniqueId val="{0000000C-8D0F-463D-9248-1AF2D69410D8}"/>
            </c:ext>
          </c:extLst>
        </c:ser>
        <c:ser>
          <c:idx val="13"/>
          <c:order val="13"/>
          <c:tx>
            <c:strRef>
              <c:f>'Bus 303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303 summary'!$C$32:$P$32</c15:sqref>
                  </c15:fullRef>
                </c:ext>
              </c:extLst>
              <c:f>'Bus 303 summary'!$C$32:$N$32</c:f>
              <c:numCache>
                <c:formatCode>#,##0.00</c:formatCode>
                <c:ptCount val="12"/>
              </c:numCache>
            </c:numRef>
          </c:val>
          <c:extLst xmlns:c16r2="http://schemas.microsoft.com/office/drawing/2015/06/chart">
            <c:ext xmlns:c16="http://schemas.microsoft.com/office/drawing/2014/chart" uri="{C3380CC4-5D6E-409C-BE32-E72D297353CC}">
              <c16:uniqueId val="{0000000D-8D0F-463D-9248-1AF2D69410D8}"/>
            </c:ext>
          </c:extLst>
        </c:ser>
        <c:ser>
          <c:idx val="14"/>
          <c:order val="14"/>
          <c:tx>
            <c:strRef>
              <c:f>'Bus 303 summary'!$B$33</c:f>
              <c:strCache>
                <c:ptCount val="1"/>
                <c:pt idx="0">
                  <c:v>WARRANTY</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303 summary'!$C$33:$P$33</c15:sqref>
                  </c15:fullRef>
                </c:ext>
              </c:extLst>
              <c:f>'Bus 303 summary'!$C$33:$N$33</c:f>
              <c:numCache>
                <c:formatCode>#,##0.00</c:formatCode>
                <c:ptCount val="12"/>
              </c:numCache>
            </c:numRef>
          </c:val>
          <c:extLst xmlns:c16r2="http://schemas.microsoft.com/office/drawing/2015/06/chart">
            <c:ext xmlns:c16="http://schemas.microsoft.com/office/drawing/2014/chart" uri="{C3380CC4-5D6E-409C-BE32-E72D297353CC}">
              <c16:uniqueId val="{0000000E-8D0F-463D-9248-1AF2D69410D8}"/>
            </c:ext>
          </c:extLst>
        </c:ser>
        <c:ser>
          <c:idx val="15"/>
          <c:order val="15"/>
          <c:tx>
            <c:strRef>
              <c:f>'Bus 303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303 summary'!$C$34:$P$34</c15:sqref>
                  </c15:fullRef>
                </c:ext>
              </c:extLst>
              <c:f>'Bus 303 summary'!$C$34:$N$34</c:f>
              <c:numCache>
                <c:formatCode>#,##0.00</c:formatCode>
                <c:ptCount val="12"/>
              </c:numCache>
            </c:numRef>
          </c:val>
          <c:extLst xmlns:c16r2="http://schemas.microsoft.com/office/drawing/2015/06/chart">
            <c:ext xmlns:c16="http://schemas.microsoft.com/office/drawing/2014/chart" uri="{C3380CC4-5D6E-409C-BE32-E72D297353CC}">
              <c16:uniqueId val="{0000000F-8D0F-463D-9248-1AF2D69410D8}"/>
            </c:ext>
          </c:extLst>
        </c:ser>
        <c:ser>
          <c:idx val="16"/>
          <c:order val="16"/>
          <c:tx>
            <c:strRef>
              <c:f>'Bus 303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303 summary'!$C$35:$P$35</c15:sqref>
                  </c15:fullRef>
                </c:ext>
              </c:extLst>
              <c:f>'Bus 303 summary'!$C$35:$N$35</c:f>
              <c:numCache>
                <c:formatCode>#,##0.00</c:formatCode>
                <c:ptCount val="12"/>
                <c:pt idx="7">
                  <c:v>15.66</c:v>
                </c:pt>
                <c:pt idx="8">
                  <c:v>7.83</c:v>
                </c:pt>
              </c:numCache>
            </c:numRef>
          </c:val>
          <c:extLst xmlns:c16r2="http://schemas.microsoft.com/office/drawing/2015/06/chart">
            <c:ext xmlns:c16="http://schemas.microsoft.com/office/drawing/2014/chart" uri="{C3380CC4-5D6E-409C-BE32-E72D297353CC}">
              <c16:uniqueId val="{00000010-8D0F-463D-9248-1AF2D69410D8}"/>
            </c:ext>
          </c:extLst>
        </c:ser>
        <c:ser>
          <c:idx val="17"/>
          <c:order val="17"/>
          <c:tx>
            <c:strRef>
              <c:f>'Bus 303 summary'!$B$36</c:f>
              <c:strCache>
                <c:ptCount val="1"/>
                <c:pt idx="0">
                  <c:v>OIL/OTHER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303 summary'!$C$36:$P$36</c15:sqref>
                  </c15:fullRef>
                </c:ext>
              </c:extLst>
              <c:f>'Bus 303 summary'!$C$36:$N$36</c:f>
              <c:numCache>
                <c:formatCode>#,##0.00</c:formatCode>
                <c:ptCount val="12"/>
              </c:numCache>
            </c:numRef>
          </c:val>
          <c:extLst xmlns:c16r2="http://schemas.microsoft.com/office/drawing/2015/06/chart">
            <c:ext xmlns:c16="http://schemas.microsoft.com/office/drawing/2014/chart" uri="{C3380CC4-5D6E-409C-BE32-E72D297353CC}">
              <c16:uniqueId val="{00000011-8D0F-463D-9248-1AF2D69410D8}"/>
            </c:ext>
          </c:extLst>
        </c:ser>
        <c:ser>
          <c:idx val="18"/>
          <c:order val="18"/>
          <c:tx>
            <c:strRef>
              <c:f>'Bus 303 summary'!$B$37</c:f>
              <c:strCache>
                <c:ptCount val="1"/>
                <c:pt idx="0">
                  <c:v>OTHER PARTS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303 summary'!$C$37:$P$37</c15:sqref>
                  </c15:fullRef>
                </c:ext>
              </c:extLst>
              <c:f>'Bus 303 summary'!$C$37:$N$37</c:f>
              <c:numCache>
                <c:formatCode>#,##0.00</c:formatCode>
                <c:ptCount val="12"/>
                <c:pt idx="6">
                  <c:v>137.44999999999999</c:v>
                </c:pt>
                <c:pt idx="7">
                  <c:v>55.69</c:v>
                </c:pt>
                <c:pt idx="8">
                  <c:v>380.33</c:v>
                </c:pt>
              </c:numCache>
            </c:numRef>
          </c:val>
          <c:extLst xmlns:c16r2="http://schemas.microsoft.com/office/drawing/2015/06/chart">
            <c:ext xmlns:c16="http://schemas.microsoft.com/office/drawing/2014/chart" uri="{C3380CC4-5D6E-409C-BE32-E72D297353CC}">
              <c16:uniqueId val="{00000012-8D0F-463D-9248-1AF2D69410D8}"/>
            </c:ext>
          </c:extLst>
        </c:ser>
        <c:ser>
          <c:idx val="19"/>
          <c:order val="19"/>
          <c:tx>
            <c:strRef>
              <c:f>'Bus 303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'Bus 303 summary'!$C$18:$P$18</c15:sqref>
                  </c15:fullRef>
                </c:ext>
              </c:extLst>
              <c:f>'Bus 303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303 summary'!$C$38:$P$38</c15:sqref>
                  </c15:fullRef>
                </c:ext>
              </c:extLst>
              <c:f>'Bus 303 summary'!$C$38:$N$38</c:f>
              <c:numCache>
                <c:formatCode>#,##0.00</c:formatCode>
                <c:ptCount val="12"/>
                <c:pt idx="6">
                  <c:v>280</c:v>
                </c:pt>
                <c:pt idx="7">
                  <c:v>100</c:v>
                </c:pt>
                <c:pt idx="8">
                  <c:v>170</c:v>
                </c:pt>
              </c:numCache>
            </c:numRef>
          </c:val>
          <c:extLst xmlns:c16r2="http://schemas.microsoft.com/office/drawing/2015/06/chart">
            <c:ext xmlns:c16="http://schemas.microsoft.com/office/drawing/2014/chart" uri="{C3380CC4-5D6E-409C-BE32-E72D297353CC}">
              <c16:uniqueId val="{00000013-8D0F-463D-9248-1AF2D69410D8}"/>
            </c:ext>
          </c:extLst>
        </c:ser>
        <c:dLbls>
          <c:showLegendKey val="0"/>
          <c:showVal val="0"/>
          <c:showCatName val="0"/>
          <c:showSerName val="0"/>
          <c:showPercent val="0"/>
          <c:showBubbleSize val="0"/>
        </c:dLbls>
        <c:gapWidth val="150"/>
        <c:axId val="669831080"/>
        <c:axId val="669831472"/>
      </c:barChart>
      <c:catAx>
        <c:axId val="669831080"/>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69831472"/>
        <c:crosses val="autoZero"/>
        <c:auto val="1"/>
        <c:lblAlgn val="ctr"/>
        <c:lblOffset val="100"/>
        <c:noMultiLvlLbl val="0"/>
      </c:catAx>
      <c:valAx>
        <c:axId val="669831472"/>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69831080"/>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866728171240174"/>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'303 Chart'!$C$4</c:f>
              <c:strCache>
                <c:ptCount val="1"/>
                <c:pt idx="0">
                  <c:v>Projected Cost-Current Maintenance Practices, $109,252  </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'303 Chart'!$B$5:$B$17</c:f>
              <c:numCache>
                <c:formatCode>General</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'303 Chart'!$C$5:$C$17</c:f>
              <c:numCache>
                <c:formatCode>_("$"* #,##0_);_("$"* \(#,##0\);_("$"* "-"??_);_(@_)</c:formatCode>
                <c:ptCount val="13"/>
                <c:pt idx="1">
                  <c:v>5237</c:v>
                </c:pt>
                <c:pt idx="2">
                  <c:v>5237</c:v>
                </c:pt>
                <c:pt idx="3">
                  <c:v>5237</c:v>
                </c:pt>
                <c:pt idx="4">
                  <c:v>5237</c:v>
                </c:pt>
                <c:pt idx="5">
                  <c:v>17564</c:v>
                </c:pt>
                <c:pt idx="6">
                  <c:v>5237</c:v>
                </c:pt>
                <c:pt idx="7">
                  <c:v>5237</c:v>
                </c:pt>
                <c:pt idx="8">
                  <c:v>5237</c:v>
                </c:pt>
                <c:pt idx="9">
                  <c:v>5237</c:v>
                </c:pt>
                <c:pt idx="10">
                  <c:v>5237</c:v>
                </c:pt>
                <c:pt idx="11">
                  <c:v>5237</c:v>
                </c:pt>
                <c:pt idx="12">
                  <c:v>3256</c:v>
                </c:pt>
              </c:numCache>
            </c:numRef>
          </c:val>
          <c:smooth val="0"/>
          <c:extLst xmlns:c16r2="http://schemas.microsoft.com/office/drawing/2015/06/chart">
            <c:ext xmlns:c16="http://schemas.microsoft.com/office/drawing/2014/chart" uri="{C3380CC4-5D6E-409C-BE32-E72D297353CC}">
              <c16:uniqueId val="{00000000-2997-4A1B-B771-ED0B2241ED2A}"/>
            </c:ext>
          </c:extLst>
        </c:ser>
        <c:ser>
          <c:idx val="1"/>
          <c:order val="1"/>
          <c:tx>
            <c:strRef>
              <c:f>'303 Chart'!$D$4</c:f>
              <c:strCache>
                <c:ptCount val="1"/>
                <c:pt idx="0">
                  <c:v>Projected Cost Alternate Maintenance Practices, $253,816</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'303 Chart'!$B$5:$B$17</c:f>
              <c:numCache>
                <c:formatCode>General</c:formatCode>
                <c:ptCount val="13"/>
                <c:pt idx="1">
                  <c:v>1</c:v>
                </c:pt>
                <c:pt idx="2">
                  <c:v>2</c:v>
                </c:pt>
                <c:pt idx="3">
                  <c:v>3</c:v>
                </c:pt>
                <c:pt idx="4">
                  <c:v>4</c:v>
                </c:pt>
                <c:pt idx="5">
                  <c:v>5</c:v>
                </c:pt>
                <c:pt idx="6">
                  <c:v>6</c:v>
                </c:pt>
                <c:pt idx="7">
                  <c:v>7</c:v>
                </c:pt>
                <c:pt idx="8">
                  <c:v>8</c:v>
                </c:pt>
                <c:pt idx="9">
                  <c:v>9</c:v>
                </c:pt>
                <c:pt idx="10">
                  <c:v>10</c:v>
                </c:pt>
                <c:pt idx="11">
                  <c:v>11</c:v>
                </c:pt>
                <c:pt idx="12">
                  <c:v>12</c:v>
                </c:pt>
              </c:numCache>
            </c:numRef>
          </c:cat>
          <c:val>
            <c:numRef>
              <c:f>'303 Chart'!$D$5:$D$17</c:f>
              <c:numCache>
                <c:formatCode>_("$"* #,##0_);_("$"* \(#,##0\);_("$"* "-"??_);_(@_)</c:formatCode>
                <c:ptCount val="13"/>
                <c:pt idx="1">
                  <c:v>2698</c:v>
                </c:pt>
                <c:pt idx="2">
                  <c:v>4072</c:v>
                </c:pt>
                <c:pt idx="3">
                  <c:v>1125</c:v>
                </c:pt>
                <c:pt idx="4">
                  <c:v>8683</c:v>
                </c:pt>
                <c:pt idx="5">
                  <c:v>2864</c:v>
                </c:pt>
                <c:pt idx="6">
                  <c:v>2573</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2997-4A1B-B771-ED0B2241ED2A}"/>
            </c:ext>
          </c:extLst>
        </c:ser>
        <c:dLbls>
          <c:showLegendKey val="0"/>
          <c:showVal val="0"/>
          <c:showCatName val="0"/>
          <c:showSerName val="0"/>
          <c:showPercent val="0"/>
          <c:showBubbleSize val="0"/>
        </c:dLbls>
        <c:smooth val="0"/>
        <c:axId val="563789616"/>
        <c:axId val="563790008"/>
      </c:lineChart>
      <c:catAx>
        <c:axId val="563789616"/>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63790008"/>
        <c:crosses val="autoZero"/>
        <c:auto val="1"/>
        <c:lblAlgn val="ctr"/>
        <c:lblOffset val="100"/>
        <c:noMultiLvlLbl val="0"/>
      </c:catAx>
      <c:valAx>
        <c:axId val="5637900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637896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alignWithMargins="0"/>
    <c:pageMargins b="1" l="0.75" r="0.7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304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304 summary'!$C$19:$P$19</c15:sqref>
                  </c15:fullRef>
                </c:ext>
              </c:extLst>
              <c:f>'Bus 304 summary'!$C$19:$N$19</c:f>
              <c:numCache>
                <c:formatCode>#,##0.00</c:formatCode>
                <c:ptCount val="12"/>
                <c:pt idx="6">
                  <c:v>1340.4</c:v>
                </c:pt>
                <c:pt idx="8">
                  <c:v>167.75</c:v>
                </c:pt>
              </c:numCache>
            </c:numRef>
          </c:val>
          <c:extLst xmlns:c16r2="http://schemas.microsoft.com/office/drawing/2015/06/chart">
            <c:ext xmlns:c16="http://schemas.microsoft.com/office/drawing/2014/chart" uri="{C3380CC4-5D6E-409C-BE32-E72D297353CC}">
              <c16:uniqueId val="{00000000-AD1A-4FDA-A189-525C04CD931F}"/>
            </c:ext>
          </c:extLst>
        </c:ser>
        <c:ser>
          <c:idx val="1"/>
          <c:order val="1"/>
          <c:tx>
            <c:strRef>
              <c:f>'Bus 304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304 summary'!$C$20:$P$20</c15:sqref>
                  </c15:fullRef>
                </c:ext>
              </c:extLst>
              <c:f>'Bus 304 summary'!$C$20:$N$20</c:f>
              <c:numCache>
                <c:formatCode>#,##0.00</c:formatCode>
                <c:ptCount val="12"/>
              </c:numCache>
            </c:numRef>
          </c:val>
          <c:extLst xmlns:c16r2="http://schemas.microsoft.com/office/drawing/2015/06/chart">
            <c:ext xmlns:c16="http://schemas.microsoft.com/office/drawing/2014/chart" uri="{C3380CC4-5D6E-409C-BE32-E72D297353CC}">
              <c16:uniqueId val="{00000001-AD1A-4FDA-A189-525C04CD931F}"/>
            </c:ext>
          </c:extLst>
        </c:ser>
        <c:ser>
          <c:idx val="2"/>
          <c:order val="2"/>
          <c:tx>
            <c:strRef>
              <c:f>'Bus 304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304 summary'!$C$21:$P$21</c15:sqref>
                  </c15:fullRef>
                </c:ext>
              </c:extLst>
              <c:f>'Bus 304 summary'!$C$21:$N$21</c:f>
              <c:numCache>
                <c:formatCode>#,##0.00</c:formatCode>
                <c:ptCount val="12"/>
                <c:pt idx="8">
                  <c:v>48.09</c:v>
                </c:pt>
              </c:numCache>
            </c:numRef>
          </c:val>
          <c:extLst xmlns:c16r2="http://schemas.microsoft.com/office/drawing/2015/06/chart">
            <c:ext xmlns:c16="http://schemas.microsoft.com/office/drawing/2014/chart" uri="{C3380CC4-5D6E-409C-BE32-E72D297353CC}">
              <c16:uniqueId val="{00000002-AD1A-4FDA-A189-525C04CD931F}"/>
            </c:ext>
          </c:extLst>
        </c:ser>
        <c:ser>
          <c:idx val="3"/>
          <c:order val="3"/>
          <c:tx>
            <c:strRef>
              <c:f>'Bus 304 summary'!$B$22</c:f>
              <c:strCache>
                <c:ptCount val="1"/>
                <c:pt idx="0">
                  <c:v>CALIPERS</c:v>
                </c:pt>
              </c:strCache>
            </c:strRef>
          </c:tx>
          <c:spPr>
            <a:solidFill>
              <a:schemeClr val="accent4"/>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304 summary'!$C$22:$P$22</c15:sqref>
                  </c15:fullRef>
                </c:ext>
              </c:extLst>
              <c:f>'Bus 304 summary'!$C$22:$N$22</c:f>
              <c:numCache>
                <c:formatCode>#,##0.00</c:formatCode>
                <c:ptCount val="12"/>
              </c:numCache>
            </c:numRef>
          </c:val>
          <c:extLst xmlns:c16r2="http://schemas.microsoft.com/office/drawing/2015/06/chart">
            <c:ext xmlns:c16="http://schemas.microsoft.com/office/drawing/2014/chart" uri="{C3380CC4-5D6E-409C-BE32-E72D297353CC}">
              <c16:uniqueId val="{00000003-AD1A-4FDA-A189-525C04CD931F}"/>
            </c:ext>
          </c:extLst>
        </c:ser>
        <c:ser>
          <c:idx val="4"/>
          <c:order val="4"/>
          <c:tx>
            <c:strRef>
              <c:f>'Bus 304 summary'!$B$23</c:f>
              <c:strCache>
                <c:ptCount val="1"/>
                <c:pt idx="0">
                  <c:v>STARTERS/ALT</c:v>
                </c:pt>
              </c:strCache>
            </c:strRef>
          </c:tx>
          <c:spPr>
            <a:solidFill>
              <a:schemeClr val="accent5"/>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304 summary'!$C$23:$P$23</c15:sqref>
                  </c15:fullRef>
                </c:ext>
              </c:extLst>
              <c:f>'Bus 304 summary'!$C$23:$N$23</c:f>
              <c:numCache>
                <c:formatCode>#,##0.00</c:formatCode>
                <c:ptCount val="12"/>
              </c:numCache>
            </c:numRef>
          </c:val>
          <c:extLst xmlns:c16r2="http://schemas.microsoft.com/office/drawing/2015/06/chart">
            <c:ext xmlns:c16="http://schemas.microsoft.com/office/drawing/2014/chart" uri="{C3380CC4-5D6E-409C-BE32-E72D297353CC}">
              <c16:uniqueId val="{00000004-AD1A-4FDA-A189-525C04CD931F}"/>
            </c:ext>
          </c:extLst>
        </c:ser>
        <c:ser>
          <c:idx val="5"/>
          <c:order val="5"/>
          <c:tx>
            <c:strRef>
              <c:f>'Bus 304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304 summary'!$C$24:$P$24</c15:sqref>
                  </c15:fullRef>
                </c:ext>
              </c:extLst>
              <c:f>'Bus 304 summary'!$C$24:$N$24</c:f>
              <c:numCache>
                <c:formatCode>#,##0.00</c:formatCode>
                <c:ptCount val="12"/>
              </c:numCache>
            </c:numRef>
          </c:val>
          <c:extLst xmlns:c16r2="http://schemas.microsoft.com/office/drawing/2015/06/chart">
            <c:ext xmlns:c16="http://schemas.microsoft.com/office/drawing/2014/chart" uri="{C3380CC4-5D6E-409C-BE32-E72D297353CC}">
              <c16:uniqueId val="{00000005-AD1A-4FDA-A189-525C04CD931F}"/>
            </c:ext>
          </c:extLst>
        </c:ser>
        <c:ser>
          <c:idx val="6"/>
          <c:order val="6"/>
          <c:tx>
            <c:strRef>
              <c:f>'Bus 304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304 summary'!$C$25:$P$25</c15:sqref>
                  </c15:fullRef>
                </c:ext>
              </c:extLst>
              <c:f>'Bus 304 summary'!$C$25:$N$25</c:f>
              <c:numCache>
                <c:formatCode>#,##0.00</c:formatCode>
                <c:ptCount val="12"/>
              </c:numCache>
            </c:numRef>
          </c:val>
          <c:extLst xmlns:c16r2="http://schemas.microsoft.com/office/drawing/2015/06/chart">
            <c:ext xmlns:c16="http://schemas.microsoft.com/office/drawing/2014/chart" uri="{C3380CC4-5D6E-409C-BE32-E72D297353CC}">
              <c16:uniqueId val="{00000006-AD1A-4FDA-A189-525C04CD931F}"/>
            </c:ext>
          </c:extLst>
        </c:ser>
        <c:ser>
          <c:idx val="7"/>
          <c:order val="7"/>
          <c:tx>
            <c:strRef>
              <c:f>'Bus 304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304 summary'!$C$26:$P$26</c15:sqref>
                  </c15:fullRef>
                </c:ext>
              </c:extLst>
              <c:f>'Bus 304 summary'!$C$26:$N$26</c:f>
              <c:numCache>
                <c:formatCode>#,##0.00</c:formatCode>
                <c:ptCount val="12"/>
              </c:numCache>
            </c:numRef>
          </c:val>
          <c:extLst xmlns:c16r2="http://schemas.microsoft.com/office/drawing/2015/06/chart">
            <c:ext xmlns:c16="http://schemas.microsoft.com/office/drawing/2014/chart" uri="{C3380CC4-5D6E-409C-BE32-E72D297353CC}">
              <c16:uniqueId val="{00000007-AD1A-4FDA-A189-525C04CD931F}"/>
            </c:ext>
          </c:extLst>
        </c:ser>
        <c:ser>
          <c:idx val="8"/>
          <c:order val="8"/>
          <c:tx>
            <c:strRef>
              <c:f>'Bus 304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304 summary'!$C$27:$P$27</c15:sqref>
                  </c15:fullRef>
                </c:ext>
              </c:extLst>
              <c:f>'Bus 304 summary'!$C$27:$N$27</c:f>
              <c:numCache>
                <c:formatCode>#,##0.00</c:formatCode>
                <c:ptCount val="12"/>
              </c:numCache>
            </c:numRef>
          </c:val>
          <c:extLst xmlns:c16r2="http://schemas.microsoft.com/office/drawing/2015/06/chart">
            <c:ext xmlns:c16="http://schemas.microsoft.com/office/drawing/2014/chart" uri="{C3380CC4-5D6E-409C-BE32-E72D297353CC}">
              <c16:uniqueId val="{00000008-AD1A-4FDA-A189-525C04CD931F}"/>
            </c:ext>
          </c:extLst>
        </c:ser>
        <c:ser>
          <c:idx val="9"/>
          <c:order val="9"/>
          <c:tx>
            <c:strRef>
              <c:f>'Bus 304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304 summary'!$C$28:$P$28</c15:sqref>
                  </c15:fullRef>
                </c:ext>
              </c:extLst>
              <c:f>'Bus 304 summary'!$C$28:$N$28</c:f>
            </c:numRef>
          </c:val>
          <c:extLst xmlns:c16r2="http://schemas.microsoft.com/office/drawing/2015/06/chart">
            <c:ext xmlns:c16="http://schemas.microsoft.com/office/drawing/2014/chart" uri="{C3380CC4-5D6E-409C-BE32-E72D297353CC}">
              <c16:uniqueId val="{00000009-AD1A-4FDA-A189-525C04CD931F}"/>
            </c:ext>
          </c:extLst>
        </c:ser>
        <c:ser>
          <c:idx val="10"/>
          <c:order val="10"/>
          <c:tx>
            <c:strRef>
              <c:f>'Bus 304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304 summary'!$C$29:$P$29</c15:sqref>
                  </c15:fullRef>
                </c:ext>
              </c:extLst>
              <c:f>'Bus 304 summary'!$C$29:$N$29</c:f>
            </c:numRef>
          </c:val>
          <c:extLst xmlns:c16r2="http://schemas.microsoft.com/office/drawing/2015/06/chart">
            <c:ext xmlns:c16="http://schemas.microsoft.com/office/drawing/2014/chart" uri="{C3380CC4-5D6E-409C-BE32-E72D297353CC}">
              <c16:uniqueId val="{0000000A-AD1A-4FDA-A189-525C04CD931F}"/>
            </c:ext>
          </c:extLst>
        </c:ser>
        <c:ser>
          <c:idx val="11"/>
          <c:order val="11"/>
          <c:tx>
            <c:strRef>
              <c:f>'Bus 304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304 summary'!$C$30:$P$30</c15:sqref>
                  </c15:fullRef>
                </c:ext>
              </c:extLst>
              <c:f>'Bus 304 summary'!$C$30:$N$30</c:f>
            </c:numRef>
          </c:val>
          <c:extLst xmlns:c16r2="http://schemas.microsoft.com/office/drawing/2015/06/chart">
            <c:ext xmlns:c16="http://schemas.microsoft.com/office/drawing/2014/chart" uri="{C3380CC4-5D6E-409C-BE32-E72D297353CC}">
              <c16:uniqueId val="{0000000B-AD1A-4FDA-A189-525C04CD931F}"/>
            </c:ext>
          </c:extLst>
        </c:ser>
        <c:ser>
          <c:idx val="12"/>
          <c:order val="12"/>
          <c:tx>
            <c:strRef>
              <c:f>'Bus 304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304 summary'!$C$31:$P$31</c15:sqref>
                  </c15:fullRef>
                </c:ext>
              </c:extLst>
              <c:f>'Bus 304 summary'!$C$31:$N$31</c:f>
            </c:numRef>
          </c:val>
          <c:extLst xmlns:c16r2="http://schemas.microsoft.com/office/drawing/2015/06/chart">
            <c:ext xmlns:c16="http://schemas.microsoft.com/office/drawing/2014/chart" uri="{C3380CC4-5D6E-409C-BE32-E72D297353CC}">
              <c16:uniqueId val="{0000000C-AD1A-4FDA-A189-525C04CD931F}"/>
            </c:ext>
          </c:extLst>
        </c:ser>
        <c:ser>
          <c:idx val="13"/>
          <c:order val="13"/>
          <c:tx>
            <c:strRef>
              <c:f>'Bus 304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304 summary'!$C$32:$P$32</c15:sqref>
                  </c15:fullRef>
                </c:ext>
              </c:extLst>
              <c:f>'Bus 304 summary'!$C$32:$N$32</c:f>
              <c:numCache>
                <c:formatCode>#,##0.00</c:formatCode>
                <c:ptCount val="12"/>
              </c:numCache>
            </c:numRef>
          </c:val>
          <c:extLst xmlns:c16r2="http://schemas.microsoft.com/office/drawing/2015/06/chart">
            <c:ext xmlns:c16="http://schemas.microsoft.com/office/drawing/2014/chart" uri="{C3380CC4-5D6E-409C-BE32-E72D297353CC}">
              <c16:uniqueId val="{0000000D-AD1A-4FDA-A189-525C04CD931F}"/>
            </c:ext>
          </c:extLst>
        </c:ser>
        <c:ser>
          <c:idx val="14"/>
          <c:order val="14"/>
          <c:tx>
            <c:strRef>
              <c:f>'Bus 304 summary'!$B$33</c:f>
              <c:strCache>
                <c:ptCount val="1"/>
                <c:pt idx="0">
                  <c:v>WARRANTY</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304 summary'!$C$33:$P$33</c15:sqref>
                  </c15:fullRef>
                </c:ext>
              </c:extLst>
              <c:f>'Bus 304 summary'!$C$33:$N$33</c:f>
              <c:numCache>
                <c:formatCode>#,##0.00</c:formatCode>
                <c:ptCount val="12"/>
              </c:numCache>
            </c:numRef>
          </c:val>
          <c:extLst xmlns:c16r2="http://schemas.microsoft.com/office/drawing/2015/06/chart">
            <c:ext xmlns:c16="http://schemas.microsoft.com/office/drawing/2014/chart" uri="{C3380CC4-5D6E-409C-BE32-E72D297353CC}">
              <c16:uniqueId val="{0000000E-AD1A-4FDA-A189-525C04CD931F}"/>
            </c:ext>
          </c:extLst>
        </c:ser>
        <c:ser>
          <c:idx val="15"/>
          <c:order val="15"/>
          <c:tx>
            <c:strRef>
              <c:f>'Bus 304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304 summary'!$C$34:$P$34</c15:sqref>
                  </c15:fullRef>
                </c:ext>
              </c:extLst>
              <c:f>'Bus 304 summary'!$C$34:$N$34</c:f>
              <c:numCache>
                <c:formatCode>#,##0.00</c:formatCode>
                <c:ptCount val="12"/>
                <c:pt idx="6">
                  <c:v>498.52</c:v>
                </c:pt>
              </c:numCache>
            </c:numRef>
          </c:val>
          <c:extLst xmlns:c16r2="http://schemas.microsoft.com/office/drawing/2015/06/chart">
            <c:ext xmlns:c16="http://schemas.microsoft.com/office/drawing/2014/chart" uri="{C3380CC4-5D6E-409C-BE32-E72D297353CC}">
              <c16:uniqueId val="{0000000F-AD1A-4FDA-A189-525C04CD931F}"/>
            </c:ext>
          </c:extLst>
        </c:ser>
        <c:ser>
          <c:idx val="16"/>
          <c:order val="16"/>
          <c:tx>
            <c:strRef>
              <c:f>'Bus 304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304 summary'!$C$35:$P$35</c15:sqref>
                  </c15:fullRef>
                </c:ext>
              </c:extLst>
              <c:f>'Bus 304 summary'!$C$35:$N$35</c:f>
              <c:numCache>
                <c:formatCode>#,##0.00</c:formatCode>
                <c:ptCount val="12"/>
                <c:pt idx="7">
                  <c:v>7.83</c:v>
                </c:pt>
                <c:pt idx="8">
                  <c:v>15.66</c:v>
                </c:pt>
              </c:numCache>
            </c:numRef>
          </c:val>
          <c:extLst xmlns:c16r2="http://schemas.microsoft.com/office/drawing/2015/06/chart">
            <c:ext xmlns:c16="http://schemas.microsoft.com/office/drawing/2014/chart" uri="{C3380CC4-5D6E-409C-BE32-E72D297353CC}">
              <c16:uniqueId val="{00000010-AD1A-4FDA-A189-525C04CD931F}"/>
            </c:ext>
          </c:extLst>
        </c:ser>
        <c:ser>
          <c:idx val="17"/>
          <c:order val="17"/>
          <c:tx>
            <c:strRef>
              <c:f>'Bus 304 summary'!$B$36</c:f>
              <c:strCache>
                <c:ptCount val="1"/>
                <c:pt idx="0">
                  <c:v>OIL/OTHER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304 summary'!$C$36:$P$36</c15:sqref>
                  </c15:fullRef>
                </c:ext>
              </c:extLst>
              <c:f>'Bus 304 summary'!$C$36:$N$36</c:f>
              <c:numCache>
                <c:formatCode>#,##0.00</c:formatCode>
                <c:ptCount val="12"/>
              </c:numCache>
            </c:numRef>
          </c:val>
          <c:extLst xmlns:c16r2="http://schemas.microsoft.com/office/drawing/2015/06/chart">
            <c:ext xmlns:c16="http://schemas.microsoft.com/office/drawing/2014/chart" uri="{C3380CC4-5D6E-409C-BE32-E72D297353CC}">
              <c16:uniqueId val="{00000011-AD1A-4FDA-A189-525C04CD931F}"/>
            </c:ext>
          </c:extLst>
        </c:ser>
        <c:ser>
          <c:idx val="18"/>
          <c:order val="18"/>
          <c:tx>
            <c:strRef>
              <c:f>'Bus 304 summary'!$B$37</c:f>
              <c:strCache>
                <c:ptCount val="1"/>
                <c:pt idx="0">
                  <c:v>OTHER PARTS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304 summary'!$C$37:$P$37</c15:sqref>
                  </c15:fullRef>
                </c:ext>
              </c:extLst>
              <c:f>'Bus 304 summary'!$C$37:$N$37</c:f>
              <c:numCache>
                <c:formatCode>#,##0.00</c:formatCode>
                <c:ptCount val="12"/>
                <c:pt idx="7">
                  <c:v>412.38</c:v>
                </c:pt>
              </c:numCache>
            </c:numRef>
          </c:val>
          <c:extLst xmlns:c16r2="http://schemas.microsoft.com/office/drawing/2015/06/chart">
            <c:ext xmlns:c16="http://schemas.microsoft.com/office/drawing/2014/chart" uri="{C3380CC4-5D6E-409C-BE32-E72D297353CC}">
              <c16:uniqueId val="{00000012-AD1A-4FDA-A189-525C04CD931F}"/>
            </c:ext>
          </c:extLst>
        </c:ser>
        <c:ser>
          <c:idx val="19"/>
          <c:order val="19"/>
          <c:tx>
            <c:strRef>
              <c:f>'Bus 304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'Bus 304 summary'!$C$18:$P$18</c15:sqref>
                  </c15:fullRef>
                </c:ext>
              </c:extLst>
              <c:f>'Bus 304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304 summary'!$C$38:$P$38</c15:sqref>
                  </c15:fullRef>
                </c:ext>
              </c:extLst>
              <c:f>'Bus 304 summary'!$C$38:$N$38</c:f>
              <c:numCache>
                <c:formatCode>#,##0.00</c:formatCode>
                <c:ptCount val="12"/>
                <c:pt idx="7">
                  <c:v>100</c:v>
                </c:pt>
                <c:pt idx="8">
                  <c:v>40</c:v>
                </c:pt>
              </c:numCache>
            </c:numRef>
          </c:val>
          <c:extLst xmlns:c16r2="http://schemas.microsoft.com/office/drawing/2015/06/chart">
            <c:ext xmlns:c16="http://schemas.microsoft.com/office/drawing/2014/chart" uri="{C3380CC4-5D6E-409C-BE32-E72D297353CC}">
              <c16:uniqueId val="{00000013-AD1A-4FDA-A189-525C04CD931F}"/>
            </c:ext>
          </c:extLst>
        </c:ser>
        <c:dLbls>
          <c:showLegendKey val="0"/>
          <c:showVal val="0"/>
          <c:showCatName val="0"/>
          <c:showSerName val="0"/>
          <c:showPercent val="0"/>
          <c:showBubbleSize val="0"/>
        </c:dLbls>
        <c:gapWidth val="150"/>
        <c:axId val="563790792"/>
        <c:axId val="563791184"/>
      </c:barChart>
      <c:catAx>
        <c:axId val="563790792"/>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563791184"/>
        <c:crosses val="autoZero"/>
        <c:auto val="1"/>
        <c:lblAlgn val="ctr"/>
        <c:lblOffset val="100"/>
        <c:noMultiLvlLbl val="0"/>
      </c:catAx>
      <c:valAx>
        <c:axId val="563791184"/>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63790792"/>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866728171240174"/>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'304 Chart'!$C$4:$C$5</c:f>
              <c:strCache>
                <c:ptCount val="2"/>
                <c:pt idx="0">
                  <c:v>Projected Cost-Current Maintenance Practices, $109,252  </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'304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'304 Chart'!$C$6:$C$17</c:f>
              <c:numCache>
                <c:formatCode>_("$"* #,##0_);_("$"* \(#,##0\);_("$"* "-"??_);_(@_)</c:formatCode>
                <c:ptCount val="12"/>
                <c:pt idx="0">
                  <c:v>5237</c:v>
                </c:pt>
                <c:pt idx="1">
                  <c:v>5237</c:v>
                </c:pt>
                <c:pt idx="2">
                  <c:v>5237</c:v>
                </c:pt>
                <c:pt idx="3">
                  <c:v>5237</c:v>
                </c:pt>
                <c:pt idx="4">
                  <c:v>14091.25</c:v>
                </c:pt>
                <c:pt idx="5">
                  <c:v>5237</c:v>
                </c:pt>
                <c:pt idx="6">
                  <c:v>5237</c:v>
                </c:pt>
                <c:pt idx="7">
                  <c:v>5237</c:v>
                </c:pt>
                <c:pt idx="8">
                  <c:v>5237</c:v>
                </c:pt>
                <c:pt idx="9">
                  <c:v>5237</c:v>
                </c:pt>
                <c:pt idx="10">
                  <c:v>5237</c:v>
                </c:pt>
                <c:pt idx="11">
                  <c:v>5237</c:v>
                </c:pt>
              </c:numCache>
            </c:numRef>
          </c:val>
          <c:smooth val="0"/>
          <c:extLst xmlns:c16r2="http://schemas.microsoft.com/office/drawing/2015/06/chart">
            <c:ext xmlns:c16="http://schemas.microsoft.com/office/drawing/2014/chart" uri="{C3380CC4-5D6E-409C-BE32-E72D297353CC}">
              <c16:uniqueId val="{00000000-1064-4521-9660-229E7E5BF77C}"/>
            </c:ext>
          </c:extLst>
        </c:ser>
        <c:ser>
          <c:idx val="1"/>
          <c:order val="1"/>
          <c:tx>
            <c:strRef>
              <c:f>'304 Chart'!$D$4:$D$5</c:f>
              <c:strCache>
                <c:ptCount val="2"/>
                <c:pt idx="0">
                  <c:v>Projected Cost Alternate Maintenance Practices, $253,816</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'304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'304 Chart'!$D$6:$D$17</c:f>
              <c:numCache>
                <c:formatCode>_("$"* #,##0_);_("$"* \(#,##0\);_("$"* "-"??_);_(@_)</c:formatCode>
                <c:ptCount val="12"/>
                <c:pt idx="0">
                  <c:v>2698</c:v>
                </c:pt>
                <c:pt idx="1">
                  <c:v>2897</c:v>
                </c:pt>
                <c:pt idx="2">
                  <c:v>9047.25</c:v>
                </c:pt>
                <c:pt idx="3">
                  <c:v>12911.25</c:v>
                </c:pt>
                <c:pt idx="4">
                  <c:v>8526.25</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1064-4521-9660-229E7E5BF77C}"/>
            </c:ext>
          </c:extLst>
        </c:ser>
        <c:dLbls>
          <c:showLegendKey val="0"/>
          <c:showVal val="0"/>
          <c:showCatName val="0"/>
          <c:showSerName val="0"/>
          <c:showPercent val="0"/>
          <c:showBubbleSize val="0"/>
        </c:dLbls>
        <c:smooth val="0"/>
        <c:axId val="543997672"/>
        <c:axId val="543998064"/>
      </c:lineChart>
      <c:catAx>
        <c:axId val="543997672"/>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43998064"/>
        <c:crosses val="autoZero"/>
        <c:auto val="1"/>
        <c:lblAlgn val="ctr"/>
        <c:lblOffset val="100"/>
        <c:tickLblSkip val="1"/>
        <c:tickMarkSkip val="1"/>
        <c:noMultiLvlLbl val="0"/>
      </c:catAx>
      <c:valAx>
        <c:axId val="543998064"/>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43997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alignWithMargins="0"/>
    <c:pageMargins b="1" l="0.75" r="0.75"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305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305 summary'!$C$19:$P$19</c15:sqref>
                  </c15:fullRef>
                </c:ext>
              </c:extLst>
              <c:f>'Bus 305 summary'!$C$19:$N$19</c:f>
              <c:numCache>
                <c:formatCode>#,##0.00</c:formatCode>
                <c:ptCount val="12"/>
                <c:pt idx="6">
                  <c:v>116.87</c:v>
                </c:pt>
                <c:pt idx="7">
                  <c:v>1069.29</c:v>
                </c:pt>
                <c:pt idx="8">
                  <c:v>683.58</c:v>
                </c:pt>
              </c:numCache>
            </c:numRef>
          </c:val>
          <c:extLst xmlns:c16r2="http://schemas.microsoft.com/office/drawing/2015/06/chart">
            <c:ext xmlns:c16="http://schemas.microsoft.com/office/drawing/2014/chart" uri="{C3380CC4-5D6E-409C-BE32-E72D297353CC}">
              <c16:uniqueId val="{00000000-545E-4275-970A-2958616A3B1D}"/>
            </c:ext>
          </c:extLst>
        </c:ser>
        <c:ser>
          <c:idx val="1"/>
          <c:order val="1"/>
          <c:tx>
            <c:strRef>
              <c:f>'Bus 305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305 summary'!$C$20:$P$20</c15:sqref>
                  </c15:fullRef>
                </c:ext>
              </c:extLst>
              <c:f>'Bus 305 summary'!$C$20:$N$20</c:f>
              <c:numCache>
                <c:formatCode>#,##0.00</c:formatCode>
                <c:ptCount val="12"/>
              </c:numCache>
            </c:numRef>
          </c:val>
          <c:extLst xmlns:c16r2="http://schemas.microsoft.com/office/drawing/2015/06/chart">
            <c:ext xmlns:c16="http://schemas.microsoft.com/office/drawing/2014/chart" uri="{C3380CC4-5D6E-409C-BE32-E72D297353CC}">
              <c16:uniqueId val="{00000001-545E-4275-970A-2958616A3B1D}"/>
            </c:ext>
          </c:extLst>
        </c:ser>
        <c:ser>
          <c:idx val="2"/>
          <c:order val="2"/>
          <c:tx>
            <c:strRef>
              <c:f>'Bus 305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305 summary'!$C$21:$P$21</c15:sqref>
                  </c15:fullRef>
                </c:ext>
              </c:extLst>
              <c:f>'Bus 305 summary'!$C$21:$N$21</c:f>
              <c:numCache>
                <c:formatCode>#,##0.00</c:formatCode>
                <c:ptCount val="12"/>
                <c:pt idx="6">
                  <c:v>48.09</c:v>
                </c:pt>
              </c:numCache>
            </c:numRef>
          </c:val>
          <c:extLst xmlns:c16r2="http://schemas.microsoft.com/office/drawing/2015/06/chart">
            <c:ext xmlns:c16="http://schemas.microsoft.com/office/drawing/2014/chart" uri="{C3380CC4-5D6E-409C-BE32-E72D297353CC}">
              <c16:uniqueId val="{00000002-545E-4275-970A-2958616A3B1D}"/>
            </c:ext>
          </c:extLst>
        </c:ser>
        <c:ser>
          <c:idx val="3"/>
          <c:order val="3"/>
          <c:tx>
            <c:strRef>
              <c:f>'Bus 305 summary'!$B$22</c:f>
              <c:strCache>
                <c:ptCount val="1"/>
                <c:pt idx="0">
                  <c:v>CALIPERS</c:v>
                </c:pt>
              </c:strCache>
            </c:strRef>
          </c:tx>
          <c:spPr>
            <a:solidFill>
              <a:schemeClr val="accent4"/>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305 summary'!$C$22:$P$22</c15:sqref>
                  </c15:fullRef>
                </c:ext>
              </c:extLst>
              <c:f>'Bus 305 summary'!$C$22:$N$22</c:f>
              <c:numCache>
                <c:formatCode>#,##0.00</c:formatCode>
                <c:ptCount val="12"/>
                <c:pt idx="6">
                  <c:v>42.89</c:v>
                </c:pt>
              </c:numCache>
            </c:numRef>
          </c:val>
          <c:extLst xmlns:c16r2="http://schemas.microsoft.com/office/drawing/2015/06/chart">
            <c:ext xmlns:c16="http://schemas.microsoft.com/office/drawing/2014/chart" uri="{C3380CC4-5D6E-409C-BE32-E72D297353CC}">
              <c16:uniqueId val="{00000003-545E-4275-970A-2958616A3B1D}"/>
            </c:ext>
          </c:extLst>
        </c:ser>
        <c:ser>
          <c:idx val="4"/>
          <c:order val="4"/>
          <c:tx>
            <c:strRef>
              <c:f>'Bus 305 summary'!$B$23</c:f>
              <c:strCache>
                <c:ptCount val="1"/>
                <c:pt idx="0">
                  <c:v>STARTERS</c:v>
                </c:pt>
              </c:strCache>
            </c:strRef>
          </c:tx>
          <c:spPr>
            <a:solidFill>
              <a:schemeClr val="accent5"/>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305 summary'!$C$23:$P$23</c15:sqref>
                  </c15:fullRef>
                </c:ext>
              </c:extLst>
              <c:f>'Bus 305 summary'!$C$23:$N$23</c:f>
              <c:numCache>
                <c:formatCode>#,##0.00</c:formatCode>
                <c:ptCount val="12"/>
              </c:numCache>
            </c:numRef>
          </c:val>
          <c:extLst xmlns:c16r2="http://schemas.microsoft.com/office/drawing/2015/06/chart">
            <c:ext xmlns:c16="http://schemas.microsoft.com/office/drawing/2014/chart" uri="{C3380CC4-5D6E-409C-BE32-E72D297353CC}">
              <c16:uniqueId val="{00000004-545E-4275-970A-2958616A3B1D}"/>
            </c:ext>
          </c:extLst>
        </c:ser>
        <c:ser>
          <c:idx val="5"/>
          <c:order val="5"/>
          <c:tx>
            <c:strRef>
              <c:f>'Bus 305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305 summary'!$C$24:$P$24</c15:sqref>
                  </c15:fullRef>
                </c:ext>
              </c:extLst>
              <c:f>'Bus 305 summary'!$C$24:$N$24</c:f>
              <c:numCache>
                <c:formatCode>#,##0.00</c:formatCode>
                <c:ptCount val="12"/>
              </c:numCache>
            </c:numRef>
          </c:val>
          <c:extLst xmlns:c16r2="http://schemas.microsoft.com/office/drawing/2015/06/chart">
            <c:ext xmlns:c16="http://schemas.microsoft.com/office/drawing/2014/chart" uri="{C3380CC4-5D6E-409C-BE32-E72D297353CC}">
              <c16:uniqueId val="{00000005-545E-4275-970A-2958616A3B1D}"/>
            </c:ext>
          </c:extLst>
        </c:ser>
        <c:ser>
          <c:idx val="6"/>
          <c:order val="6"/>
          <c:tx>
            <c:strRef>
              <c:f>'Bus 305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305 summary'!$C$25:$P$25</c15:sqref>
                  </c15:fullRef>
                </c:ext>
              </c:extLst>
              <c:f>'Bus 305 summary'!$C$25:$N$25</c:f>
              <c:numCache>
                <c:formatCode>#,##0.00</c:formatCode>
                <c:ptCount val="12"/>
              </c:numCache>
            </c:numRef>
          </c:val>
          <c:extLst xmlns:c16r2="http://schemas.microsoft.com/office/drawing/2015/06/chart">
            <c:ext xmlns:c16="http://schemas.microsoft.com/office/drawing/2014/chart" uri="{C3380CC4-5D6E-409C-BE32-E72D297353CC}">
              <c16:uniqueId val="{00000006-545E-4275-970A-2958616A3B1D}"/>
            </c:ext>
          </c:extLst>
        </c:ser>
        <c:ser>
          <c:idx val="7"/>
          <c:order val="7"/>
          <c:tx>
            <c:strRef>
              <c:f>'Bus 305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305 summary'!$C$26:$P$26</c15:sqref>
                  </c15:fullRef>
                </c:ext>
              </c:extLst>
              <c:f>'Bus 305 summary'!$C$26:$N$26</c:f>
              <c:numCache>
                <c:formatCode>#,##0.00</c:formatCode>
                <c:ptCount val="12"/>
              </c:numCache>
            </c:numRef>
          </c:val>
          <c:extLst xmlns:c16r2="http://schemas.microsoft.com/office/drawing/2015/06/chart">
            <c:ext xmlns:c16="http://schemas.microsoft.com/office/drawing/2014/chart" uri="{C3380CC4-5D6E-409C-BE32-E72D297353CC}">
              <c16:uniqueId val="{00000007-545E-4275-970A-2958616A3B1D}"/>
            </c:ext>
          </c:extLst>
        </c:ser>
        <c:ser>
          <c:idx val="8"/>
          <c:order val="8"/>
          <c:tx>
            <c:strRef>
              <c:f>'Bus 305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305 summary'!$C$27:$P$27</c15:sqref>
                  </c15:fullRef>
                </c:ext>
              </c:extLst>
              <c:f>'Bus 305 summary'!$C$27:$N$27</c:f>
              <c:numCache>
                <c:formatCode>#,##0.00</c:formatCode>
                <c:ptCount val="12"/>
              </c:numCache>
            </c:numRef>
          </c:val>
          <c:extLst xmlns:c16r2="http://schemas.microsoft.com/office/drawing/2015/06/chart">
            <c:ext xmlns:c16="http://schemas.microsoft.com/office/drawing/2014/chart" uri="{C3380CC4-5D6E-409C-BE32-E72D297353CC}">
              <c16:uniqueId val="{00000008-545E-4275-970A-2958616A3B1D}"/>
            </c:ext>
          </c:extLst>
        </c:ser>
        <c:ser>
          <c:idx val="9"/>
          <c:order val="9"/>
          <c:tx>
            <c:strRef>
              <c:f>'Bus 305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305 summary'!$C$28:$P$28</c15:sqref>
                  </c15:fullRef>
                </c:ext>
              </c:extLst>
              <c:f>'Bus 305 summary'!$C$28:$N$28</c:f>
            </c:numRef>
          </c:val>
          <c:extLst xmlns:c16r2="http://schemas.microsoft.com/office/drawing/2015/06/chart">
            <c:ext xmlns:c16="http://schemas.microsoft.com/office/drawing/2014/chart" uri="{C3380CC4-5D6E-409C-BE32-E72D297353CC}">
              <c16:uniqueId val="{00000009-545E-4275-970A-2958616A3B1D}"/>
            </c:ext>
          </c:extLst>
        </c:ser>
        <c:ser>
          <c:idx val="10"/>
          <c:order val="10"/>
          <c:tx>
            <c:strRef>
              <c:f>'Bus 305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305 summary'!$C$29:$P$29</c15:sqref>
                  </c15:fullRef>
                </c:ext>
              </c:extLst>
              <c:f>'Bus 305 summary'!$C$29:$N$29</c:f>
            </c:numRef>
          </c:val>
          <c:extLst xmlns:c16r2="http://schemas.microsoft.com/office/drawing/2015/06/chart">
            <c:ext xmlns:c16="http://schemas.microsoft.com/office/drawing/2014/chart" uri="{C3380CC4-5D6E-409C-BE32-E72D297353CC}">
              <c16:uniqueId val="{0000000A-545E-4275-970A-2958616A3B1D}"/>
            </c:ext>
          </c:extLst>
        </c:ser>
        <c:ser>
          <c:idx val="11"/>
          <c:order val="11"/>
          <c:tx>
            <c:strRef>
              <c:f>'Bus 305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305 summary'!$C$30:$P$30</c15:sqref>
                  </c15:fullRef>
                </c:ext>
              </c:extLst>
              <c:f>'Bus 305 summary'!$C$30:$N$30</c:f>
            </c:numRef>
          </c:val>
          <c:extLst xmlns:c16r2="http://schemas.microsoft.com/office/drawing/2015/06/chart">
            <c:ext xmlns:c16="http://schemas.microsoft.com/office/drawing/2014/chart" uri="{C3380CC4-5D6E-409C-BE32-E72D297353CC}">
              <c16:uniqueId val="{0000000B-545E-4275-970A-2958616A3B1D}"/>
            </c:ext>
          </c:extLst>
        </c:ser>
        <c:ser>
          <c:idx val="12"/>
          <c:order val="12"/>
          <c:tx>
            <c:strRef>
              <c:f>'Bus 305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305 summary'!$C$31:$P$31</c15:sqref>
                  </c15:fullRef>
                </c:ext>
              </c:extLst>
              <c:f>'Bus 305 summary'!$C$31:$N$31</c:f>
            </c:numRef>
          </c:val>
          <c:extLst xmlns:c16r2="http://schemas.microsoft.com/office/drawing/2015/06/chart">
            <c:ext xmlns:c16="http://schemas.microsoft.com/office/drawing/2014/chart" uri="{C3380CC4-5D6E-409C-BE32-E72D297353CC}">
              <c16:uniqueId val="{0000000C-545E-4275-970A-2958616A3B1D}"/>
            </c:ext>
          </c:extLst>
        </c:ser>
        <c:ser>
          <c:idx val="13"/>
          <c:order val="13"/>
          <c:tx>
            <c:strRef>
              <c:f>'Bus 305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305 summary'!$C$32:$P$32</c15:sqref>
                  </c15:fullRef>
                </c:ext>
              </c:extLst>
              <c:f>'Bus 305 summary'!$C$32:$N$32</c:f>
              <c:numCache>
                <c:formatCode>#,##0.00</c:formatCode>
                <c:ptCount val="12"/>
              </c:numCache>
            </c:numRef>
          </c:val>
          <c:extLst xmlns:c16r2="http://schemas.microsoft.com/office/drawing/2015/06/chart">
            <c:ext xmlns:c16="http://schemas.microsoft.com/office/drawing/2014/chart" uri="{C3380CC4-5D6E-409C-BE32-E72D297353CC}">
              <c16:uniqueId val="{0000000D-545E-4275-970A-2958616A3B1D}"/>
            </c:ext>
          </c:extLst>
        </c:ser>
        <c:ser>
          <c:idx val="14"/>
          <c:order val="14"/>
          <c:tx>
            <c:strRef>
              <c:f>'Bus 305 summary'!$B$33</c:f>
              <c:strCache>
                <c:ptCount val="1"/>
                <c:pt idx="0">
                  <c:v>WARRANTY</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305 summary'!$C$33:$P$33</c15:sqref>
                  </c15:fullRef>
                </c:ext>
              </c:extLst>
              <c:f>'Bus 305 summary'!$C$33:$N$33</c:f>
              <c:numCache>
                <c:formatCode>#,##0.00</c:formatCode>
                <c:ptCount val="12"/>
              </c:numCache>
            </c:numRef>
          </c:val>
          <c:extLst xmlns:c16r2="http://schemas.microsoft.com/office/drawing/2015/06/chart">
            <c:ext xmlns:c16="http://schemas.microsoft.com/office/drawing/2014/chart" uri="{C3380CC4-5D6E-409C-BE32-E72D297353CC}">
              <c16:uniqueId val="{0000000E-545E-4275-970A-2958616A3B1D}"/>
            </c:ext>
          </c:extLst>
        </c:ser>
        <c:ser>
          <c:idx val="15"/>
          <c:order val="15"/>
          <c:tx>
            <c:strRef>
              <c:f>'Bus 305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305 summary'!$C$34:$P$34</c15:sqref>
                  </c15:fullRef>
                </c:ext>
              </c:extLst>
              <c:f>'Bus 305 summary'!$C$34:$N$34</c:f>
              <c:numCache>
                <c:formatCode>#,##0.00</c:formatCode>
                <c:ptCount val="12"/>
              </c:numCache>
            </c:numRef>
          </c:val>
          <c:extLst xmlns:c16r2="http://schemas.microsoft.com/office/drawing/2015/06/chart">
            <c:ext xmlns:c16="http://schemas.microsoft.com/office/drawing/2014/chart" uri="{C3380CC4-5D6E-409C-BE32-E72D297353CC}">
              <c16:uniqueId val="{0000000F-545E-4275-970A-2958616A3B1D}"/>
            </c:ext>
          </c:extLst>
        </c:ser>
        <c:ser>
          <c:idx val="16"/>
          <c:order val="16"/>
          <c:tx>
            <c:strRef>
              <c:f>'Bus 305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305 summary'!$C$35:$P$35</c15:sqref>
                  </c15:fullRef>
                </c:ext>
              </c:extLst>
              <c:f>'Bus 305 summary'!$C$35:$N$35</c:f>
              <c:numCache>
                <c:formatCode>#,##0.00</c:formatCode>
                <c:ptCount val="12"/>
                <c:pt idx="8">
                  <c:v>31.32</c:v>
                </c:pt>
              </c:numCache>
            </c:numRef>
          </c:val>
          <c:extLst xmlns:c16r2="http://schemas.microsoft.com/office/drawing/2015/06/chart">
            <c:ext xmlns:c16="http://schemas.microsoft.com/office/drawing/2014/chart" uri="{C3380CC4-5D6E-409C-BE32-E72D297353CC}">
              <c16:uniqueId val="{00000010-545E-4275-970A-2958616A3B1D}"/>
            </c:ext>
          </c:extLst>
        </c:ser>
        <c:ser>
          <c:idx val="17"/>
          <c:order val="17"/>
          <c:tx>
            <c:strRef>
              <c:f>'Bus 305 summary'!$B$36</c:f>
              <c:strCache>
                <c:ptCount val="1"/>
                <c:pt idx="0">
                  <c:v>OIL/OTHER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305 summary'!$C$36:$P$36</c15:sqref>
                  </c15:fullRef>
                </c:ext>
              </c:extLst>
              <c:f>'Bus 305 summary'!$C$36:$N$36</c:f>
              <c:numCache>
                <c:formatCode>#,##0.00</c:formatCode>
                <c:ptCount val="12"/>
                <c:pt idx="6">
                  <c:v>16.05</c:v>
                </c:pt>
              </c:numCache>
            </c:numRef>
          </c:val>
          <c:extLst xmlns:c16r2="http://schemas.microsoft.com/office/drawing/2015/06/chart">
            <c:ext xmlns:c16="http://schemas.microsoft.com/office/drawing/2014/chart" uri="{C3380CC4-5D6E-409C-BE32-E72D297353CC}">
              <c16:uniqueId val="{00000011-545E-4275-970A-2958616A3B1D}"/>
            </c:ext>
          </c:extLst>
        </c:ser>
        <c:ser>
          <c:idx val="18"/>
          <c:order val="18"/>
          <c:tx>
            <c:strRef>
              <c:f>'Bus 305 summary'!$B$37</c:f>
              <c:strCache>
                <c:ptCount val="1"/>
                <c:pt idx="0">
                  <c:v>OTHER PARTS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305 summary'!$C$37:$P$37</c15:sqref>
                  </c15:fullRef>
                </c:ext>
              </c:extLst>
              <c:f>'Bus 305 summary'!$C$37:$N$37</c:f>
              <c:numCache>
                <c:formatCode>#,##0.00</c:formatCode>
                <c:ptCount val="12"/>
                <c:pt idx="6">
                  <c:v>134.66</c:v>
                </c:pt>
                <c:pt idx="7">
                  <c:v>235.68</c:v>
                </c:pt>
                <c:pt idx="8">
                  <c:v>84.66</c:v>
                </c:pt>
              </c:numCache>
            </c:numRef>
          </c:val>
          <c:extLst xmlns:c16r2="http://schemas.microsoft.com/office/drawing/2015/06/chart">
            <c:ext xmlns:c16="http://schemas.microsoft.com/office/drawing/2014/chart" uri="{C3380CC4-5D6E-409C-BE32-E72D297353CC}">
              <c16:uniqueId val="{00000012-545E-4275-970A-2958616A3B1D}"/>
            </c:ext>
          </c:extLst>
        </c:ser>
        <c:ser>
          <c:idx val="19"/>
          <c:order val="19"/>
          <c:tx>
            <c:strRef>
              <c:f>'Bus 305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'Bus 305 summary'!$C$18:$P$18</c15:sqref>
                  </c15:fullRef>
                </c:ext>
              </c:extLst>
              <c:f>'Bus 305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305 summary'!$C$38:$P$38</c15:sqref>
                  </c15:fullRef>
                </c:ext>
              </c:extLst>
              <c:f>'Bus 305 summary'!$C$38:$N$38</c:f>
              <c:numCache>
                <c:formatCode>#,##0.00</c:formatCode>
                <c:ptCount val="12"/>
                <c:pt idx="6">
                  <c:v>200</c:v>
                </c:pt>
                <c:pt idx="7">
                  <c:v>50</c:v>
                </c:pt>
                <c:pt idx="8">
                  <c:v>170</c:v>
                </c:pt>
              </c:numCache>
            </c:numRef>
          </c:val>
          <c:extLst xmlns:c16r2="http://schemas.microsoft.com/office/drawing/2015/06/chart">
            <c:ext xmlns:c16="http://schemas.microsoft.com/office/drawing/2014/chart" uri="{C3380CC4-5D6E-409C-BE32-E72D297353CC}">
              <c16:uniqueId val="{00000013-545E-4275-970A-2958616A3B1D}"/>
            </c:ext>
          </c:extLst>
        </c:ser>
        <c:dLbls>
          <c:showLegendKey val="0"/>
          <c:showVal val="0"/>
          <c:showCatName val="0"/>
          <c:showSerName val="0"/>
          <c:showPercent val="0"/>
          <c:showBubbleSize val="0"/>
        </c:dLbls>
        <c:gapWidth val="150"/>
        <c:axId val="543999240"/>
        <c:axId val="543999632"/>
      </c:barChart>
      <c:catAx>
        <c:axId val="543999240"/>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543999632"/>
        <c:crosses val="autoZero"/>
        <c:auto val="1"/>
        <c:lblAlgn val="ctr"/>
        <c:lblOffset val="100"/>
        <c:noMultiLvlLbl val="0"/>
      </c:catAx>
      <c:valAx>
        <c:axId val="543999632"/>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43999240"/>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866728171240174"/>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'305 Chart'!$C$4:$C$5</c:f>
              <c:strCache>
                <c:ptCount val="2"/>
                <c:pt idx="0">
                  <c:v>Projected Cost-Current Maintenance Practices, $109,252  </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'305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'305 Chart'!$C$6:$C$17</c:f>
              <c:numCache>
                <c:formatCode>_("$"* #,##0_);_("$"* \(#,##0\);_("$"* "-"??_);_(@_)</c:formatCode>
                <c:ptCount val="12"/>
                <c:pt idx="0">
                  <c:v>5237</c:v>
                </c:pt>
                <c:pt idx="1">
                  <c:v>5237</c:v>
                </c:pt>
                <c:pt idx="2">
                  <c:v>5237</c:v>
                </c:pt>
                <c:pt idx="3">
                  <c:v>5237</c:v>
                </c:pt>
                <c:pt idx="4">
                  <c:v>14091.25</c:v>
                </c:pt>
                <c:pt idx="5">
                  <c:v>5237</c:v>
                </c:pt>
                <c:pt idx="6">
                  <c:v>5237</c:v>
                </c:pt>
                <c:pt idx="7">
                  <c:v>5237</c:v>
                </c:pt>
                <c:pt idx="8">
                  <c:v>5237</c:v>
                </c:pt>
                <c:pt idx="9">
                  <c:v>5237</c:v>
                </c:pt>
                <c:pt idx="10">
                  <c:v>5237</c:v>
                </c:pt>
                <c:pt idx="11">
                  <c:v>5237</c:v>
                </c:pt>
              </c:numCache>
            </c:numRef>
          </c:val>
          <c:smooth val="0"/>
          <c:extLst xmlns:c16r2="http://schemas.microsoft.com/office/drawing/2015/06/chart">
            <c:ext xmlns:c16="http://schemas.microsoft.com/office/drawing/2014/chart" uri="{C3380CC4-5D6E-409C-BE32-E72D297353CC}">
              <c16:uniqueId val="{00000000-2020-4586-8DBC-D90F679E9541}"/>
            </c:ext>
          </c:extLst>
        </c:ser>
        <c:ser>
          <c:idx val="1"/>
          <c:order val="1"/>
          <c:tx>
            <c:strRef>
              <c:f>'305 Chart'!$D$4:$D$5</c:f>
              <c:strCache>
                <c:ptCount val="2"/>
                <c:pt idx="0">
                  <c:v>Projected Cost Alternate Maintenance Practices, $253,816</c:v>
                </c:pt>
              </c:strCache>
            </c:strRef>
          </c:tx>
          <c:spPr>
            <a:ln w="22225" cap="rnd">
              <a:solidFill>
                <a:schemeClr val="accent2"/>
              </a:solidFill>
            </a:ln>
            <a:effectLst>
              <a:glow rad="139700">
                <a:schemeClr val="accent2">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'305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'305 Chart'!$D$6:$D$17</c:f>
              <c:numCache>
                <c:formatCode>_("$"* #,##0_);_("$"* \(#,##0\);_("$"* "-"??_);_(@_)</c:formatCode>
                <c:ptCount val="12"/>
                <c:pt idx="0">
                  <c:v>2698</c:v>
                </c:pt>
                <c:pt idx="1">
                  <c:v>2897</c:v>
                </c:pt>
                <c:pt idx="2">
                  <c:v>9047.25</c:v>
                </c:pt>
                <c:pt idx="3">
                  <c:v>12786.25</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2020-4586-8DBC-D90F679E9541}"/>
            </c:ext>
          </c:extLst>
        </c:ser>
        <c:dLbls>
          <c:showLegendKey val="0"/>
          <c:showVal val="0"/>
          <c:showCatName val="0"/>
          <c:showSerName val="0"/>
          <c:showPercent val="0"/>
          <c:showBubbleSize val="0"/>
        </c:dLbls>
        <c:smooth val="0"/>
        <c:axId val="544000024"/>
        <c:axId val="544000416"/>
      </c:lineChart>
      <c:catAx>
        <c:axId val="544000024"/>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544000416"/>
        <c:crosses val="autoZero"/>
        <c:auto val="1"/>
        <c:lblAlgn val="ctr"/>
        <c:lblOffset val="100"/>
        <c:tickLblSkip val="1"/>
        <c:tickMarkSkip val="1"/>
        <c:noMultiLvlLbl val="0"/>
      </c:catAx>
      <c:valAx>
        <c:axId val="54400041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54400002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alignWithMargins="0"/>
    <c:pageMargins b="1" l="0.75" r="0.75"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306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306 summary'!$C$19:$P$19</c15:sqref>
                  </c15:fullRef>
                </c:ext>
              </c:extLst>
              <c:f>'Bus 306 summary'!$C$19:$N$19</c:f>
              <c:numCache>
                <c:formatCode>#,##0.00</c:formatCode>
                <c:ptCount val="12"/>
                <c:pt idx="6">
                  <c:v>720.77</c:v>
                </c:pt>
              </c:numCache>
            </c:numRef>
          </c:val>
          <c:extLst xmlns:c16r2="http://schemas.microsoft.com/office/drawing/2015/06/chart">
            <c:ext xmlns:c16="http://schemas.microsoft.com/office/drawing/2014/chart" uri="{C3380CC4-5D6E-409C-BE32-E72D297353CC}">
              <c16:uniqueId val="{00000000-5CE5-4C3D-8721-870AACDA9027}"/>
            </c:ext>
          </c:extLst>
        </c:ser>
        <c:ser>
          <c:idx val="1"/>
          <c:order val="1"/>
          <c:tx>
            <c:strRef>
              <c:f>'Bus 306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306 summary'!$C$20:$P$20</c15:sqref>
                  </c15:fullRef>
                </c:ext>
              </c:extLst>
              <c:f>'Bus 306 summary'!$C$20:$N$20</c:f>
              <c:numCache>
                <c:formatCode>#,##0.00</c:formatCode>
                <c:ptCount val="12"/>
              </c:numCache>
            </c:numRef>
          </c:val>
          <c:extLst xmlns:c16r2="http://schemas.microsoft.com/office/drawing/2015/06/chart">
            <c:ext xmlns:c16="http://schemas.microsoft.com/office/drawing/2014/chart" uri="{C3380CC4-5D6E-409C-BE32-E72D297353CC}">
              <c16:uniqueId val="{00000001-5CE5-4C3D-8721-870AACDA9027}"/>
            </c:ext>
          </c:extLst>
        </c:ser>
        <c:ser>
          <c:idx val="2"/>
          <c:order val="2"/>
          <c:tx>
            <c:strRef>
              <c:f>'Bus 306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306 summary'!$C$21:$P$21</c15:sqref>
                  </c15:fullRef>
                </c:ext>
              </c:extLst>
              <c:f>'Bus 306 summary'!$C$21:$N$21</c:f>
              <c:numCache>
                <c:formatCode>#,##0.00</c:formatCode>
                <c:ptCount val="12"/>
              </c:numCache>
            </c:numRef>
          </c:val>
          <c:extLst xmlns:c16r2="http://schemas.microsoft.com/office/drawing/2015/06/chart">
            <c:ext xmlns:c16="http://schemas.microsoft.com/office/drawing/2014/chart" uri="{C3380CC4-5D6E-409C-BE32-E72D297353CC}">
              <c16:uniqueId val="{00000002-5CE5-4C3D-8721-870AACDA9027}"/>
            </c:ext>
          </c:extLst>
        </c:ser>
        <c:ser>
          <c:idx val="3"/>
          <c:order val="3"/>
          <c:tx>
            <c:strRef>
              <c:f>'Bus 306 summary'!$B$22</c:f>
              <c:strCache>
                <c:ptCount val="1"/>
                <c:pt idx="0">
                  <c:v>CALIPERS</c:v>
                </c:pt>
              </c:strCache>
            </c:strRef>
          </c:tx>
          <c:spPr>
            <a:solidFill>
              <a:schemeClr val="accent4"/>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306 summary'!$C$22:$P$22</c15:sqref>
                  </c15:fullRef>
                </c:ext>
              </c:extLst>
              <c:f>'Bus 306 summary'!$C$22:$N$22</c:f>
              <c:numCache>
                <c:formatCode>#,##0.00</c:formatCode>
                <c:ptCount val="12"/>
              </c:numCache>
            </c:numRef>
          </c:val>
          <c:extLst xmlns:c16r2="http://schemas.microsoft.com/office/drawing/2015/06/chart">
            <c:ext xmlns:c16="http://schemas.microsoft.com/office/drawing/2014/chart" uri="{C3380CC4-5D6E-409C-BE32-E72D297353CC}">
              <c16:uniqueId val="{00000003-5CE5-4C3D-8721-870AACDA9027}"/>
            </c:ext>
          </c:extLst>
        </c:ser>
        <c:ser>
          <c:idx val="4"/>
          <c:order val="4"/>
          <c:tx>
            <c:strRef>
              <c:f>'Bus 306 summary'!$B$23</c:f>
              <c:strCache>
                <c:ptCount val="1"/>
                <c:pt idx="0">
                  <c:v>STARTERS</c:v>
                </c:pt>
              </c:strCache>
            </c:strRef>
          </c:tx>
          <c:spPr>
            <a:solidFill>
              <a:schemeClr val="accent5"/>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306 summary'!$C$23:$P$23</c15:sqref>
                  </c15:fullRef>
                </c:ext>
              </c:extLst>
              <c:f>'Bus 306 summary'!$C$23:$N$23</c:f>
              <c:numCache>
                <c:formatCode>#,##0.00</c:formatCode>
                <c:ptCount val="12"/>
                <c:pt idx="6">
                  <c:v>128.79</c:v>
                </c:pt>
              </c:numCache>
            </c:numRef>
          </c:val>
          <c:extLst xmlns:c16r2="http://schemas.microsoft.com/office/drawing/2015/06/chart">
            <c:ext xmlns:c16="http://schemas.microsoft.com/office/drawing/2014/chart" uri="{C3380CC4-5D6E-409C-BE32-E72D297353CC}">
              <c16:uniqueId val="{00000004-5CE5-4C3D-8721-870AACDA9027}"/>
            </c:ext>
          </c:extLst>
        </c:ser>
        <c:ser>
          <c:idx val="5"/>
          <c:order val="5"/>
          <c:tx>
            <c:strRef>
              <c:f>'Bus 306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306 summary'!$C$24:$P$24</c15:sqref>
                  </c15:fullRef>
                </c:ext>
              </c:extLst>
              <c:f>'Bus 306 summary'!$C$24:$N$24</c:f>
              <c:numCache>
                <c:formatCode>#,##0.00</c:formatCode>
                <c:ptCount val="12"/>
              </c:numCache>
            </c:numRef>
          </c:val>
          <c:extLst xmlns:c16r2="http://schemas.microsoft.com/office/drawing/2015/06/chart">
            <c:ext xmlns:c16="http://schemas.microsoft.com/office/drawing/2014/chart" uri="{C3380CC4-5D6E-409C-BE32-E72D297353CC}">
              <c16:uniqueId val="{00000005-5CE5-4C3D-8721-870AACDA9027}"/>
            </c:ext>
          </c:extLst>
        </c:ser>
        <c:ser>
          <c:idx val="6"/>
          <c:order val="6"/>
          <c:tx>
            <c:strRef>
              <c:f>'Bus 306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306 summary'!$C$25:$P$25</c15:sqref>
                  </c15:fullRef>
                </c:ext>
              </c:extLst>
              <c:f>'Bus 306 summary'!$C$25:$N$25</c:f>
              <c:numCache>
                <c:formatCode>#,##0.00</c:formatCode>
                <c:ptCount val="12"/>
              </c:numCache>
            </c:numRef>
          </c:val>
          <c:extLst xmlns:c16r2="http://schemas.microsoft.com/office/drawing/2015/06/chart">
            <c:ext xmlns:c16="http://schemas.microsoft.com/office/drawing/2014/chart" uri="{C3380CC4-5D6E-409C-BE32-E72D297353CC}">
              <c16:uniqueId val="{00000006-5CE5-4C3D-8721-870AACDA9027}"/>
            </c:ext>
          </c:extLst>
        </c:ser>
        <c:ser>
          <c:idx val="7"/>
          <c:order val="7"/>
          <c:tx>
            <c:strRef>
              <c:f>'Bus 306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306 summary'!$C$26:$P$26</c15:sqref>
                  </c15:fullRef>
                </c:ext>
              </c:extLst>
              <c:f>'Bus 306 summary'!$C$26:$N$26</c:f>
              <c:numCache>
                <c:formatCode>#,##0.00</c:formatCode>
                <c:ptCount val="12"/>
              </c:numCache>
            </c:numRef>
          </c:val>
          <c:extLst xmlns:c16r2="http://schemas.microsoft.com/office/drawing/2015/06/chart">
            <c:ext xmlns:c16="http://schemas.microsoft.com/office/drawing/2014/chart" uri="{C3380CC4-5D6E-409C-BE32-E72D297353CC}">
              <c16:uniqueId val="{00000007-5CE5-4C3D-8721-870AACDA9027}"/>
            </c:ext>
          </c:extLst>
        </c:ser>
        <c:ser>
          <c:idx val="8"/>
          <c:order val="8"/>
          <c:tx>
            <c:strRef>
              <c:f>'Bus 306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306 summary'!$C$27:$P$27</c15:sqref>
                  </c15:fullRef>
                </c:ext>
              </c:extLst>
              <c:f>'Bus 306 summary'!$C$27:$N$27</c:f>
              <c:numCache>
                <c:formatCode>#,##0.00</c:formatCode>
                <c:ptCount val="12"/>
              </c:numCache>
            </c:numRef>
          </c:val>
          <c:extLst xmlns:c16r2="http://schemas.microsoft.com/office/drawing/2015/06/chart">
            <c:ext xmlns:c16="http://schemas.microsoft.com/office/drawing/2014/chart" uri="{C3380CC4-5D6E-409C-BE32-E72D297353CC}">
              <c16:uniqueId val="{00000008-5CE5-4C3D-8721-870AACDA9027}"/>
            </c:ext>
          </c:extLst>
        </c:ser>
        <c:ser>
          <c:idx val="9"/>
          <c:order val="9"/>
          <c:tx>
            <c:strRef>
              <c:f>'Bus 306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306 summary'!$C$28:$P$28</c15:sqref>
                  </c15:fullRef>
                </c:ext>
              </c:extLst>
              <c:f>'Bus 306 summary'!$C$28:$N$28</c:f>
            </c:numRef>
          </c:val>
          <c:extLst xmlns:c16r2="http://schemas.microsoft.com/office/drawing/2015/06/chart">
            <c:ext xmlns:c16="http://schemas.microsoft.com/office/drawing/2014/chart" uri="{C3380CC4-5D6E-409C-BE32-E72D297353CC}">
              <c16:uniqueId val="{00000009-5CE5-4C3D-8721-870AACDA9027}"/>
            </c:ext>
          </c:extLst>
        </c:ser>
        <c:ser>
          <c:idx val="10"/>
          <c:order val="10"/>
          <c:tx>
            <c:strRef>
              <c:f>'Bus 306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306 summary'!$C$29:$P$29</c15:sqref>
                  </c15:fullRef>
                </c:ext>
              </c:extLst>
              <c:f>'Bus 306 summary'!$C$29:$N$29</c:f>
            </c:numRef>
          </c:val>
          <c:extLst xmlns:c16r2="http://schemas.microsoft.com/office/drawing/2015/06/chart">
            <c:ext xmlns:c16="http://schemas.microsoft.com/office/drawing/2014/chart" uri="{C3380CC4-5D6E-409C-BE32-E72D297353CC}">
              <c16:uniqueId val="{0000000A-5CE5-4C3D-8721-870AACDA9027}"/>
            </c:ext>
          </c:extLst>
        </c:ser>
        <c:ser>
          <c:idx val="11"/>
          <c:order val="11"/>
          <c:tx>
            <c:strRef>
              <c:f>'Bus 306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306 summary'!$C$30:$P$30</c15:sqref>
                  </c15:fullRef>
                </c:ext>
              </c:extLst>
              <c:f>'Bus 306 summary'!$C$30:$N$30</c:f>
            </c:numRef>
          </c:val>
          <c:extLst xmlns:c16r2="http://schemas.microsoft.com/office/drawing/2015/06/chart">
            <c:ext xmlns:c16="http://schemas.microsoft.com/office/drawing/2014/chart" uri="{C3380CC4-5D6E-409C-BE32-E72D297353CC}">
              <c16:uniqueId val="{0000000B-5CE5-4C3D-8721-870AACDA9027}"/>
            </c:ext>
          </c:extLst>
        </c:ser>
        <c:ser>
          <c:idx val="12"/>
          <c:order val="12"/>
          <c:tx>
            <c:strRef>
              <c:f>'Bus 306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306 summary'!$C$31:$P$31</c15:sqref>
                  </c15:fullRef>
                </c:ext>
              </c:extLst>
              <c:f>'Bus 306 summary'!$C$31:$N$31</c:f>
            </c:numRef>
          </c:val>
          <c:extLst xmlns:c16r2="http://schemas.microsoft.com/office/drawing/2015/06/chart">
            <c:ext xmlns:c16="http://schemas.microsoft.com/office/drawing/2014/chart" uri="{C3380CC4-5D6E-409C-BE32-E72D297353CC}">
              <c16:uniqueId val="{0000000C-5CE5-4C3D-8721-870AACDA9027}"/>
            </c:ext>
          </c:extLst>
        </c:ser>
        <c:ser>
          <c:idx val="13"/>
          <c:order val="13"/>
          <c:tx>
            <c:strRef>
              <c:f>'Bus 306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306 summary'!$C$32:$P$32</c15:sqref>
                  </c15:fullRef>
                </c:ext>
              </c:extLst>
              <c:f>'Bus 306 summary'!$C$32:$N$32</c:f>
              <c:numCache>
                <c:formatCode>#,##0.00</c:formatCode>
                <c:ptCount val="12"/>
              </c:numCache>
            </c:numRef>
          </c:val>
          <c:extLst xmlns:c16r2="http://schemas.microsoft.com/office/drawing/2015/06/chart">
            <c:ext xmlns:c16="http://schemas.microsoft.com/office/drawing/2014/chart" uri="{C3380CC4-5D6E-409C-BE32-E72D297353CC}">
              <c16:uniqueId val="{0000000D-5CE5-4C3D-8721-870AACDA9027}"/>
            </c:ext>
          </c:extLst>
        </c:ser>
        <c:ser>
          <c:idx val="14"/>
          <c:order val="14"/>
          <c:tx>
            <c:strRef>
              <c:f>'Bus 306 summary'!$B$33</c:f>
              <c:strCache>
                <c:ptCount val="1"/>
                <c:pt idx="0">
                  <c:v>WARRANTY</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306 summary'!$C$33:$P$33</c15:sqref>
                  </c15:fullRef>
                </c:ext>
              </c:extLst>
              <c:f>'Bus 306 summary'!$C$33:$N$33</c:f>
              <c:numCache>
                <c:formatCode>#,##0.00</c:formatCode>
                <c:ptCount val="12"/>
              </c:numCache>
            </c:numRef>
          </c:val>
          <c:extLst xmlns:c16r2="http://schemas.microsoft.com/office/drawing/2015/06/chart">
            <c:ext xmlns:c16="http://schemas.microsoft.com/office/drawing/2014/chart" uri="{C3380CC4-5D6E-409C-BE32-E72D297353CC}">
              <c16:uniqueId val="{0000000E-5CE5-4C3D-8721-870AACDA9027}"/>
            </c:ext>
          </c:extLst>
        </c:ser>
        <c:ser>
          <c:idx val="15"/>
          <c:order val="15"/>
          <c:tx>
            <c:strRef>
              <c:f>'Bus 306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306 summary'!$C$34:$P$34</c15:sqref>
                  </c15:fullRef>
                </c:ext>
              </c:extLst>
              <c:f>'Bus 306 summary'!$C$34:$N$34</c:f>
              <c:numCache>
                <c:formatCode>#,##0.00</c:formatCode>
                <c:ptCount val="12"/>
              </c:numCache>
            </c:numRef>
          </c:val>
          <c:extLst xmlns:c16r2="http://schemas.microsoft.com/office/drawing/2015/06/chart">
            <c:ext xmlns:c16="http://schemas.microsoft.com/office/drawing/2014/chart" uri="{C3380CC4-5D6E-409C-BE32-E72D297353CC}">
              <c16:uniqueId val="{0000000F-5CE5-4C3D-8721-870AACDA9027}"/>
            </c:ext>
          </c:extLst>
        </c:ser>
        <c:ser>
          <c:idx val="16"/>
          <c:order val="16"/>
          <c:tx>
            <c:strRef>
              <c:f>'Bus 306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306 summary'!$C$35:$P$35</c15:sqref>
                  </c15:fullRef>
                </c:ext>
              </c:extLst>
              <c:f>'Bus 306 summary'!$C$35:$N$35</c:f>
              <c:numCache>
                <c:formatCode>#,##0.00</c:formatCode>
                <c:ptCount val="12"/>
                <c:pt idx="6">
                  <c:v>15.66</c:v>
                </c:pt>
                <c:pt idx="7">
                  <c:v>23.49</c:v>
                </c:pt>
              </c:numCache>
            </c:numRef>
          </c:val>
          <c:extLst xmlns:c16r2="http://schemas.microsoft.com/office/drawing/2015/06/chart">
            <c:ext xmlns:c16="http://schemas.microsoft.com/office/drawing/2014/chart" uri="{C3380CC4-5D6E-409C-BE32-E72D297353CC}">
              <c16:uniqueId val="{00000010-5CE5-4C3D-8721-870AACDA9027}"/>
            </c:ext>
          </c:extLst>
        </c:ser>
        <c:ser>
          <c:idx val="17"/>
          <c:order val="17"/>
          <c:tx>
            <c:strRef>
              <c:f>'Bus 306 summary'!$B$36</c:f>
              <c:strCache>
                <c:ptCount val="1"/>
                <c:pt idx="0">
                  <c:v>OIL/OTHER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306 summary'!$C$36:$P$36</c15:sqref>
                  </c15:fullRef>
                </c:ext>
              </c:extLst>
              <c:f>'Bus 306 summary'!$C$36:$N$36</c:f>
              <c:numCache>
                <c:formatCode>#,##0.00</c:formatCode>
                <c:ptCount val="12"/>
              </c:numCache>
            </c:numRef>
          </c:val>
          <c:extLst xmlns:c16r2="http://schemas.microsoft.com/office/drawing/2015/06/chart">
            <c:ext xmlns:c16="http://schemas.microsoft.com/office/drawing/2014/chart" uri="{C3380CC4-5D6E-409C-BE32-E72D297353CC}">
              <c16:uniqueId val="{00000011-5CE5-4C3D-8721-870AACDA9027}"/>
            </c:ext>
          </c:extLst>
        </c:ser>
        <c:ser>
          <c:idx val="18"/>
          <c:order val="18"/>
          <c:tx>
            <c:strRef>
              <c:f>'Bus 306 summary'!$B$37</c:f>
              <c:strCache>
                <c:ptCount val="1"/>
                <c:pt idx="0">
                  <c:v>OTHER PARTS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306 summary'!$C$37:$P$37</c15:sqref>
                  </c15:fullRef>
                </c:ext>
              </c:extLst>
              <c:f>'Bus 306 summary'!$C$37:$N$37</c:f>
              <c:numCache>
                <c:formatCode>#,##0.00</c:formatCode>
                <c:ptCount val="12"/>
                <c:pt idx="6">
                  <c:v>2.4500000000000002</c:v>
                </c:pt>
                <c:pt idx="7">
                  <c:v>7.91</c:v>
                </c:pt>
              </c:numCache>
            </c:numRef>
          </c:val>
          <c:extLst xmlns:c16r2="http://schemas.microsoft.com/office/drawing/2015/06/chart">
            <c:ext xmlns:c16="http://schemas.microsoft.com/office/drawing/2014/chart" uri="{C3380CC4-5D6E-409C-BE32-E72D297353CC}">
              <c16:uniqueId val="{00000012-5CE5-4C3D-8721-870AACDA9027}"/>
            </c:ext>
          </c:extLst>
        </c:ser>
        <c:ser>
          <c:idx val="19"/>
          <c:order val="19"/>
          <c:tx>
            <c:strRef>
              <c:f>'Bus 306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'Bus 306 summary'!$C$18:$P$18</c15:sqref>
                  </c15:fullRef>
                </c:ext>
              </c:extLst>
              <c:f>'Bus 306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306 summary'!$C$38:$P$38</c15:sqref>
                  </c15:fullRef>
                </c:ext>
              </c:extLst>
              <c:f>'Bus 306 summary'!$C$38:$N$38</c:f>
              <c:numCache>
                <c:formatCode>#,##0.00</c:formatCode>
                <c:ptCount val="12"/>
                <c:pt idx="6">
                  <c:v>120</c:v>
                </c:pt>
                <c:pt idx="7">
                  <c:v>50</c:v>
                </c:pt>
              </c:numCache>
            </c:numRef>
          </c:val>
          <c:extLst xmlns:c16r2="http://schemas.microsoft.com/office/drawing/2015/06/chart">
            <c:ext xmlns:c16="http://schemas.microsoft.com/office/drawing/2014/chart" uri="{C3380CC4-5D6E-409C-BE32-E72D297353CC}">
              <c16:uniqueId val="{00000013-5CE5-4C3D-8721-870AACDA9027}"/>
            </c:ext>
          </c:extLst>
        </c:ser>
        <c:dLbls>
          <c:showLegendKey val="0"/>
          <c:showVal val="0"/>
          <c:showCatName val="0"/>
          <c:showSerName val="0"/>
          <c:showPercent val="0"/>
          <c:showBubbleSize val="0"/>
        </c:dLbls>
        <c:gapWidth val="150"/>
        <c:axId val="663151432"/>
        <c:axId val="663151824"/>
      </c:barChart>
      <c:catAx>
        <c:axId val="663151432"/>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63151824"/>
        <c:crosses val="autoZero"/>
        <c:auto val="1"/>
        <c:lblAlgn val="ctr"/>
        <c:lblOffset val="100"/>
        <c:noMultiLvlLbl val="0"/>
      </c:catAx>
      <c:valAx>
        <c:axId val="663151824"/>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63151432"/>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866728171240174"/>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'306 Chart'!$C$4:$C$5</c:f>
              <c:strCache>
                <c:ptCount val="2"/>
                <c:pt idx="0">
                  <c:v>Projected Cost-Current Maintenance Practices, $109,252  </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'306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'306 Chart'!$C$6:$C$17</c:f>
              <c:numCache>
                <c:formatCode>_("$"* #,##0_);_("$"* \(#,##0\);_("$"* "-"??_);_(@_)</c:formatCode>
                <c:ptCount val="12"/>
                <c:pt idx="0">
                  <c:v>4913</c:v>
                </c:pt>
                <c:pt idx="1">
                  <c:v>4913</c:v>
                </c:pt>
                <c:pt idx="2">
                  <c:v>4913</c:v>
                </c:pt>
                <c:pt idx="3">
                  <c:v>4913</c:v>
                </c:pt>
                <c:pt idx="4">
                  <c:v>17239.669999999998</c:v>
                </c:pt>
                <c:pt idx="5">
                  <c:v>4913</c:v>
                </c:pt>
                <c:pt idx="6">
                  <c:v>4913</c:v>
                </c:pt>
                <c:pt idx="7">
                  <c:v>4913</c:v>
                </c:pt>
                <c:pt idx="8">
                  <c:v>4913</c:v>
                </c:pt>
                <c:pt idx="9">
                  <c:v>4913</c:v>
                </c:pt>
                <c:pt idx="10">
                  <c:v>4913</c:v>
                </c:pt>
                <c:pt idx="11">
                  <c:v>4913</c:v>
                </c:pt>
              </c:numCache>
            </c:numRef>
          </c:val>
          <c:smooth val="0"/>
          <c:extLst xmlns:c16r2="http://schemas.microsoft.com/office/drawing/2015/06/chart">
            <c:ext xmlns:c16="http://schemas.microsoft.com/office/drawing/2014/chart" uri="{C3380CC4-5D6E-409C-BE32-E72D297353CC}">
              <c16:uniqueId val="{00000000-886A-4AC2-B0A8-23690563B887}"/>
            </c:ext>
          </c:extLst>
        </c:ser>
        <c:ser>
          <c:idx val="1"/>
          <c:order val="1"/>
          <c:tx>
            <c:strRef>
              <c:f>'306 Chart'!$D$4:$D$5</c:f>
              <c:strCache>
                <c:ptCount val="2"/>
                <c:pt idx="0">
                  <c:v>Projected Cost Alternate Maintenance Practices, $253,816</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'306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'306 Chart'!$D$6:$D$17</c:f>
              <c:numCache>
                <c:formatCode>_("$"* #,##0_);_("$"* \(#,##0\);_("$"* "-"??_);_(@_)</c:formatCode>
                <c:ptCount val="12"/>
                <c:pt idx="0">
                  <c:v>2573</c:v>
                </c:pt>
                <c:pt idx="1">
                  <c:v>1847</c:v>
                </c:pt>
                <c:pt idx="2">
                  <c:v>4160</c:v>
                </c:pt>
                <c:pt idx="3">
                  <c:v>4072</c:v>
                </c:pt>
                <c:pt idx="4">
                  <c:v>2253</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86A-4AC2-B0A8-23690563B887}"/>
            </c:ext>
          </c:extLst>
        </c:ser>
        <c:dLbls>
          <c:showLegendKey val="0"/>
          <c:showVal val="0"/>
          <c:showCatName val="0"/>
          <c:showSerName val="0"/>
          <c:showPercent val="0"/>
          <c:showBubbleSize val="0"/>
        </c:dLbls>
        <c:smooth val="0"/>
        <c:axId val="663153000"/>
        <c:axId val="663153392"/>
      </c:lineChart>
      <c:catAx>
        <c:axId val="663153000"/>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63153392"/>
        <c:crosses val="autoZero"/>
        <c:auto val="1"/>
        <c:lblAlgn val="ctr"/>
        <c:lblOffset val="100"/>
        <c:tickLblSkip val="1"/>
        <c:tickMarkSkip val="1"/>
        <c:noMultiLvlLbl val="0"/>
      </c:catAx>
      <c:valAx>
        <c:axId val="663153392"/>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631530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alignWithMargins="0"/>
    <c:pageMargins b="1" l="0.75" r="0.7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307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307 summary'!$C$19:$P$19</c15:sqref>
                  </c15:fullRef>
                </c:ext>
              </c:extLst>
              <c:f>'Bus 307 summary'!$C$19:$N$19</c:f>
              <c:numCache>
                <c:formatCode>#,##0.00</c:formatCode>
                <c:ptCount val="12"/>
                <c:pt idx="7">
                  <c:v>96.87</c:v>
                </c:pt>
                <c:pt idx="8">
                  <c:v>317.31</c:v>
                </c:pt>
              </c:numCache>
            </c:numRef>
          </c:val>
          <c:extLst xmlns:c16r2="http://schemas.microsoft.com/office/drawing/2015/06/chart">
            <c:ext xmlns:c16="http://schemas.microsoft.com/office/drawing/2014/chart" uri="{C3380CC4-5D6E-409C-BE32-E72D297353CC}">
              <c16:uniqueId val="{00000000-0CCE-4E78-A7DF-DD29E905B244}"/>
            </c:ext>
          </c:extLst>
        </c:ser>
        <c:ser>
          <c:idx val="1"/>
          <c:order val="1"/>
          <c:tx>
            <c:strRef>
              <c:f>'Bus 307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307 summary'!$C$20:$P$20</c15:sqref>
                  </c15:fullRef>
                </c:ext>
              </c:extLst>
              <c:f>'Bus 307 summary'!$C$20:$N$20</c:f>
              <c:numCache>
                <c:formatCode>#,##0.00</c:formatCode>
                <c:ptCount val="12"/>
                <c:pt idx="6">
                  <c:v>502.06</c:v>
                </c:pt>
                <c:pt idx="7">
                  <c:v>418.88</c:v>
                </c:pt>
                <c:pt idx="8">
                  <c:v>502.06</c:v>
                </c:pt>
              </c:numCache>
            </c:numRef>
          </c:val>
          <c:extLst xmlns:c16r2="http://schemas.microsoft.com/office/drawing/2015/06/chart">
            <c:ext xmlns:c16="http://schemas.microsoft.com/office/drawing/2014/chart" uri="{C3380CC4-5D6E-409C-BE32-E72D297353CC}">
              <c16:uniqueId val="{00000001-0CCE-4E78-A7DF-DD29E905B244}"/>
            </c:ext>
          </c:extLst>
        </c:ser>
        <c:ser>
          <c:idx val="2"/>
          <c:order val="2"/>
          <c:tx>
            <c:strRef>
              <c:f>'Bus 307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307 summary'!$C$21:$P$21</c15:sqref>
                  </c15:fullRef>
                </c:ext>
              </c:extLst>
              <c:f>'Bus 307 summary'!$C$21:$N$21</c:f>
              <c:numCache>
                <c:formatCode>#,##0.00</c:formatCode>
                <c:ptCount val="12"/>
                <c:pt idx="7">
                  <c:v>48.09</c:v>
                </c:pt>
                <c:pt idx="8">
                  <c:v>48.09</c:v>
                </c:pt>
              </c:numCache>
            </c:numRef>
          </c:val>
          <c:extLst xmlns:c16r2="http://schemas.microsoft.com/office/drawing/2015/06/chart">
            <c:ext xmlns:c16="http://schemas.microsoft.com/office/drawing/2014/chart" uri="{C3380CC4-5D6E-409C-BE32-E72D297353CC}">
              <c16:uniqueId val="{00000002-0CCE-4E78-A7DF-DD29E905B244}"/>
            </c:ext>
          </c:extLst>
        </c:ser>
        <c:ser>
          <c:idx val="3"/>
          <c:order val="3"/>
          <c:tx>
            <c:strRef>
              <c:f>'Bus 307 summary'!$B$22</c:f>
              <c:strCache>
                <c:ptCount val="1"/>
                <c:pt idx="0">
                  <c:v>CALIPERS</c:v>
                </c:pt>
              </c:strCache>
            </c:strRef>
          </c:tx>
          <c:spPr>
            <a:solidFill>
              <a:schemeClr val="accent4"/>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307 summary'!$C$22:$P$22</c15:sqref>
                  </c15:fullRef>
                </c:ext>
              </c:extLst>
              <c:f>'Bus 307 summary'!$C$22:$N$22</c:f>
              <c:numCache>
                <c:formatCode>#,##0.00</c:formatCode>
                <c:ptCount val="12"/>
                <c:pt idx="7">
                  <c:v>85.78</c:v>
                </c:pt>
                <c:pt idx="8">
                  <c:v>85.78</c:v>
                </c:pt>
              </c:numCache>
            </c:numRef>
          </c:val>
          <c:extLst xmlns:c16r2="http://schemas.microsoft.com/office/drawing/2015/06/chart">
            <c:ext xmlns:c16="http://schemas.microsoft.com/office/drawing/2014/chart" uri="{C3380CC4-5D6E-409C-BE32-E72D297353CC}">
              <c16:uniqueId val="{00000003-0CCE-4E78-A7DF-DD29E905B244}"/>
            </c:ext>
          </c:extLst>
        </c:ser>
        <c:ser>
          <c:idx val="4"/>
          <c:order val="4"/>
          <c:tx>
            <c:strRef>
              <c:f>'Bus 307 summary'!$B$23</c:f>
              <c:strCache>
                <c:ptCount val="1"/>
                <c:pt idx="0">
                  <c:v>STARTERS</c:v>
                </c:pt>
              </c:strCache>
            </c:strRef>
          </c:tx>
          <c:spPr>
            <a:solidFill>
              <a:schemeClr val="accent5"/>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307 summary'!$C$23:$P$23</c15:sqref>
                  </c15:fullRef>
                </c:ext>
              </c:extLst>
              <c:f>'Bus 307 summary'!$C$23:$N$23</c:f>
              <c:numCache>
                <c:formatCode>#,##0.00</c:formatCode>
                <c:ptCount val="12"/>
                <c:pt idx="6">
                  <c:v>128.79</c:v>
                </c:pt>
              </c:numCache>
            </c:numRef>
          </c:val>
          <c:extLst xmlns:c16r2="http://schemas.microsoft.com/office/drawing/2015/06/chart">
            <c:ext xmlns:c16="http://schemas.microsoft.com/office/drawing/2014/chart" uri="{C3380CC4-5D6E-409C-BE32-E72D297353CC}">
              <c16:uniqueId val="{00000004-0CCE-4E78-A7DF-DD29E905B244}"/>
            </c:ext>
          </c:extLst>
        </c:ser>
        <c:ser>
          <c:idx val="5"/>
          <c:order val="5"/>
          <c:tx>
            <c:strRef>
              <c:f>'Bus 307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307 summary'!$C$24:$P$24</c15:sqref>
                  </c15:fullRef>
                </c:ext>
              </c:extLst>
              <c:f>'Bus 307 summary'!$C$24:$N$24</c:f>
              <c:numCache>
                <c:formatCode>#,##0.00</c:formatCode>
                <c:ptCount val="12"/>
              </c:numCache>
            </c:numRef>
          </c:val>
          <c:extLst xmlns:c16r2="http://schemas.microsoft.com/office/drawing/2015/06/chart">
            <c:ext xmlns:c16="http://schemas.microsoft.com/office/drawing/2014/chart" uri="{C3380CC4-5D6E-409C-BE32-E72D297353CC}">
              <c16:uniqueId val="{00000005-0CCE-4E78-A7DF-DD29E905B244}"/>
            </c:ext>
          </c:extLst>
        </c:ser>
        <c:ser>
          <c:idx val="6"/>
          <c:order val="6"/>
          <c:tx>
            <c:strRef>
              <c:f>'Bus 307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307 summary'!$C$25:$P$25</c15:sqref>
                  </c15:fullRef>
                </c:ext>
              </c:extLst>
              <c:f>'Bus 307 summary'!$C$25:$N$25</c:f>
              <c:numCache>
                <c:formatCode>#,##0.00</c:formatCode>
                <c:ptCount val="12"/>
              </c:numCache>
            </c:numRef>
          </c:val>
          <c:extLst xmlns:c16r2="http://schemas.microsoft.com/office/drawing/2015/06/chart">
            <c:ext xmlns:c16="http://schemas.microsoft.com/office/drawing/2014/chart" uri="{C3380CC4-5D6E-409C-BE32-E72D297353CC}">
              <c16:uniqueId val="{00000006-0CCE-4E78-A7DF-DD29E905B244}"/>
            </c:ext>
          </c:extLst>
        </c:ser>
        <c:ser>
          <c:idx val="7"/>
          <c:order val="7"/>
          <c:tx>
            <c:strRef>
              <c:f>'Bus 307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307 summary'!$C$26:$P$26</c15:sqref>
                  </c15:fullRef>
                </c:ext>
              </c:extLst>
              <c:f>'Bus 307 summary'!$C$26:$N$26</c:f>
              <c:numCache>
                <c:formatCode>#,##0.00</c:formatCode>
                <c:ptCount val="12"/>
              </c:numCache>
            </c:numRef>
          </c:val>
          <c:extLst xmlns:c16r2="http://schemas.microsoft.com/office/drawing/2015/06/chart">
            <c:ext xmlns:c16="http://schemas.microsoft.com/office/drawing/2014/chart" uri="{C3380CC4-5D6E-409C-BE32-E72D297353CC}">
              <c16:uniqueId val="{00000007-0CCE-4E78-A7DF-DD29E905B244}"/>
            </c:ext>
          </c:extLst>
        </c:ser>
        <c:ser>
          <c:idx val="8"/>
          <c:order val="8"/>
          <c:tx>
            <c:strRef>
              <c:f>'Bus 307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307 summary'!$C$27:$P$27</c15:sqref>
                  </c15:fullRef>
                </c:ext>
              </c:extLst>
              <c:f>'Bus 307 summary'!$C$27:$N$27</c:f>
              <c:numCache>
                <c:formatCode>#,##0.00</c:formatCode>
                <c:ptCount val="12"/>
              </c:numCache>
            </c:numRef>
          </c:val>
          <c:extLst xmlns:c16r2="http://schemas.microsoft.com/office/drawing/2015/06/chart">
            <c:ext xmlns:c16="http://schemas.microsoft.com/office/drawing/2014/chart" uri="{C3380CC4-5D6E-409C-BE32-E72D297353CC}">
              <c16:uniqueId val="{00000008-0CCE-4E78-A7DF-DD29E905B244}"/>
            </c:ext>
          </c:extLst>
        </c:ser>
        <c:ser>
          <c:idx val="9"/>
          <c:order val="9"/>
          <c:tx>
            <c:strRef>
              <c:f>'Bus 307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307 summary'!$C$28:$P$28</c15:sqref>
                  </c15:fullRef>
                </c:ext>
              </c:extLst>
              <c:f>'Bus 307 summary'!$C$28:$N$28</c:f>
            </c:numRef>
          </c:val>
          <c:extLst xmlns:c16r2="http://schemas.microsoft.com/office/drawing/2015/06/chart">
            <c:ext xmlns:c16="http://schemas.microsoft.com/office/drawing/2014/chart" uri="{C3380CC4-5D6E-409C-BE32-E72D297353CC}">
              <c16:uniqueId val="{00000009-0CCE-4E78-A7DF-DD29E905B244}"/>
            </c:ext>
          </c:extLst>
        </c:ser>
        <c:ser>
          <c:idx val="10"/>
          <c:order val="10"/>
          <c:tx>
            <c:strRef>
              <c:f>'Bus 307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307 summary'!$C$29:$P$29</c15:sqref>
                  </c15:fullRef>
                </c:ext>
              </c:extLst>
              <c:f>'Bus 307 summary'!$C$29:$N$29</c:f>
            </c:numRef>
          </c:val>
          <c:extLst xmlns:c16r2="http://schemas.microsoft.com/office/drawing/2015/06/chart">
            <c:ext xmlns:c16="http://schemas.microsoft.com/office/drawing/2014/chart" uri="{C3380CC4-5D6E-409C-BE32-E72D297353CC}">
              <c16:uniqueId val="{0000000A-0CCE-4E78-A7DF-DD29E905B244}"/>
            </c:ext>
          </c:extLst>
        </c:ser>
        <c:ser>
          <c:idx val="11"/>
          <c:order val="11"/>
          <c:tx>
            <c:strRef>
              <c:f>'Bus 307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307 summary'!$C$30:$P$30</c15:sqref>
                  </c15:fullRef>
                </c:ext>
              </c:extLst>
              <c:f>'Bus 307 summary'!$C$30:$N$30</c:f>
            </c:numRef>
          </c:val>
          <c:extLst xmlns:c16r2="http://schemas.microsoft.com/office/drawing/2015/06/chart">
            <c:ext xmlns:c16="http://schemas.microsoft.com/office/drawing/2014/chart" uri="{C3380CC4-5D6E-409C-BE32-E72D297353CC}">
              <c16:uniqueId val="{0000000B-0CCE-4E78-A7DF-DD29E905B244}"/>
            </c:ext>
          </c:extLst>
        </c:ser>
        <c:ser>
          <c:idx val="12"/>
          <c:order val="12"/>
          <c:tx>
            <c:strRef>
              <c:f>'Bus 307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307 summary'!$C$31:$P$31</c15:sqref>
                  </c15:fullRef>
                </c:ext>
              </c:extLst>
              <c:f>'Bus 307 summary'!$C$31:$N$31</c:f>
            </c:numRef>
          </c:val>
          <c:extLst xmlns:c16r2="http://schemas.microsoft.com/office/drawing/2015/06/chart">
            <c:ext xmlns:c16="http://schemas.microsoft.com/office/drawing/2014/chart" uri="{C3380CC4-5D6E-409C-BE32-E72D297353CC}">
              <c16:uniqueId val="{0000000C-0CCE-4E78-A7DF-DD29E905B244}"/>
            </c:ext>
          </c:extLst>
        </c:ser>
        <c:ser>
          <c:idx val="13"/>
          <c:order val="13"/>
          <c:tx>
            <c:strRef>
              <c:f>'Bus 307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307 summary'!$C$32:$P$32</c15:sqref>
                  </c15:fullRef>
                </c:ext>
              </c:extLst>
              <c:f>'Bus 307 summary'!$C$32:$N$32</c:f>
              <c:numCache>
                <c:formatCode>#,##0.00</c:formatCode>
                <c:ptCount val="12"/>
              </c:numCache>
            </c:numRef>
          </c:val>
          <c:extLst xmlns:c16r2="http://schemas.microsoft.com/office/drawing/2015/06/chart">
            <c:ext xmlns:c16="http://schemas.microsoft.com/office/drawing/2014/chart" uri="{C3380CC4-5D6E-409C-BE32-E72D297353CC}">
              <c16:uniqueId val="{0000000D-0CCE-4E78-A7DF-DD29E905B244}"/>
            </c:ext>
          </c:extLst>
        </c:ser>
        <c:ser>
          <c:idx val="14"/>
          <c:order val="14"/>
          <c:tx>
            <c:strRef>
              <c:f>'Bus 307 summary'!$B$33</c:f>
              <c:strCache>
                <c:ptCount val="1"/>
                <c:pt idx="0">
                  <c:v>WARRANTY</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307 summary'!$C$33:$P$33</c15:sqref>
                  </c15:fullRef>
                </c:ext>
              </c:extLst>
              <c:f>'Bus 307 summary'!$C$33:$N$33</c:f>
              <c:numCache>
                <c:formatCode>#,##0.00</c:formatCode>
                <c:ptCount val="12"/>
              </c:numCache>
            </c:numRef>
          </c:val>
          <c:extLst xmlns:c16r2="http://schemas.microsoft.com/office/drawing/2015/06/chart">
            <c:ext xmlns:c16="http://schemas.microsoft.com/office/drawing/2014/chart" uri="{C3380CC4-5D6E-409C-BE32-E72D297353CC}">
              <c16:uniqueId val="{0000000E-0CCE-4E78-A7DF-DD29E905B244}"/>
            </c:ext>
          </c:extLst>
        </c:ser>
        <c:ser>
          <c:idx val="15"/>
          <c:order val="15"/>
          <c:tx>
            <c:strRef>
              <c:f>'Bus 307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307 summary'!$C$34:$P$34</c15:sqref>
                  </c15:fullRef>
                </c:ext>
              </c:extLst>
              <c:f>'Bus 307 summary'!$C$34:$N$34</c:f>
              <c:numCache>
                <c:formatCode>#,##0.00</c:formatCode>
                <c:ptCount val="12"/>
              </c:numCache>
            </c:numRef>
          </c:val>
          <c:extLst xmlns:c16r2="http://schemas.microsoft.com/office/drawing/2015/06/chart">
            <c:ext xmlns:c16="http://schemas.microsoft.com/office/drawing/2014/chart" uri="{C3380CC4-5D6E-409C-BE32-E72D297353CC}">
              <c16:uniqueId val="{0000000F-0CCE-4E78-A7DF-DD29E905B244}"/>
            </c:ext>
          </c:extLst>
        </c:ser>
        <c:ser>
          <c:idx val="16"/>
          <c:order val="16"/>
          <c:tx>
            <c:strRef>
              <c:f>'Bus 307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307 summary'!$C$35:$P$35</c15:sqref>
                  </c15:fullRef>
                </c:ext>
              </c:extLst>
              <c:f>'Bus 307 summary'!$C$35:$N$35</c:f>
              <c:numCache>
                <c:formatCode>#,##0.00</c:formatCode>
                <c:ptCount val="12"/>
                <c:pt idx="6">
                  <c:v>7.83</c:v>
                </c:pt>
                <c:pt idx="8">
                  <c:v>15.66</c:v>
                </c:pt>
              </c:numCache>
            </c:numRef>
          </c:val>
          <c:extLst xmlns:c16r2="http://schemas.microsoft.com/office/drawing/2015/06/chart">
            <c:ext xmlns:c16="http://schemas.microsoft.com/office/drawing/2014/chart" uri="{C3380CC4-5D6E-409C-BE32-E72D297353CC}">
              <c16:uniqueId val="{00000010-0CCE-4E78-A7DF-DD29E905B244}"/>
            </c:ext>
          </c:extLst>
        </c:ser>
        <c:ser>
          <c:idx val="17"/>
          <c:order val="17"/>
          <c:tx>
            <c:strRef>
              <c:f>'Bus 307 summary'!$B$36</c:f>
              <c:strCache>
                <c:ptCount val="1"/>
                <c:pt idx="0">
                  <c:v>OIL/OTHER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307 summary'!$C$36:$P$36</c15:sqref>
                  </c15:fullRef>
                </c:ext>
              </c:extLst>
              <c:f>'Bus 307 summary'!$C$36:$N$36</c:f>
              <c:numCache>
                <c:formatCode>#,##0.00</c:formatCode>
                <c:ptCount val="12"/>
                <c:pt idx="8">
                  <c:v>27.1</c:v>
                </c:pt>
              </c:numCache>
            </c:numRef>
          </c:val>
          <c:extLst xmlns:c16r2="http://schemas.microsoft.com/office/drawing/2015/06/chart">
            <c:ext xmlns:c16="http://schemas.microsoft.com/office/drawing/2014/chart" uri="{C3380CC4-5D6E-409C-BE32-E72D297353CC}">
              <c16:uniqueId val="{00000011-0CCE-4E78-A7DF-DD29E905B244}"/>
            </c:ext>
          </c:extLst>
        </c:ser>
        <c:ser>
          <c:idx val="18"/>
          <c:order val="18"/>
          <c:tx>
            <c:strRef>
              <c:f>'Bus 307 summary'!$B$37</c:f>
              <c:strCache>
                <c:ptCount val="1"/>
                <c:pt idx="0">
                  <c:v>OTHER PARTS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307 summary'!$C$37:$P$37</c15:sqref>
                  </c15:fullRef>
                </c:ext>
              </c:extLst>
              <c:f>'Bus 307 summary'!$C$37:$N$37</c:f>
              <c:numCache>
                <c:formatCode>#,##0.00</c:formatCode>
                <c:ptCount val="12"/>
                <c:pt idx="6">
                  <c:v>439.99</c:v>
                </c:pt>
                <c:pt idx="7">
                  <c:v>176.33</c:v>
                </c:pt>
                <c:pt idx="8">
                  <c:v>33.950000000000003</c:v>
                </c:pt>
              </c:numCache>
            </c:numRef>
          </c:val>
          <c:extLst xmlns:c16r2="http://schemas.microsoft.com/office/drawing/2015/06/chart">
            <c:ext xmlns:c16="http://schemas.microsoft.com/office/drawing/2014/chart" uri="{C3380CC4-5D6E-409C-BE32-E72D297353CC}">
              <c16:uniqueId val="{00000012-0CCE-4E78-A7DF-DD29E905B244}"/>
            </c:ext>
          </c:extLst>
        </c:ser>
        <c:ser>
          <c:idx val="19"/>
          <c:order val="19"/>
          <c:tx>
            <c:strRef>
              <c:f>'Bus 307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'Bus 307 summary'!$C$18:$P$18</c15:sqref>
                  </c15:fullRef>
                </c:ext>
              </c:extLst>
              <c:f>'Bus 307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307 summary'!$C$38:$P$38</c15:sqref>
                  </c15:fullRef>
                </c:ext>
              </c:extLst>
              <c:f>'Bus 307 summary'!$C$38:$N$38</c:f>
              <c:numCache>
                <c:formatCode>#,##0.00</c:formatCode>
                <c:ptCount val="12"/>
                <c:pt idx="6">
                  <c:v>240</c:v>
                </c:pt>
                <c:pt idx="7">
                  <c:v>150</c:v>
                </c:pt>
                <c:pt idx="8">
                  <c:v>100</c:v>
                </c:pt>
              </c:numCache>
            </c:numRef>
          </c:val>
          <c:extLst xmlns:c16r2="http://schemas.microsoft.com/office/drawing/2015/06/chart">
            <c:ext xmlns:c16="http://schemas.microsoft.com/office/drawing/2014/chart" uri="{C3380CC4-5D6E-409C-BE32-E72D297353CC}">
              <c16:uniqueId val="{00000013-0CCE-4E78-A7DF-DD29E905B244}"/>
            </c:ext>
          </c:extLst>
        </c:ser>
        <c:dLbls>
          <c:showLegendKey val="0"/>
          <c:showVal val="0"/>
          <c:showCatName val="0"/>
          <c:showSerName val="0"/>
          <c:showPercent val="0"/>
          <c:showBubbleSize val="0"/>
        </c:dLbls>
        <c:gapWidth val="150"/>
        <c:axId val="663154176"/>
        <c:axId val="663154568"/>
      </c:barChart>
      <c:catAx>
        <c:axId val="663154176"/>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63154568"/>
        <c:crosses val="autoZero"/>
        <c:auto val="1"/>
        <c:lblAlgn val="ctr"/>
        <c:lblOffset val="100"/>
        <c:noMultiLvlLbl val="0"/>
      </c:catAx>
      <c:valAx>
        <c:axId val="663154568"/>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63154176"/>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866728171240174"/>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'201 Chart'!$C$4:$C$5</c:f>
              <c:strCache>
                <c:ptCount val="2"/>
                <c:pt idx="0">
                  <c:v>Projected Cost-Current Maintenance Practices, $109,252  </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'201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'201 Chart'!$C$6:$C$17</c:f>
              <c:numCache>
                <c:formatCode>_("$"* #,##0_);_("$"* \(#,##0\);_("$"* "-"??_);_(@_)</c:formatCode>
                <c:ptCount val="12"/>
                <c:pt idx="0">
                  <c:v>4913</c:v>
                </c:pt>
                <c:pt idx="1">
                  <c:v>4913</c:v>
                </c:pt>
                <c:pt idx="2">
                  <c:v>4913</c:v>
                </c:pt>
                <c:pt idx="3">
                  <c:v>4913</c:v>
                </c:pt>
                <c:pt idx="4">
                  <c:v>17239.669999999998</c:v>
                </c:pt>
                <c:pt idx="5">
                  <c:v>4913</c:v>
                </c:pt>
                <c:pt idx="6">
                  <c:v>4913</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9466-44EF-9D1C-5D95FF7D390B}"/>
            </c:ext>
          </c:extLst>
        </c:ser>
        <c:ser>
          <c:idx val="1"/>
          <c:order val="1"/>
          <c:tx>
            <c:strRef>
              <c:f>'201 Chart'!$D$4:$D$5</c:f>
              <c:strCache>
                <c:ptCount val="2"/>
                <c:pt idx="0">
                  <c:v>Projected Cost Alternate Maintenance Practices, $253,816</c:v>
                </c:pt>
              </c:strCache>
            </c:strRef>
          </c:tx>
          <c:spPr>
            <a:ln w="22225" cap="rnd">
              <a:solidFill>
                <a:schemeClr val="accent2"/>
              </a:solidFill>
            </a:ln>
            <a:effectLst>
              <a:glow rad="139700">
                <a:schemeClr val="accent2">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'201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'201 Chart'!$D$6:$D$17</c:f>
              <c:numCache>
                <c:formatCode>_("$"* #,##0_);_("$"* \(#,##0\);_("$"* "-"??_);_(@_)</c:formatCode>
                <c:ptCount val="12"/>
                <c:pt idx="0">
                  <c:v>3761</c:v>
                </c:pt>
                <c:pt idx="1">
                  <c:v>4538</c:v>
                </c:pt>
                <c:pt idx="2">
                  <c:v>6872</c:v>
                </c:pt>
                <c:pt idx="3">
                  <c:v>728</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9466-44EF-9D1C-5D95FF7D390B}"/>
            </c:ext>
          </c:extLst>
        </c:ser>
        <c:dLbls>
          <c:showLegendKey val="0"/>
          <c:showVal val="0"/>
          <c:showCatName val="0"/>
          <c:showSerName val="0"/>
          <c:showPercent val="0"/>
          <c:showBubbleSize val="0"/>
        </c:dLbls>
        <c:smooth val="0"/>
        <c:axId val="664174288"/>
        <c:axId val="664174680"/>
      </c:lineChart>
      <c:catAx>
        <c:axId val="664174288"/>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64174680"/>
        <c:crosses val="autoZero"/>
        <c:auto val="1"/>
        <c:lblAlgn val="ctr"/>
        <c:lblOffset val="100"/>
        <c:tickLblSkip val="1"/>
        <c:tickMarkSkip val="1"/>
        <c:noMultiLvlLbl val="0"/>
      </c:catAx>
      <c:valAx>
        <c:axId val="664174680"/>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6417428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alignWithMargins="0"/>
    <c:pageMargins b="1" l="0.75" r="0.7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'307 Chart'!$C$4:$C$5</c:f>
              <c:strCache>
                <c:ptCount val="2"/>
                <c:pt idx="0">
                  <c:v>Projected Cost-Current Maintenance Practices, $109,252  </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'307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'307 Chart'!$C$6:$C$17</c:f>
              <c:numCache>
                <c:formatCode>_("$"* #,##0_);_("$"* \(#,##0\);_("$"* "-"??_);_(@_)</c:formatCode>
                <c:ptCount val="12"/>
                <c:pt idx="0">
                  <c:v>4913</c:v>
                </c:pt>
                <c:pt idx="1">
                  <c:v>4913</c:v>
                </c:pt>
                <c:pt idx="2">
                  <c:v>4913</c:v>
                </c:pt>
                <c:pt idx="3">
                  <c:v>4913</c:v>
                </c:pt>
                <c:pt idx="4">
                  <c:v>17239.669999999998</c:v>
                </c:pt>
                <c:pt idx="5">
                  <c:v>4913</c:v>
                </c:pt>
                <c:pt idx="6">
                  <c:v>4913</c:v>
                </c:pt>
                <c:pt idx="7">
                  <c:v>4913</c:v>
                </c:pt>
                <c:pt idx="8">
                  <c:v>4913</c:v>
                </c:pt>
                <c:pt idx="9">
                  <c:v>4913</c:v>
                </c:pt>
                <c:pt idx="10">
                  <c:v>4913</c:v>
                </c:pt>
                <c:pt idx="11">
                  <c:v>4913</c:v>
                </c:pt>
              </c:numCache>
            </c:numRef>
          </c:val>
          <c:smooth val="0"/>
          <c:extLst xmlns:c16r2="http://schemas.microsoft.com/office/drawing/2015/06/chart">
            <c:ext xmlns:c16="http://schemas.microsoft.com/office/drawing/2014/chart" uri="{C3380CC4-5D6E-409C-BE32-E72D297353CC}">
              <c16:uniqueId val="{00000000-574A-44C6-B16C-656ED99C4828}"/>
            </c:ext>
          </c:extLst>
        </c:ser>
        <c:ser>
          <c:idx val="1"/>
          <c:order val="1"/>
          <c:tx>
            <c:strRef>
              <c:f>'307 Chart'!$D$4:$D$5</c:f>
              <c:strCache>
                <c:ptCount val="2"/>
                <c:pt idx="0">
                  <c:v>Projected Cost Alternate Maintenance Practices, $253,816</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'307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'307 Chart'!$D$6:$D$17</c:f>
              <c:numCache>
                <c:formatCode>_("$"* #,##0_);_("$"* \(#,##0\);_("$"* "-"??_);_(@_)</c:formatCode>
                <c:ptCount val="12"/>
                <c:pt idx="0">
                  <c:v>3022</c:v>
                </c:pt>
                <c:pt idx="1">
                  <c:v>3762</c:v>
                </c:pt>
                <c:pt idx="2">
                  <c:v>4595</c:v>
                </c:pt>
                <c:pt idx="3">
                  <c:v>4906</c:v>
                </c:pt>
                <c:pt idx="4">
                  <c:v>2686</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574A-44C6-B16C-656ED99C4828}"/>
            </c:ext>
          </c:extLst>
        </c:ser>
        <c:dLbls>
          <c:showLegendKey val="0"/>
          <c:showVal val="0"/>
          <c:showCatName val="0"/>
          <c:showSerName val="0"/>
          <c:showPercent val="0"/>
          <c:showBubbleSize val="0"/>
        </c:dLbls>
        <c:smooth val="0"/>
        <c:axId val="669261696"/>
        <c:axId val="669262088"/>
      </c:lineChart>
      <c:catAx>
        <c:axId val="669261696"/>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69262088"/>
        <c:crosses val="autoZero"/>
        <c:auto val="1"/>
        <c:lblAlgn val="ctr"/>
        <c:lblOffset val="100"/>
        <c:tickLblSkip val="1"/>
        <c:tickMarkSkip val="1"/>
        <c:noMultiLvlLbl val="0"/>
      </c:catAx>
      <c:valAx>
        <c:axId val="669262088"/>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692616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alignWithMargins="0"/>
    <c:pageMargins b="1" l="0.75" r="0.7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308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308 summary'!$C$19:$P$19</c15:sqref>
                  </c15:fullRef>
                </c:ext>
              </c:extLst>
              <c:f>'Bus 308 summary'!$C$19:$N$19</c:f>
              <c:numCache>
                <c:formatCode>#,##0.00</c:formatCode>
                <c:ptCount val="12"/>
                <c:pt idx="7">
                  <c:v>143.57</c:v>
                </c:pt>
                <c:pt idx="9">
                  <c:v>1061.72</c:v>
                </c:pt>
              </c:numCache>
            </c:numRef>
          </c:val>
          <c:extLst xmlns:c16r2="http://schemas.microsoft.com/office/drawing/2015/06/chart">
            <c:ext xmlns:c16="http://schemas.microsoft.com/office/drawing/2014/chart" uri="{C3380CC4-5D6E-409C-BE32-E72D297353CC}">
              <c16:uniqueId val="{00000000-8C6B-43C4-BBD0-37F464047113}"/>
            </c:ext>
          </c:extLst>
        </c:ser>
        <c:ser>
          <c:idx val="1"/>
          <c:order val="1"/>
          <c:tx>
            <c:strRef>
              <c:f>'Bus 308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308 summary'!$C$20:$P$20</c15:sqref>
                  </c15:fullRef>
                </c:ext>
              </c:extLst>
              <c:f>'Bus 308 summary'!$C$20:$N$20</c:f>
              <c:numCache>
                <c:formatCode>#,##0.00</c:formatCode>
                <c:ptCount val="12"/>
              </c:numCache>
            </c:numRef>
          </c:val>
          <c:extLst xmlns:c16r2="http://schemas.microsoft.com/office/drawing/2015/06/chart">
            <c:ext xmlns:c16="http://schemas.microsoft.com/office/drawing/2014/chart" uri="{C3380CC4-5D6E-409C-BE32-E72D297353CC}">
              <c16:uniqueId val="{00000001-8C6B-43C4-BBD0-37F464047113}"/>
            </c:ext>
          </c:extLst>
        </c:ser>
        <c:ser>
          <c:idx val="2"/>
          <c:order val="2"/>
          <c:tx>
            <c:strRef>
              <c:f>'Bus 308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308 summary'!$C$21:$P$21</c15:sqref>
                  </c15:fullRef>
                </c:ext>
              </c:extLst>
              <c:f>'Bus 308 summary'!$C$21:$N$21</c:f>
              <c:numCache>
                <c:formatCode>#,##0.00</c:formatCode>
                <c:ptCount val="12"/>
                <c:pt idx="7">
                  <c:v>48.09</c:v>
                </c:pt>
              </c:numCache>
            </c:numRef>
          </c:val>
          <c:extLst xmlns:c16r2="http://schemas.microsoft.com/office/drawing/2015/06/chart">
            <c:ext xmlns:c16="http://schemas.microsoft.com/office/drawing/2014/chart" uri="{C3380CC4-5D6E-409C-BE32-E72D297353CC}">
              <c16:uniqueId val="{00000002-8C6B-43C4-BBD0-37F464047113}"/>
            </c:ext>
          </c:extLst>
        </c:ser>
        <c:ser>
          <c:idx val="3"/>
          <c:order val="3"/>
          <c:tx>
            <c:strRef>
              <c:f>'Bus 308 summary'!$B$22</c:f>
              <c:strCache>
                <c:ptCount val="1"/>
                <c:pt idx="0">
                  <c:v> CALIPERS</c:v>
                </c:pt>
              </c:strCache>
            </c:strRef>
          </c:tx>
          <c:spPr>
            <a:solidFill>
              <a:schemeClr val="accent4"/>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308 summary'!$C$22:$P$22</c15:sqref>
                  </c15:fullRef>
                </c:ext>
              </c:extLst>
              <c:f>'Bus 308 summary'!$C$22:$N$22</c:f>
              <c:numCache>
                <c:formatCode>#,##0.00</c:formatCode>
                <c:ptCount val="12"/>
                <c:pt idx="7">
                  <c:v>42.89</c:v>
                </c:pt>
              </c:numCache>
            </c:numRef>
          </c:val>
          <c:extLst xmlns:c16r2="http://schemas.microsoft.com/office/drawing/2015/06/chart">
            <c:ext xmlns:c16="http://schemas.microsoft.com/office/drawing/2014/chart" uri="{C3380CC4-5D6E-409C-BE32-E72D297353CC}">
              <c16:uniqueId val="{00000003-8C6B-43C4-BBD0-37F464047113}"/>
            </c:ext>
          </c:extLst>
        </c:ser>
        <c:ser>
          <c:idx val="4"/>
          <c:order val="4"/>
          <c:tx>
            <c:strRef>
              <c:f>'Bus 308 summary'!$B$23</c:f>
              <c:strCache>
                <c:ptCount val="1"/>
                <c:pt idx="0">
                  <c:v>STARTERS</c:v>
                </c:pt>
              </c:strCache>
            </c:strRef>
          </c:tx>
          <c:spPr>
            <a:solidFill>
              <a:schemeClr val="accent5"/>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308 summary'!$C$23:$P$23</c15:sqref>
                  </c15:fullRef>
                </c:ext>
              </c:extLst>
              <c:f>'Bus 308 summary'!$C$23:$N$23</c:f>
              <c:numCache>
                <c:formatCode>#,##0.00</c:formatCode>
                <c:ptCount val="12"/>
                <c:pt idx="8">
                  <c:v>128.79</c:v>
                </c:pt>
              </c:numCache>
            </c:numRef>
          </c:val>
          <c:extLst xmlns:c16r2="http://schemas.microsoft.com/office/drawing/2015/06/chart">
            <c:ext xmlns:c16="http://schemas.microsoft.com/office/drawing/2014/chart" uri="{C3380CC4-5D6E-409C-BE32-E72D297353CC}">
              <c16:uniqueId val="{00000004-8C6B-43C4-BBD0-37F464047113}"/>
            </c:ext>
          </c:extLst>
        </c:ser>
        <c:ser>
          <c:idx val="5"/>
          <c:order val="5"/>
          <c:tx>
            <c:strRef>
              <c:f>'Bus 308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308 summary'!$C$24:$P$24</c15:sqref>
                  </c15:fullRef>
                </c:ext>
              </c:extLst>
              <c:f>'Bus 308 summary'!$C$24:$N$24</c:f>
              <c:numCache>
                <c:formatCode>#,##0.00</c:formatCode>
                <c:ptCount val="12"/>
                <c:pt idx="8">
                  <c:v>8.5</c:v>
                </c:pt>
              </c:numCache>
            </c:numRef>
          </c:val>
          <c:extLst xmlns:c16r2="http://schemas.microsoft.com/office/drawing/2015/06/chart">
            <c:ext xmlns:c16="http://schemas.microsoft.com/office/drawing/2014/chart" uri="{C3380CC4-5D6E-409C-BE32-E72D297353CC}">
              <c16:uniqueId val="{00000005-8C6B-43C4-BBD0-37F464047113}"/>
            </c:ext>
          </c:extLst>
        </c:ser>
        <c:ser>
          <c:idx val="6"/>
          <c:order val="6"/>
          <c:tx>
            <c:strRef>
              <c:f>'Bus 308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308 summary'!$C$25:$P$25</c15:sqref>
                  </c15:fullRef>
                </c:ext>
              </c:extLst>
              <c:f>'Bus 308 summary'!$C$25:$N$25</c:f>
              <c:numCache>
                <c:formatCode>#,##0.00</c:formatCode>
                <c:ptCount val="12"/>
              </c:numCache>
            </c:numRef>
          </c:val>
          <c:extLst xmlns:c16r2="http://schemas.microsoft.com/office/drawing/2015/06/chart">
            <c:ext xmlns:c16="http://schemas.microsoft.com/office/drawing/2014/chart" uri="{C3380CC4-5D6E-409C-BE32-E72D297353CC}">
              <c16:uniqueId val="{00000006-8C6B-43C4-BBD0-37F464047113}"/>
            </c:ext>
          </c:extLst>
        </c:ser>
        <c:ser>
          <c:idx val="7"/>
          <c:order val="7"/>
          <c:tx>
            <c:strRef>
              <c:f>'Bus 308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308 summary'!$C$26:$P$26</c15:sqref>
                  </c15:fullRef>
                </c:ext>
              </c:extLst>
              <c:f>'Bus 308 summary'!$C$26:$N$26</c:f>
              <c:numCache>
                <c:formatCode>#,##0.00</c:formatCode>
                <c:ptCount val="12"/>
              </c:numCache>
            </c:numRef>
          </c:val>
          <c:extLst xmlns:c16r2="http://schemas.microsoft.com/office/drawing/2015/06/chart">
            <c:ext xmlns:c16="http://schemas.microsoft.com/office/drawing/2014/chart" uri="{C3380CC4-5D6E-409C-BE32-E72D297353CC}">
              <c16:uniqueId val="{00000007-8C6B-43C4-BBD0-37F464047113}"/>
            </c:ext>
          </c:extLst>
        </c:ser>
        <c:ser>
          <c:idx val="8"/>
          <c:order val="8"/>
          <c:tx>
            <c:strRef>
              <c:f>'Bus 308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308 summary'!$C$27:$P$27</c15:sqref>
                  </c15:fullRef>
                </c:ext>
              </c:extLst>
              <c:f>'Bus 308 summary'!$C$27:$N$27</c:f>
              <c:numCache>
                <c:formatCode>#,##0.00</c:formatCode>
                <c:ptCount val="12"/>
              </c:numCache>
            </c:numRef>
          </c:val>
          <c:extLst xmlns:c16r2="http://schemas.microsoft.com/office/drawing/2015/06/chart">
            <c:ext xmlns:c16="http://schemas.microsoft.com/office/drawing/2014/chart" uri="{C3380CC4-5D6E-409C-BE32-E72D297353CC}">
              <c16:uniqueId val="{00000008-8C6B-43C4-BBD0-37F464047113}"/>
            </c:ext>
          </c:extLst>
        </c:ser>
        <c:ser>
          <c:idx val="9"/>
          <c:order val="9"/>
          <c:tx>
            <c:strRef>
              <c:f>'Bus 308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308 summary'!$C$28:$P$28</c15:sqref>
                  </c15:fullRef>
                </c:ext>
              </c:extLst>
              <c:f>'Bus 308 summary'!$C$28:$N$28</c:f>
            </c:numRef>
          </c:val>
          <c:extLst xmlns:c16r2="http://schemas.microsoft.com/office/drawing/2015/06/chart">
            <c:ext xmlns:c16="http://schemas.microsoft.com/office/drawing/2014/chart" uri="{C3380CC4-5D6E-409C-BE32-E72D297353CC}">
              <c16:uniqueId val="{00000009-8C6B-43C4-BBD0-37F464047113}"/>
            </c:ext>
          </c:extLst>
        </c:ser>
        <c:ser>
          <c:idx val="10"/>
          <c:order val="10"/>
          <c:tx>
            <c:strRef>
              <c:f>'Bus 308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308 summary'!$C$29:$P$29</c15:sqref>
                  </c15:fullRef>
                </c:ext>
              </c:extLst>
              <c:f>'Bus 308 summary'!$C$29:$N$29</c:f>
            </c:numRef>
          </c:val>
          <c:extLst xmlns:c16r2="http://schemas.microsoft.com/office/drawing/2015/06/chart">
            <c:ext xmlns:c16="http://schemas.microsoft.com/office/drawing/2014/chart" uri="{C3380CC4-5D6E-409C-BE32-E72D297353CC}">
              <c16:uniqueId val="{0000000A-8C6B-43C4-BBD0-37F464047113}"/>
            </c:ext>
          </c:extLst>
        </c:ser>
        <c:ser>
          <c:idx val="11"/>
          <c:order val="11"/>
          <c:tx>
            <c:strRef>
              <c:f>'Bus 308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308 summary'!$C$30:$P$30</c15:sqref>
                  </c15:fullRef>
                </c:ext>
              </c:extLst>
              <c:f>'Bus 308 summary'!$C$30:$N$30</c:f>
            </c:numRef>
          </c:val>
          <c:extLst xmlns:c16r2="http://schemas.microsoft.com/office/drawing/2015/06/chart">
            <c:ext xmlns:c16="http://schemas.microsoft.com/office/drawing/2014/chart" uri="{C3380CC4-5D6E-409C-BE32-E72D297353CC}">
              <c16:uniqueId val="{0000000B-8C6B-43C4-BBD0-37F464047113}"/>
            </c:ext>
          </c:extLst>
        </c:ser>
        <c:ser>
          <c:idx val="12"/>
          <c:order val="12"/>
          <c:tx>
            <c:strRef>
              <c:f>'Bus 308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308 summary'!$C$31:$P$31</c15:sqref>
                  </c15:fullRef>
                </c:ext>
              </c:extLst>
              <c:f>'Bus 308 summary'!$C$31:$N$31</c:f>
            </c:numRef>
          </c:val>
          <c:extLst xmlns:c16r2="http://schemas.microsoft.com/office/drawing/2015/06/chart">
            <c:ext xmlns:c16="http://schemas.microsoft.com/office/drawing/2014/chart" uri="{C3380CC4-5D6E-409C-BE32-E72D297353CC}">
              <c16:uniqueId val="{0000000C-8C6B-43C4-BBD0-37F464047113}"/>
            </c:ext>
          </c:extLst>
        </c:ser>
        <c:ser>
          <c:idx val="13"/>
          <c:order val="13"/>
          <c:tx>
            <c:strRef>
              <c:f>'Bus 308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308 summary'!$C$32:$P$32</c15:sqref>
                  </c15:fullRef>
                </c:ext>
              </c:extLst>
              <c:f>'Bus 308 summary'!$C$32:$N$32</c:f>
              <c:numCache>
                <c:formatCode>#,##0.00</c:formatCode>
                <c:ptCount val="12"/>
              </c:numCache>
            </c:numRef>
          </c:val>
          <c:extLst xmlns:c16r2="http://schemas.microsoft.com/office/drawing/2015/06/chart">
            <c:ext xmlns:c16="http://schemas.microsoft.com/office/drawing/2014/chart" uri="{C3380CC4-5D6E-409C-BE32-E72D297353CC}">
              <c16:uniqueId val="{0000000D-8C6B-43C4-BBD0-37F464047113}"/>
            </c:ext>
          </c:extLst>
        </c:ser>
        <c:ser>
          <c:idx val="14"/>
          <c:order val="14"/>
          <c:tx>
            <c:strRef>
              <c:f>'Bus 308 summary'!$B$33</c:f>
              <c:strCache>
                <c:ptCount val="1"/>
                <c:pt idx="0">
                  <c:v>WARRANTY</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308 summary'!$C$33:$P$33</c15:sqref>
                  </c15:fullRef>
                </c:ext>
              </c:extLst>
              <c:f>'Bus 308 summary'!$C$33:$N$33</c:f>
              <c:numCache>
                <c:formatCode>#,##0.00</c:formatCode>
                <c:ptCount val="12"/>
              </c:numCache>
            </c:numRef>
          </c:val>
          <c:extLst xmlns:c16r2="http://schemas.microsoft.com/office/drawing/2015/06/chart">
            <c:ext xmlns:c16="http://schemas.microsoft.com/office/drawing/2014/chart" uri="{C3380CC4-5D6E-409C-BE32-E72D297353CC}">
              <c16:uniqueId val="{0000000E-8C6B-43C4-BBD0-37F464047113}"/>
            </c:ext>
          </c:extLst>
        </c:ser>
        <c:ser>
          <c:idx val="15"/>
          <c:order val="15"/>
          <c:tx>
            <c:strRef>
              <c:f>'Bus 308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308 summary'!$C$34:$P$34</c15:sqref>
                  </c15:fullRef>
                </c:ext>
              </c:extLst>
              <c:f>'Bus 308 summary'!$C$34:$N$34</c:f>
              <c:numCache>
                <c:formatCode>#,##0.00</c:formatCode>
                <c:ptCount val="12"/>
              </c:numCache>
            </c:numRef>
          </c:val>
          <c:extLst xmlns:c16r2="http://schemas.microsoft.com/office/drawing/2015/06/chart">
            <c:ext xmlns:c16="http://schemas.microsoft.com/office/drawing/2014/chart" uri="{C3380CC4-5D6E-409C-BE32-E72D297353CC}">
              <c16:uniqueId val="{0000000F-8C6B-43C4-BBD0-37F464047113}"/>
            </c:ext>
          </c:extLst>
        </c:ser>
        <c:ser>
          <c:idx val="16"/>
          <c:order val="16"/>
          <c:tx>
            <c:strRef>
              <c:f>'Bus 308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308 summary'!$C$35:$P$35</c15:sqref>
                  </c15:fullRef>
                </c:ext>
              </c:extLst>
              <c:f>'Bus 308 summary'!$C$35:$N$35</c:f>
              <c:numCache>
                <c:formatCode>#,##0.00</c:formatCode>
                <c:ptCount val="12"/>
              </c:numCache>
            </c:numRef>
          </c:val>
          <c:extLst xmlns:c16r2="http://schemas.microsoft.com/office/drawing/2015/06/chart">
            <c:ext xmlns:c16="http://schemas.microsoft.com/office/drawing/2014/chart" uri="{C3380CC4-5D6E-409C-BE32-E72D297353CC}">
              <c16:uniqueId val="{00000010-8C6B-43C4-BBD0-37F464047113}"/>
            </c:ext>
          </c:extLst>
        </c:ser>
        <c:ser>
          <c:idx val="17"/>
          <c:order val="17"/>
          <c:tx>
            <c:strRef>
              <c:f>'Bus 308 summary'!$B$36</c:f>
              <c:strCache>
                <c:ptCount val="1"/>
                <c:pt idx="0">
                  <c:v>OIL/OTHER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308 summary'!$C$36:$P$36</c15:sqref>
                  </c15:fullRef>
                </c:ext>
              </c:extLst>
              <c:f>'Bus 308 summary'!$C$36:$N$36</c:f>
              <c:numCache>
                <c:formatCode>#,##0.00</c:formatCode>
                <c:ptCount val="12"/>
              </c:numCache>
            </c:numRef>
          </c:val>
          <c:extLst xmlns:c16r2="http://schemas.microsoft.com/office/drawing/2015/06/chart">
            <c:ext xmlns:c16="http://schemas.microsoft.com/office/drawing/2014/chart" uri="{C3380CC4-5D6E-409C-BE32-E72D297353CC}">
              <c16:uniqueId val="{00000011-8C6B-43C4-BBD0-37F464047113}"/>
            </c:ext>
          </c:extLst>
        </c:ser>
        <c:ser>
          <c:idx val="18"/>
          <c:order val="18"/>
          <c:tx>
            <c:strRef>
              <c:f>'Bus 308 summary'!$B$37</c:f>
              <c:strCache>
                <c:ptCount val="1"/>
                <c:pt idx="0">
                  <c:v>OTHER PARTS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308 summary'!$C$37:$P$37</c15:sqref>
                  </c15:fullRef>
                </c:ext>
              </c:extLst>
              <c:f>'Bus 308 summary'!$C$37:$N$37</c:f>
              <c:numCache>
                <c:formatCode>#,##0.00</c:formatCode>
                <c:ptCount val="12"/>
                <c:pt idx="6">
                  <c:v>7.91</c:v>
                </c:pt>
                <c:pt idx="7">
                  <c:v>12.23</c:v>
                </c:pt>
                <c:pt idx="8">
                  <c:v>79.900000000000006</c:v>
                </c:pt>
              </c:numCache>
            </c:numRef>
          </c:val>
          <c:extLst xmlns:c16r2="http://schemas.microsoft.com/office/drawing/2015/06/chart">
            <c:ext xmlns:c16="http://schemas.microsoft.com/office/drawing/2014/chart" uri="{C3380CC4-5D6E-409C-BE32-E72D297353CC}">
              <c16:uniqueId val="{00000012-8C6B-43C4-BBD0-37F464047113}"/>
            </c:ext>
          </c:extLst>
        </c:ser>
        <c:ser>
          <c:idx val="19"/>
          <c:order val="19"/>
          <c:tx>
            <c:strRef>
              <c:f>'Bus 308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'Bus 308 summary'!$C$18:$P$18</c15:sqref>
                  </c15:fullRef>
                </c:ext>
              </c:extLst>
              <c:f>'Bus 308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308 summary'!$C$38:$P$38</c15:sqref>
                  </c15:fullRef>
                </c:ext>
              </c:extLst>
              <c:f>'Bus 308 summary'!$C$38:$N$38</c:f>
              <c:numCache>
                <c:formatCode>#,##0.00</c:formatCode>
                <c:ptCount val="12"/>
                <c:pt idx="6">
                  <c:v>20</c:v>
                </c:pt>
                <c:pt idx="7">
                  <c:v>70</c:v>
                </c:pt>
                <c:pt idx="8">
                  <c:v>60</c:v>
                </c:pt>
              </c:numCache>
            </c:numRef>
          </c:val>
          <c:extLst xmlns:c16r2="http://schemas.microsoft.com/office/drawing/2015/06/chart">
            <c:ext xmlns:c16="http://schemas.microsoft.com/office/drawing/2014/chart" uri="{C3380CC4-5D6E-409C-BE32-E72D297353CC}">
              <c16:uniqueId val="{00000013-8C6B-43C4-BBD0-37F464047113}"/>
            </c:ext>
          </c:extLst>
        </c:ser>
        <c:dLbls>
          <c:showLegendKey val="0"/>
          <c:showVal val="0"/>
          <c:showCatName val="0"/>
          <c:showSerName val="0"/>
          <c:showPercent val="0"/>
          <c:showBubbleSize val="0"/>
        </c:dLbls>
        <c:gapWidth val="150"/>
        <c:axId val="669262872"/>
        <c:axId val="669263264"/>
      </c:barChart>
      <c:catAx>
        <c:axId val="669262872"/>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69263264"/>
        <c:crosses val="autoZero"/>
        <c:auto val="1"/>
        <c:lblAlgn val="ctr"/>
        <c:lblOffset val="100"/>
        <c:noMultiLvlLbl val="0"/>
      </c:catAx>
      <c:valAx>
        <c:axId val="669263264"/>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69262872"/>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866728171240174"/>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'308 Chart'!$C$4:$C$5</c:f>
              <c:strCache>
                <c:ptCount val="2"/>
                <c:pt idx="0">
                  <c:v>Projected Cost-Current Maintenance Practices, $109,252  </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'308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'308 Chart'!$C$6:$C$17</c:f>
              <c:numCache>
                <c:formatCode>_("$"* #,##0_);_("$"* \(#,##0\);_("$"* "-"??_);_(@_)</c:formatCode>
                <c:ptCount val="12"/>
                <c:pt idx="0">
                  <c:v>4913</c:v>
                </c:pt>
                <c:pt idx="1">
                  <c:v>4913</c:v>
                </c:pt>
                <c:pt idx="2">
                  <c:v>4913</c:v>
                </c:pt>
                <c:pt idx="3">
                  <c:v>4913</c:v>
                </c:pt>
                <c:pt idx="4">
                  <c:v>17239.669999999998</c:v>
                </c:pt>
                <c:pt idx="5">
                  <c:v>4913</c:v>
                </c:pt>
                <c:pt idx="6">
                  <c:v>4913</c:v>
                </c:pt>
                <c:pt idx="7">
                  <c:v>4913</c:v>
                </c:pt>
                <c:pt idx="8">
                  <c:v>4913</c:v>
                </c:pt>
                <c:pt idx="9">
                  <c:v>4913</c:v>
                </c:pt>
                <c:pt idx="10">
                  <c:v>4913</c:v>
                </c:pt>
                <c:pt idx="11">
                  <c:v>4913</c:v>
                </c:pt>
              </c:numCache>
            </c:numRef>
          </c:val>
          <c:smooth val="0"/>
          <c:extLst xmlns:c16r2="http://schemas.microsoft.com/office/drawing/2015/06/chart">
            <c:ext xmlns:c16="http://schemas.microsoft.com/office/drawing/2014/chart" uri="{C3380CC4-5D6E-409C-BE32-E72D297353CC}">
              <c16:uniqueId val="{00000000-2F28-4483-92EE-5CE3C77C9140}"/>
            </c:ext>
          </c:extLst>
        </c:ser>
        <c:ser>
          <c:idx val="1"/>
          <c:order val="1"/>
          <c:tx>
            <c:strRef>
              <c:f>'308 Chart'!$D$4:$D$5</c:f>
              <c:strCache>
                <c:ptCount val="2"/>
                <c:pt idx="0">
                  <c:v>Projected Cost Alternate Maintenance Practices, $253,816</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'308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'308 Chart'!$D$6:$D$17</c:f>
              <c:numCache>
                <c:formatCode>_("$"* #,##0_);_("$"* \(#,##0\);_("$"* "-"??_);_(@_)</c:formatCode>
                <c:ptCount val="12"/>
                <c:pt idx="0">
                  <c:v>3679</c:v>
                </c:pt>
                <c:pt idx="1">
                  <c:v>5073.5</c:v>
                </c:pt>
                <c:pt idx="2">
                  <c:v>5781</c:v>
                </c:pt>
                <c:pt idx="3">
                  <c:v>11517</c:v>
                </c:pt>
                <c:pt idx="4">
                  <c:v>1640.5</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2F28-4483-92EE-5CE3C77C9140}"/>
            </c:ext>
          </c:extLst>
        </c:ser>
        <c:dLbls>
          <c:showLegendKey val="0"/>
          <c:showVal val="0"/>
          <c:showCatName val="0"/>
          <c:showSerName val="0"/>
          <c:showPercent val="0"/>
          <c:showBubbleSize val="0"/>
        </c:dLbls>
        <c:smooth val="0"/>
        <c:axId val="669264048"/>
        <c:axId val="669264440"/>
      </c:lineChart>
      <c:catAx>
        <c:axId val="669264048"/>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69264440"/>
        <c:crosses val="autoZero"/>
        <c:auto val="1"/>
        <c:lblAlgn val="ctr"/>
        <c:lblOffset val="100"/>
        <c:tickLblSkip val="1"/>
        <c:tickMarkSkip val="1"/>
        <c:noMultiLvlLbl val="0"/>
      </c:catAx>
      <c:valAx>
        <c:axId val="669264440"/>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692640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alignWithMargins="0"/>
    <c:pageMargins b="1" l="0.75" r="0.75"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309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309 summary'!$C$19:$P$19</c15:sqref>
                  </c15:fullRef>
                </c:ext>
              </c:extLst>
              <c:f>'Bus 309 summary'!$C$19:$N$19</c:f>
              <c:numCache>
                <c:formatCode>#,##0.00</c:formatCode>
                <c:ptCount val="12"/>
                <c:pt idx="7">
                  <c:v>185.17</c:v>
                </c:pt>
                <c:pt idx="8">
                  <c:v>255.55</c:v>
                </c:pt>
              </c:numCache>
            </c:numRef>
          </c:val>
          <c:extLst xmlns:c16r2="http://schemas.microsoft.com/office/drawing/2015/06/chart">
            <c:ext xmlns:c16="http://schemas.microsoft.com/office/drawing/2014/chart" uri="{C3380CC4-5D6E-409C-BE32-E72D297353CC}">
              <c16:uniqueId val="{00000000-9895-4A02-8082-91693AD3B78B}"/>
            </c:ext>
          </c:extLst>
        </c:ser>
        <c:ser>
          <c:idx val="1"/>
          <c:order val="1"/>
          <c:tx>
            <c:strRef>
              <c:f>'Bus 309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309 summary'!$C$20:$P$20</c15:sqref>
                  </c15:fullRef>
                </c:ext>
              </c:extLst>
              <c:f>'Bus 309 summary'!$C$20:$N$20</c:f>
              <c:numCache>
                <c:formatCode>#,##0.00</c:formatCode>
                <c:ptCount val="12"/>
              </c:numCache>
            </c:numRef>
          </c:val>
          <c:extLst xmlns:c16r2="http://schemas.microsoft.com/office/drawing/2015/06/chart">
            <c:ext xmlns:c16="http://schemas.microsoft.com/office/drawing/2014/chart" uri="{C3380CC4-5D6E-409C-BE32-E72D297353CC}">
              <c16:uniqueId val="{00000001-9895-4A02-8082-91693AD3B78B}"/>
            </c:ext>
          </c:extLst>
        </c:ser>
        <c:ser>
          <c:idx val="2"/>
          <c:order val="2"/>
          <c:tx>
            <c:strRef>
              <c:f>'Bus 309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309 summary'!$C$21:$P$21</c15:sqref>
                  </c15:fullRef>
                </c:ext>
              </c:extLst>
              <c:f>'Bus 309 summary'!$C$21:$N$21</c:f>
              <c:numCache>
                <c:formatCode>#,##0.00</c:formatCode>
                <c:ptCount val="12"/>
              </c:numCache>
            </c:numRef>
          </c:val>
          <c:extLst xmlns:c16r2="http://schemas.microsoft.com/office/drawing/2015/06/chart">
            <c:ext xmlns:c16="http://schemas.microsoft.com/office/drawing/2014/chart" uri="{C3380CC4-5D6E-409C-BE32-E72D297353CC}">
              <c16:uniqueId val="{00000002-9895-4A02-8082-91693AD3B78B}"/>
            </c:ext>
          </c:extLst>
        </c:ser>
        <c:ser>
          <c:idx val="3"/>
          <c:order val="3"/>
          <c:tx>
            <c:strRef>
              <c:f>'Bus 309 summary'!$B$22</c:f>
              <c:strCache>
                <c:ptCount val="1"/>
                <c:pt idx="0">
                  <c:v>CALIPERS</c:v>
                </c:pt>
              </c:strCache>
            </c:strRef>
          </c:tx>
          <c:spPr>
            <a:solidFill>
              <a:schemeClr val="accent4"/>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309 summary'!$C$22:$P$22</c15:sqref>
                  </c15:fullRef>
                </c:ext>
              </c:extLst>
              <c:f>'Bus 309 summary'!$C$22:$N$22</c:f>
              <c:numCache>
                <c:formatCode>#,##0.00</c:formatCode>
                <c:ptCount val="12"/>
              </c:numCache>
            </c:numRef>
          </c:val>
          <c:extLst xmlns:c16r2="http://schemas.microsoft.com/office/drawing/2015/06/chart">
            <c:ext xmlns:c16="http://schemas.microsoft.com/office/drawing/2014/chart" uri="{C3380CC4-5D6E-409C-BE32-E72D297353CC}">
              <c16:uniqueId val="{00000003-9895-4A02-8082-91693AD3B78B}"/>
            </c:ext>
          </c:extLst>
        </c:ser>
        <c:ser>
          <c:idx val="4"/>
          <c:order val="4"/>
          <c:tx>
            <c:strRef>
              <c:f>'Bus 309 summary'!$B$23</c:f>
              <c:strCache>
                <c:ptCount val="1"/>
                <c:pt idx="0">
                  <c:v>STARTERS</c:v>
                </c:pt>
              </c:strCache>
            </c:strRef>
          </c:tx>
          <c:spPr>
            <a:solidFill>
              <a:schemeClr val="accent5"/>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309 summary'!$C$23:$P$23</c15:sqref>
                  </c15:fullRef>
                </c:ext>
              </c:extLst>
              <c:f>'Bus 309 summary'!$C$23:$N$23</c:f>
              <c:numCache>
                <c:formatCode>#,##0.00</c:formatCode>
                <c:ptCount val="12"/>
              </c:numCache>
            </c:numRef>
          </c:val>
          <c:extLst xmlns:c16r2="http://schemas.microsoft.com/office/drawing/2015/06/chart">
            <c:ext xmlns:c16="http://schemas.microsoft.com/office/drawing/2014/chart" uri="{C3380CC4-5D6E-409C-BE32-E72D297353CC}">
              <c16:uniqueId val="{00000004-9895-4A02-8082-91693AD3B78B}"/>
            </c:ext>
          </c:extLst>
        </c:ser>
        <c:ser>
          <c:idx val="5"/>
          <c:order val="5"/>
          <c:tx>
            <c:strRef>
              <c:f>'Bus 309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309 summary'!$C$24:$P$24</c15:sqref>
                  </c15:fullRef>
                </c:ext>
              </c:extLst>
              <c:f>'Bus 309 summary'!$C$24:$N$24</c:f>
              <c:numCache>
                <c:formatCode>#,##0.00</c:formatCode>
                <c:ptCount val="12"/>
              </c:numCache>
            </c:numRef>
          </c:val>
          <c:extLst xmlns:c16r2="http://schemas.microsoft.com/office/drawing/2015/06/chart">
            <c:ext xmlns:c16="http://schemas.microsoft.com/office/drawing/2014/chart" uri="{C3380CC4-5D6E-409C-BE32-E72D297353CC}">
              <c16:uniqueId val="{00000005-9895-4A02-8082-91693AD3B78B}"/>
            </c:ext>
          </c:extLst>
        </c:ser>
        <c:ser>
          <c:idx val="6"/>
          <c:order val="6"/>
          <c:tx>
            <c:strRef>
              <c:f>'Bus 309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309 summary'!$C$25:$P$25</c15:sqref>
                  </c15:fullRef>
                </c:ext>
              </c:extLst>
              <c:f>'Bus 309 summary'!$C$25:$N$25</c:f>
              <c:numCache>
                <c:formatCode>#,##0.00</c:formatCode>
                <c:ptCount val="12"/>
              </c:numCache>
            </c:numRef>
          </c:val>
          <c:extLst xmlns:c16r2="http://schemas.microsoft.com/office/drawing/2015/06/chart">
            <c:ext xmlns:c16="http://schemas.microsoft.com/office/drawing/2014/chart" uri="{C3380CC4-5D6E-409C-BE32-E72D297353CC}">
              <c16:uniqueId val="{00000006-9895-4A02-8082-91693AD3B78B}"/>
            </c:ext>
          </c:extLst>
        </c:ser>
        <c:ser>
          <c:idx val="7"/>
          <c:order val="7"/>
          <c:tx>
            <c:strRef>
              <c:f>'Bus 309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309 summary'!$C$26:$P$26</c15:sqref>
                  </c15:fullRef>
                </c:ext>
              </c:extLst>
              <c:f>'Bus 309 summary'!$C$26:$N$26</c:f>
              <c:numCache>
                <c:formatCode>#,##0.00</c:formatCode>
                <c:ptCount val="12"/>
              </c:numCache>
            </c:numRef>
          </c:val>
          <c:extLst xmlns:c16r2="http://schemas.microsoft.com/office/drawing/2015/06/chart">
            <c:ext xmlns:c16="http://schemas.microsoft.com/office/drawing/2014/chart" uri="{C3380CC4-5D6E-409C-BE32-E72D297353CC}">
              <c16:uniqueId val="{00000007-9895-4A02-8082-91693AD3B78B}"/>
            </c:ext>
          </c:extLst>
        </c:ser>
        <c:ser>
          <c:idx val="8"/>
          <c:order val="8"/>
          <c:tx>
            <c:strRef>
              <c:f>'Bus 309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309 summary'!$C$27:$P$27</c15:sqref>
                  </c15:fullRef>
                </c:ext>
              </c:extLst>
              <c:f>'Bus 309 summary'!$C$27:$N$27</c:f>
              <c:numCache>
                <c:formatCode>#,##0.00</c:formatCode>
                <c:ptCount val="12"/>
              </c:numCache>
            </c:numRef>
          </c:val>
          <c:extLst xmlns:c16r2="http://schemas.microsoft.com/office/drawing/2015/06/chart">
            <c:ext xmlns:c16="http://schemas.microsoft.com/office/drawing/2014/chart" uri="{C3380CC4-5D6E-409C-BE32-E72D297353CC}">
              <c16:uniqueId val="{00000008-9895-4A02-8082-91693AD3B78B}"/>
            </c:ext>
          </c:extLst>
        </c:ser>
        <c:ser>
          <c:idx val="9"/>
          <c:order val="9"/>
          <c:tx>
            <c:strRef>
              <c:f>'Bus 309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309 summary'!$C$28:$P$28</c15:sqref>
                  </c15:fullRef>
                </c:ext>
              </c:extLst>
              <c:f>'Bus 309 summary'!$C$28:$N$28</c:f>
            </c:numRef>
          </c:val>
          <c:extLst xmlns:c16r2="http://schemas.microsoft.com/office/drawing/2015/06/chart">
            <c:ext xmlns:c16="http://schemas.microsoft.com/office/drawing/2014/chart" uri="{C3380CC4-5D6E-409C-BE32-E72D297353CC}">
              <c16:uniqueId val="{00000009-9895-4A02-8082-91693AD3B78B}"/>
            </c:ext>
          </c:extLst>
        </c:ser>
        <c:ser>
          <c:idx val="10"/>
          <c:order val="10"/>
          <c:tx>
            <c:strRef>
              <c:f>'Bus 309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309 summary'!$C$29:$P$29</c15:sqref>
                  </c15:fullRef>
                </c:ext>
              </c:extLst>
              <c:f>'Bus 309 summary'!$C$29:$N$29</c:f>
            </c:numRef>
          </c:val>
          <c:extLst xmlns:c16r2="http://schemas.microsoft.com/office/drawing/2015/06/chart">
            <c:ext xmlns:c16="http://schemas.microsoft.com/office/drawing/2014/chart" uri="{C3380CC4-5D6E-409C-BE32-E72D297353CC}">
              <c16:uniqueId val="{0000000A-9895-4A02-8082-91693AD3B78B}"/>
            </c:ext>
          </c:extLst>
        </c:ser>
        <c:ser>
          <c:idx val="11"/>
          <c:order val="11"/>
          <c:tx>
            <c:strRef>
              <c:f>'Bus 309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309 summary'!$C$30:$P$30</c15:sqref>
                  </c15:fullRef>
                </c:ext>
              </c:extLst>
              <c:f>'Bus 309 summary'!$C$30:$N$30</c:f>
            </c:numRef>
          </c:val>
          <c:extLst xmlns:c16r2="http://schemas.microsoft.com/office/drawing/2015/06/chart">
            <c:ext xmlns:c16="http://schemas.microsoft.com/office/drawing/2014/chart" uri="{C3380CC4-5D6E-409C-BE32-E72D297353CC}">
              <c16:uniqueId val="{0000000B-9895-4A02-8082-91693AD3B78B}"/>
            </c:ext>
          </c:extLst>
        </c:ser>
        <c:ser>
          <c:idx val="12"/>
          <c:order val="12"/>
          <c:tx>
            <c:strRef>
              <c:f>'Bus 309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309 summary'!$C$31:$P$31</c15:sqref>
                  </c15:fullRef>
                </c:ext>
              </c:extLst>
              <c:f>'Bus 309 summary'!$C$31:$N$31</c:f>
            </c:numRef>
          </c:val>
          <c:extLst xmlns:c16r2="http://schemas.microsoft.com/office/drawing/2015/06/chart">
            <c:ext xmlns:c16="http://schemas.microsoft.com/office/drawing/2014/chart" uri="{C3380CC4-5D6E-409C-BE32-E72D297353CC}">
              <c16:uniqueId val="{0000000C-9895-4A02-8082-91693AD3B78B}"/>
            </c:ext>
          </c:extLst>
        </c:ser>
        <c:ser>
          <c:idx val="13"/>
          <c:order val="13"/>
          <c:tx>
            <c:strRef>
              <c:f>'Bus 309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309 summary'!$C$32:$P$32</c15:sqref>
                  </c15:fullRef>
                </c:ext>
              </c:extLst>
              <c:f>'Bus 309 summary'!$C$32:$N$32</c:f>
              <c:numCache>
                <c:formatCode>#,##0.00</c:formatCode>
                <c:ptCount val="12"/>
              </c:numCache>
            </c:numRef>
          </c:val>
          <c:extLst xmlns:c16r2="http://schemas.microsoft.com/office/drawing/2015/06/chart">
            <c:ext xmlns:c16="http://schemas.microsoft.com/office/drawing/2014/chart" uri="{C3380CC4-5D6E-409C-BE32-E72D297353CC}">
              <c16:uniqueId val="{0000000D-9895-4A02-8082-91693AD3B78B}"/>
            </c:ext>
          </c:extLst>
        </c:ser>
        <c:ser>
          <c:idx val="14"/>
          <c:order val="14"/>
          <c:tx>
            <c:strRef>
              <c:f>'Bus 309 summary'!$B$33</c:f>
              <c:strCache>
                <c:ptCount val="1"/>
                <c:pt idx="0">
                  <c:v>WARRANTY</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309 summary'!$C$33:$P$33</c15:sqref>
                  </c15:fullRef>
                </c:ext>
              </c:extLst>
              <c:f>'Bus 309 summary'!$C$33:$N$33</c:f>
              <c:numCache>
                <c:formatCode>#,##0.00</c:formatCode>
                <c:ptCount val="12"/>
              </c:numCache>
            </c:numRef>
          </c:val>
          <c:extLst xmlns:c16r2="http://schemas.microsoft.com/office/drawing/2015/06/chart">
            <c:ext xmlns:c16="http://schemas.microsoft.com/office/drawing/2014/chart" uri="{C3380CC4-5D6E-409C-BE32-E72D297353CC}">
              <c16:uniqueId val="{0000000E-9895-4A02-8082-91693AD3B78B}"/>
            </c:ext>
          </c:extLst>
        </c:ser>
        <c:ser>
          <c:idx val="15"/>
          <c:order val="15"/>
          <c:tx>
            <c:strRef>
              <c:f>'Bus 309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309 summary'!$C$34:$P$34</c15:sqref>
                  </c15:fullRef>
                </c:ext>
              </c:extLst>
              <c:f>'Bus 309 summary'!$C$34:$N$34</c:f>
              <c:numCache>
                <c:formatCode>#,##0.00</c:formatCode>
                <c:ptCount val="12"/>
                <c:pt idx="7">
                  <c:v>40</c:v>
                </c:pt>
                <c:pt idx="9">
                  <c:v>100</c:v>
                </c:pt>
              </c:numCache>
            </c:numRef>
          </c:val>
          <c:extLst xmlns:c16r2="http://schemas.microsoft.com/office/drawing/2015/06/chart">
            <c:ext xmlns:c16="http://schemas.microsoft.com/office/drawing/2014/chart" uri="{C3380CC4-5D6E-409C-BE32-E72D297353CC}">
              <c16:uniqueId val="{0000000F-9895-4A02-8082-91693AD3B78B}"/>
            </c:ext>
          </c:extLst>
        </c:ser>
        <c:ser>
          <c:idx val="16"/>
          <c:order val="16"/>
          <c:tx>
            <c:strRef>
              <c:f>'Bus 309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309 summary'!$C$35:$P$35</c15:sqref>
                  </c15:fullRef>
                </c:ext>
              </c:extLst>
              <c:f>'Bus 309 summary'!$C$35:$N$35</c:f>
              <c:numCache>
                <c:formatCode>#,##0.00</c:formatCode>
                <c:ptCount val="12"/>
                <c:pt idx="7">
                  <c:v>7.83</c:v>
                </c:pt>
                <c:pt idx="8">
                  <c:v>7.83</c:v>
                </c:pt>
              </c:numCache>
            </c:numRef>
          </c:val>
          <c:extLst xmlns:c16r2="http://schemas.microsoft.com/office/drawing/2015/06/chart">
            <c:ext xmlns:c16="http://schemas.microsoft.com/office/drawing/2014/chart" uri="{C3380CC4-5D6E-409C-BE32-E72D297353CC}">
              <c16:uniqueId val="{00000010-9895-4A02-8082-91693AD3B78B}"/>
            </c:ext>
          </c:extLst>
        </c:ser>
        <c:ser>
          <c:idx val="17"/>
          <c:order val="17"/>
          <c:tx>
            <c:strRef>
              <c:f>'Bus 309 summary'!$B$36</c:f>
              <c:strCache>
                <c:ptCount val="1"/>
                <c:pt idx="0">
                  <c:v>OIL /OTHER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309 summary'!$C$36:$P$36</c15:sqref>
                  </c15:fullRef>
                </c:ext>
              </c:extLst>
              <c:f>'Bus 309 summary'!$C$36:$N$36</c:f>
              <c:numCache>
                <c:formatCode>#,##0.00</c:formatCode>
                <c:ptCount val="12"/>
              </c:numCache>
            </c:numRef>
          </c:val>
          <c:extLst xmlns:c16r2="http://schemas.microsoft.com/office/drawing/2015/06/chart">
            <c:ext xmlns:c16="http://schemas.microsoft.com/office/drawing/2014/chart" uri="{C3380CC4-5D6E-409C-BE32-E72D297353CC}">
              <c16:uniqueId val="{00000011-9895-4A02-8082-91693AD3B78B}"/>
            </c:ext>
          </c:extLst>
        </c:ser>
        <c:ser>
          <c:idx val="18"/>
          <c:order val="18"/>
          <c:tx>
            <c:strRef>
              <c:f>'Bus 309 summary'!$B$37</c:f>
              <c:strCache>
                <c:ptCount val="1"/>
                <c:pt idx="0">
                  <c:v>OTHER PARTS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309 summary'!$C$37:$P$37</c15:sqref>
                  </c15:fullRef>
                </c:ext>
              </c:extLst>
              <c:f>'Bus 309 summary'!$C$37:$N$37</c:f>
              <c:numCache>
                <c:formatCode>#,##0.00</c:formatCode>
                <c:ptCount val="12"/>
                <c:pt idx="6">
                  <c:v>9.9700000000000006</c:v>
                </c:pt>
                <c:pt idx="7">
                  <c:v>210.36</c:v>
                </c:pt>
                <c:pt idx="8">
                  <c:v>312.94</c:v>
                </c:pt>
              </c:numCache>
            </c:numRef>
          </c:val>
          <c:extLst xmlns:c16r2="http://schemas.microsoft.com/office/drawing/2015/06/chart">
            <c:ext xmlns:c16="http://schemas.microsoft.com/office/drawing/2014/chart" uri="{C3380CC4-5D6E-409C-BE32-E72D297353CC}">
              <c16:uniqueId val="{00000012-9895-4A02-8082-91693AD3B78B}"/>
            </c:ext>
          </c:extLst>
        </c:ser>
        <c:ser>
          <c:idx val="19"/>
          <c:order val="19"/>
          <c:tx>
            <c:strRef>
              <c:f>'Bus 309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'Bus 309 summary'!$C$18:$P$18</c15:sqref>
                  </c15:fullRef>
                </c:ext>
              </c:extLst>
              <c:f>'Bus 309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309 summary'!$C$38:$P$38</c15:sqref>
                  </c15:fullRef>
                </c:ext>
              </c:extLst>
              <c:f>'Bus 309 summary'!$C$38:$N$38</c:f>
              <c:numCache>
                <c:formatCode>#,##0.00</c:formatCode>
                <c:ptCount val="12"/>
                <c:pt idx="6">
                  <c:v>20</c:v>
                </c:pt>
                <c:pt idx="7">
                  <c:v>30</c:v>
                </c:pt>
                <c:pt idx="8">
                  <c:v>70</c:v>
                </c:pt>
              </c:numCache>
            </c:numRef>
          </c:val>
          <c:extLst xmlns:c16r2="http://schemas.microsoft.com/office/drawing/2015/06/chart">
            <c:ext xmlns:c16="http://schemas.microsoft.com/office/drawing/2014/chart" uri="{C3380CC4-5D6E-409C-BE32-E72D297353CC}">
              <c16:uniqueId val="{00000013-9895-4A02-8082-91693AD3B78B}"/>
            </c:ext>
          </c:extLst>
        </c:ser>
        <c:dLbls>
          <c:showLegendKey val="0"/>
          <c:showVal val="0"/>
          <c:showCatName val="0"/>
          <c:showSerName val="0"/>
          <c:showPercent val="0"/>
          <c:showBubbleSize val="0"/>
        </c:dLbls>
        <c:gapWidth val="150"/>
        <c:axId val="669265224"/>
        <c:axId val="674080648"/>
      </c:barChart>
      <c:catAx>
        <c:axId val="669265224"/>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74080648"/>
        <c:crosses val="autoZero"/>
        <c:auto val="1"/>
        <c:lblAlgn val="ctr"/>
        <c:lblOffset val="100"/>
        <c:noMultiLvlLbl val="0"/>
      </c:catAx>
      <c:valAx>
        <c:axId val="674080648"/>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69265224"/>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866728171240174"/>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'309 Chart'!$C$4:$C$5</c:f>
              <c:strCache>
                <c:ptCount val="2"/>
                <c:pt idx="0">
                  <c:v>Projected Cost-Current Maintenance Practices, $109,252  </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'309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'309 Chart'!$C$6:$C$17</c:f>
              <c:numCache>
                <c:formatCode>_("$"* #,##0_);_("$"* \(#,##0\);_("$"* "-"??_);_(@_)</c:formatCode>
                <c:ptCount val="12"/>
                <c:pt idx="0">
                  <c:v>4913</c:v>
                </c:pt>
                <c:pt idx="1">
                  <c:v>4913</c:v>
                </c:pt>
                <c:pt idx="2">
                  <c:v>4913</c:v>
                </c:pt>
                <c:pt idx="3">
                  <c:v>4913</c:v>
                </c:pt>
                <c:pt idx="4">
                  <c:v>17239.669999999998</c:v>
                </c:pt>
                <c:pt idx="5">
                  <c:v>4913</c:v>
                </c:pt>
                <c:pt idx="6">
                  <c:v>4913</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9690-4FCE-8D31-4E7B3FDDC17E}"/>
            </c:ext>
          </c:extLst>
        </c:ser>
        <c:ser>
          <c:idx val="1"/>
          <c:order val="1"/>
          <c:tx>
            <c:strRef>
              <c:f>'309 Chart'!$D$4:$D$5</c:f>
              <c:strCache>
                <c:ptCount val="2"/>
                <c:pt idx="0">
                  <c:v>Projected Cost Alternate Maintenance Practices, $253,816</c:v>
                </c:pt>
              </c:strCache>
            </c:strRef>
          </c:tx>
          <c:spPr>
            <a:ln w="22225" cap="rnd">
              <a:solidFill>
                <a:schemeClr val="accent2"/>
              </a:solidFill>
            </a:ln>
            <a:effectLst>
              <a:glow rad="139700">
                <a:schemeClr val="accent2">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'309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'309 Chart'!$D$6:$D$17</c:f>
              <c:numCache>
                <c:formatCode>_("$"* #,##0_);_("$"* \(#,##0\);_("$"* "-"??_);_(@_)</c:formatCode>
                <c:ptCount val="12"/>
                <c:pt idx="0">
                  <c:v>3761</c:v>
                </c:pt>
                <c:pt idx="1">
                  <c:v>4538</c:v>
                </c:pt>
                <c:pt idx="2">
                  <c:v>6872</c:v>
                </c:pt>
                <c:pt idx="3">
                  <c:v>4124</c:v>
                </c:pt>
                <c:pt idx="4">
                  <c:v>2915</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9690-4FCE-8D31-4E7B3FDDC17E}"/>
            </c:ext>
          </c:extLst>
        </c:ser>
        <c:dLbls>
          <c:showLegendKey val="0"/>
          <c:showVal val="0"/>
          <c:showCatName val="0"/>
          <c:showSerName val="0"/>
          <c:showPercent val="0"/>
          <c:showBubbleSize val="0"/>
        </c:dLbls>
        <c:smooth val="0"/>
        <c:axId val="674081432"/>
        <c:axId val="674081824"/>
      </c:lineChart>
      <c:catAx>
        <c:axId val="67408143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74081824"/>
        <c:crosses val="autoZero"/>
        <c:auto val="1"/>
        <c:lblAlgn val="ctr"/>
        <c:lblOffset val="100"/>
        <c:tickLblSkip val="1"/>
        <c:tickMarkSkip val="1"/>
        <c:noMultiLvlLbl val="0"/>
      </c:catAx>
      <c:valAx>
        <c:axId val="674081824"/>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74081432"/>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alignWithMargins="0"/>
    <c:pageMargins b="1" l="0.75" r="0.75"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310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310 summary'!$C$19:$P$19</c15:sqref>
                  </c15:fullRef>
                </c:ext>
              </c:extLst>
              <c:f>'Bus 310 summary'!$C$19:$N$19</c:f>
              <c:numCache>
                <c:formatCode>#,##0.00</c:formatCode>
                <c:ptCount val="12"/>
                <c:pt idx="6">
                  <c:v>169.93</c:v>
                </c:pt>
                <c:pt idx="8">
                  <c:v>619.83000000000004</c:v>
                </c:pt>
                <c:pt idx="9">
                  <c:v>382.4</c:v>
                </c:pt>
              </c:numCache>
            </c:numRef>
          </c:val>
          <c:extLst xmlns:c16r2="http://schemas.microsoft.com/office/drawing/2015/06/chart">
            <c:ext xmlns:c16="http://schemas.microsoft.com/office/drawing/2014/chart" uri="{C3380CC4-5D6E-409C-BE32-E72D297353CC}">
              <c16:uniqueId val="{00000000-581F-4B19-9900-ECF5FFC4ADCB}"/>
            </c:ext>
          </c:extLst>
        </c:ser>
        <c:ser>
          <c:idx val="1"/>
          <c:order val="1"/>
          <c:tx>
            <c:strRef>
              <c:f>'Bus 310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310 summary'!$C$20:$P$20</c15:sqref>
                  </c15:fullRef>
                </c:ext>
              </c:extLst>
              <c:f>'Bus 310 summary'!$C$20:$N$20</c:f>
              <c:numCache>
                <c:formatCode>#,##0.00</c:formatCode>
                <c:ptCount val="12"/>
                <c:pt idx="6">
                  <c:v>418.88</c:v>
                </c:pt>
                <c:pt idx="7">
                  <c:v>502.06</c:v>
                </c:pt>
              </c:numCache>
            </c:numRef>
          </c:val>
          <c:extLst xmlns:c16r2="http://schemas.microsoft.com/office/drawing/2015/06/chart">
            <c:ext xmlns:c16="http://schemas.microsoft.com/office/drawing/2014/chart" uri="{C3380CC4-5D6E-409C-BE32-E72D297353CC}">
              <c16:uniqueId val="{00000001-581F-4B19-9900-ECF5FFC4ADCB}"/>
            </c:ext>
          </c:extLst>
        </c:ser>
        <c:ser>
          <c:idx val="2"/>
          <c:order val="2"/>
          <c:tx>
            <c:strRef>
              <c:f>'Bus 310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310 summary'!$C$21:$P$21</c15:sqref>
                  </c15:fullRef>
                </c:ext>
              </c:extLst>
              <c:f>'Bus 310 summary'!$C$21:$N$21</c:f>
              <c:numCache>
                <c:formatCode>#,##0.00</c:formatCode>
                <c:ptCount val="12"/>
                <c:pt idx="7">
                  <c:v>48.09</c:v>
                </c:pt>
              </c:numCache>
            </c:numRef>
          </c:val>
          <c:extLst xmlns:c16r2="http://schemas.microsoft.com/office/drawing/2015/06/chart">
            <c:ext xmlns:c16="http://schemas.microsoft.com/office/drawing/2014/chart" uri="{C3380CC4-5D6E-409C-BE32-E72D297353CC}">
              <c16:uniqueId val="{00000002-581F-4B19-9900-ECF5FFC4ADCB}"/>
            </c:ext>
          </c:extLst>
        </c:ser>
        <c:ser>
          <c:idx val="3"/>
          <c:order val="3"/>
          <c:tx>
            <c:strRef>
              <c:f>'Bus 310 summary'!$B$22</c:f>
              <c:strCache>
                <c:ptCount val="1"/>
                <c:pt idx="0">
                  <c:v>CALIPERS</c:v>
                </c:pt>
              </c:strCache>
            </c:strRef>
          </c:tx>
          <c:spPr>
            <a:solidFill>
              <a:schemeClr val="accent4"/>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310 summary'!$C$22:$P$22</c15:sqref>
                  </c15:fullRef>
                </c:ext>
              </c:extLst>
              <c:f>'Bus 310 summary'!$C$22:$N$22</c:f>
              <c:numCache>
                <c:formatCode>#,##0.00</c:formatCode>
                <c:ptCount val="12"/>
              </c:numCache>
            </c:numRef>
          </c:val>
          <c:extLst xmlns:c16r2="http://schemas.microsoft.com/office/drawing/2015/06/chart">
            <c:ext xmlns:c16="http://schemas.microsoft.com/office/drawing/2014/chart" uri="{C3380CC4-5D6E-409C-BE32-E72D297353CC}">
              <c16:uniqueId val="{00000003-581F-4B19-9900-ECF5FFC4ADCB}"/>
            </c:ext>
          </c:extLst>
        </c:ser>
        <c:ser>
          <c:idx val="4"/>
          <c:order val="4"/>
          <c:tx>
            <c:strRef>
              <c:f>'Bus 310 summary'!$B$23</c:f>
              <c:strCache>
                <c:ptCount val="1"/>
                <c:pt idx="0">
                  <c:v>STARTERS</c:v>
                </c:pt>
              </c:strCache>
            </c:strRef>
          </c:tx>
          <c:spPr>
            <a:solidFill>
              <a:schemeClr val="accent5"/>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310 summary'!$C$23:$P$23</c15:sqref>
                  </c15:fullRef>
                </c:ext>
              </c:extLst>
              <c:f>'Bus 310 summary'!$C$23:$N$23</c:f>
              <c:numCache>
                <c:formatCode>#,##0.00</c:formatCode>
                <c:ptCount val="12"/>
              </c:numCache>
            </c:numRef>
          </c:val>
          <c:extLst xmlns:c16r2="http://schemas.microsoft.com/office/drawing/2015/06/chart">
            <c:ext xmlns:c16="http://schemas.microsoft.com/office/drawing/2014/chart" uri="{C3380CC4-5D6E-409C-BE32-E72D297353CC}">
              <c16:uniqueId val="{00000004-581F-4B19-9900-ECF5FFC4ADCB}"/>
            </c:ext>
          </c:extLst>
        </c:ser>
        <c:ser>
          <c:idx val="5"/>
          <c:order val="5"/>
          <c:tx>
            <c:strRef>
              <c:f>'Bus 310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310 summary'!$C$24:$P$24</c15:sqref>
                  </c15:fullRef>
                </c:ext>
              </c:extLst>
              <c:f>'Bus 310 summary'!$C$24:$N$24</c:f>
              <c:numCache>
                <c:formatCode>#,##0.00</c:formatCode>
                <c:ptCount val="12"/>
              </c:numCache>
            </c:numRef>
          </c:val>
          <c:extLst xmlns:c16r2="http://schemas.microsoft.com/office/drawing/2015/06/chart">
            <c:ext xmlns:c16="http://schemas.microsoft.com/office/drawing/2014/chart" uri="{C3380CC4-5D6E-409C-BE32-E72D297353CC}">
              <c16:uniqueId val="{00000005-581F-4B19-9900-ECF5FFC4ADCB}"/>
            </c:ext>
          </c:extLst>
        </c:ser>
        <c:ser>
          <c:idx val="6"/>
          <c:order val="6"/>
          <c:tx>
            <c:strRef>
              <c:f>'Bus 310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310 summary'!$C$25:$P$25</c15:sqref>
                  </c15:fullRef>
                </c:ext>
              </c:extLst>
              <c:f>'Bus 310 summary'!$C$25:$N$25</c:f>
              <c:numCache>
                <c:formatCode>#,##0.00</c:formatCode>
                <c:ptCount val="12"/>
              </c:numCache>
            </c:numRef>
          </c:val>
          <c:extLst xmlns:c16r2="http://schemas.microsoft.com/office/drawing/2015/06/chart">
            <c:ext xmlns:c16="http://schemas.microsoft.com/office/drawing/2014/chart" uri="{C3380CC4-5D6E-409C-BE32-E72D297353CC}">
              <c16:uniqueId val="{00000006-581F-4B19-9900-ECF5FFC4ADCB}"/>
            </c:ext>
          </c:extLst>
        </c:ser>
        <c:ser>
          <c:idx val="7"/>
          <c:order val="7"/>
          <c:tx>
            <c:strRef>
              <c:f>'Bus 310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310 summary'!$C$26:$P$26</c15:sqref>
                  </c15:fullRef>
                </c:ext>
              </c:extLst>
              <c:f>'Bus 310 summary'!$C$26:$N$26</c:f>
              <c:numCache>
                <c:formatCode>#,##0.00</c:formatCode>
                <c:ptCount val="12"/>
              </c:numCache>
            </c:numRef>
          </c:val>
          <c:extLst xmlns:c16r2="http://schemas.microsoft.com/office/drawing/2015/06/chart">
            <c:ext xmlns:c16="http://schemas.microsoft.com/office/drawing/2014/chart" uri="{C3380CC4-5D6E-409C-BE32-E72D297353CC}">
              <c16:uniqueId val="{00000007-581F-4B19-9900-ECF5FFC4ADCB}"/>
            </c:ext>
          </c:extLst>
        </c:ser>
        <c:ser>
          <c:idx val="8"/>
          <c:order val="8"/>
          <c:tx>
            <c:strRef>
              <c:f>'Bus 310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310 summary'!$C$27:$P$27</c15:sqref>
                  </c15:fullRef>
                </c:ext>
              </c:extLst>
              <c:f>'Bus 310 summary'!$C$27:$N$27</c:f>
              <c:numCache>
                <c:formatCode>#,##0.00</c:formatCode>
                <c:ptCount val="12"/>
              </c:numCache>
            </c:numRef>
          </c:val>
          <c:extLst xmlns:c16r2="http://schemas.microsoft.com/office/drawing/2015/06/chart">
            <c:ext xmlns:c16="http://schemas.microsoft.com/office/drawing/2014/chart" uri="{C3380CC4-5D6E-409C-BE32-E72D297353CC}">
              <c16:uniqueId val="{00000008-581F-4B19-9900-ECF5FFC4ADCB}"/>
            </c:ext>
          </c:extLst>
        </c:ser>
        <c:ser>
          <c:idx val="9"/>
          <c:order val="9"/>
          <c:tx>
            <c:strRef>
              <c:f>'Bus 310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310 summary'!$C$28:$P$28</c15:sqref>
                  </c15:fullRef>
                </c:ext>
              </c:extLst>
              <c:f>'Bus 310 summary'!$C$28:$N$28</c:f>
            </c:numRef>
          </c:val>
          <c:extLst xmlns:c16r2="http://schemas.microsoft.com/office/drawing/2015/06/chart">
            <c:ext xmlns:c16="http://schemas.microsoft.com/office/drawing/2014/chart" uri="{C3380CC4-5D6E-409C-BE32-E72D297353CC}">
              <c16:uniqueId val="{00000009-581F-4B19-9900-ECF5FFC4ADCB}"/>
            </c:ext>
          </c:extLst>
        </c:ser>
        <c:ser>
          <c:idx val="10"/>
          <c:order val="10"/>
          <c:tx>
            <c:strRef>
              <c:f>'Bus 310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310 summary'!$C$29:$P$29</c15:sqref>
                  </c15:fullRef>
                </c:ext>
              </c:extLst>
              <c:f>'Bus 310 summary'!$C$29:$N$29</c:f>
            </c:numRef>
          </c:val>
          <c:extLst xmlns:c16r2="http://schemas.microsoft.com/office/drawing/2015/06/chart">
            <c:ext xmlns:c16="http://schemas.microsoft.com/office/drawing/2014/chart" uri="{C3380CC4-5D6E-409C-BE32-E72D297353CC}">
              <c16:uniqueId val="{0000000A-581F-4B19-9900-ECF5FFC4ADCB}"/>
            </c:ext>
          </c:extLst>
        </c:ser>
        <c:ser>
          <c:idx val="11"/>
          <c:order val="11"/>
          <c:tx>
            <c:strRef>
              <c:f>'Bus 310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310 summary'!$C$30:$P$30</c15:sqref>
                  </c15:fullRef>
                </c:ext>
              </c:extLst>
              <c:f>'Bus 310 summary'!$C$30:$N$30</c:f>
            </c:numRef>
          </c:val>
          <c:extLst xmlns:c16r2="http://schemas.microsoft.com/office/drawing/2015/06/chart">
            <c:ext xmlns:c16="http://schemas.microsoft.com/office/drawing/2014/chart" uri="{C3380CC4-5D6E-409C-BE32-E72D297353CC}">
              <c16:uniqueId val="{0000000B-581F-4B19-9900-ECF5FFC4ADCB}"/>
            </c:ext>
          </c:extLst>
        </c:ser>
        <c:ser>
          <c:idx val="12"/>
          <c:order val="12"/>
          <c:tx>
            <c:strRef>
              <c:f>'Bus 310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310 summary'!$C$31:$P$31</c15:sqref>
                  </c15:fullRef>
                </c:ext>
              </c:extLst>
              <c:f>'Bus 310 summary'!$C$31:$N$31</c:f>
            </c:numRef>
          </c:val>
          <c:extLst xmlns:c16r2="http://schemas.microsoft.com/office/drawing/2015/06/chart">
            <c:ext xmlns:c16="http://schemas.microsoft.com/office/drawing/2014/chart" uri="{C3380CC4-5D6E-409C-BE32-E72D297353CC}">
              <c16:uniqueId val="{0000000C-581F-4B19-9900-ECF5FFC4ADCB}"/>
            </c:ext>
          </c:extLst>
        </c:ser>
        <c:ser>
          <c:idx val="13"/>
          <c:order val="13"/>
          <c:tx>
            <c:strRef>
              <c:f>'Bus 310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310 summary'!$C$32:$P$32</c15:sqref>
                  </c15:fullRef>
                </c:ext>
              </c:extLst>
              <c:f>'Bus 310 summary'!$C$32:$N$32</c:f>
              <c:numCache>
                <c:formatCode>#,##0.00</c:formatCode>
                <c:ptCount val="12"/>
              </c:numCache>
            </c:numRef>
          </c:val>
          <c:extLst xmlns:c16r2="http://schemas.microsoft.com/office/drawing/2015/06/chart">
            <c:ext xmlns:c16="http://schemas.microsoft.com/office/drawing/2014/chart" uri="{C3380CC4-5D6E-409C-BE32-E72D297353CC}">
              <c16:uniqueId val="{0000000D-581F-4B19-9900-ECF5FFC4ADCB}"/>
            </c:ext>
          </c:extLst>
        </c:ser>
        <c:ser>
          <c:idx val="14"/>
          <c:order val="14"/>
          <c:tx>
            <c:strRef>
              <c:f>'Bus 310 summary'!$B$33</c:f>
              <c:strCache>
                <c:ptCount val="1"/>
                <c:pt idx="0">
                  <c:v>WARRANTY</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310 summary'!$C$33:$P$33</c15:sqref>
                  </c15:fullRef>
                </c:ext>
              </c:extLst>
              <c:f>'Bus 310 summary'!$C$33:$N$33</c:f>
              <c:numCache>
                <c:formatCode>#,##0.00</c:formatCode>
                <c:ptCount val="12"/>
              </c:numCache>
            </c:numRef>
          </c:val>
          <c:extLst xmlns:c16r2="http://schemas.microsoft.com/office/drawing/2015/06/chart">
            <c:ext xmlns:c16="http://schemas.microsoft.com/office/drawing/2014/chart" uri="{C3380CC4-5D6E-409C-BE32-E72D297353CC}">
              <c16:uniqueId val="{0000000E-581F-4B19-9900-ECF5FFC4ADCB}"/>
            </c:ext>
          </c:extLst>
        </c:ser>
        <c:ser>
          <c:idx val="15"/>
          <c:order val="15"/>
          <c:tx>
            <c:strRef>
              <c:f>'Bus 310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310 summary'!$C$34:$P$34</c15:sqref>
                  </c15:fullRef>
                </c:ext>
              </c:extLst>
              <c:f>'Bus 310 summary'!$C$34:$N$34</c:f>
              <c:numCache>
                <c:formatCode>#,##0.00</c:formatCode>
                <c:ptCount val="12"/>
              </c:numCache>
            </c:numRef>
          </c:val>
          <c:extLst xmlns:c16r2="http://schemas.microsoft.com/office/drawing/2015/06/chart">
            <c:ext xmlns:c16="http://schemas.microsoft.com/office/drawing/2014/chart" uri="{C3380CC4-5D6E-409C-BE32-E72D297353CC}">
              <c16:uniqueId val="{0000000F-581F-4B19-9900-ECF5FFC4ADCB}"/>
            </c:ext>
          </c:extLst>
        </c:ser>
        <c:ser>
          <c:idx val="16"/>
          <c:order val="16"/>
          <c:tx>
            <c:strRef>
              <c:f>'Bus 310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310 summary'!$C$35:$P$35</c15:sqref>
                  </c15:fullRef>
                </c:ext>
              </c:extLst>
              <c:f>'Bus 310 summary'!$C$35:$N$35</c:f>
              <c:numCache>
                <c:formatCode>#,##0.00</c:formatCode>
                <c:ptCount val="12"/>
                <c:pt idx="7">
                  <c:v>16.68</c:v>
                </c:pt>
                <c:pt idx="8">
                  <c:v>15.66</c:v>
                </c:pt>
              </c:numCache>
            </c:numRef>
          </c:val>
          <c:extLst xmlns:c16r2="http://schemas.microsoft.com/office/drawing/2015/06/chart">
            <c:ext xmlns:c16="http://schemas.microsoft.com/office/drawing/2014/chart" uri="{C3380CC4-5D6E-409C-BE32-E72D297353CC}">
              <c16:uniqueId val="{00000010-581F-4B19-9900-ECF5FFC4ADCB}"/>
            </c:ext>
          </c:extLst>
        </c:ser>
        <c:ser>
          <c:idx val="17"/>
          <c:order val="17"/>
          <c:tx>
            <c:strRef>
              <c:f>'Bus 310 summary'!$B$36</c:f>
              <c:strCache>
                <c:ptCount val="1"/>
                <c:pt idx="0">
                  <c:v>OIL/OTHER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310 summary'!$C$36:$P$36</c15:sqref>
                  </c15:fullRef>
                </c:ext>
              </c:extLst>
              <c:f>'Bus 310 summary'!$C$36:$N$36</c:f>
              <c:numCache>
                <c:formatCode>#,##0.00</c:formatCode>
                <c:ptCount val="12"/>
              </c:numCache>
            </c:numRef>
          </c:val>
          <c:extLst xmlns:c16r2="http://schemas.microsoft.com/office/drawing/2015/06/chart">
            <c:ext xmlns:c16="http://schemas.microsoft.com/office/drawing/2014/chart" uri="{C3380CC4-5D6E-409C-BE32-E72D297353CC}">
              <c16:uniqueId val="{00000011-581F-4B19-9900-ECF5FFC4ADCB}"/>
            </c:ext>
          </c:extLst>
        </c:ser>
        <c:ser>
          <c:idx val="18"/>
          <c:order val="18"/>
          <c:tx>
            <c:strRef>
              <c:f>'Bus 310 summary'!$B$37</c:f>
              <c:strCache>
                <c:ptCount val="1"/>
                <c:pt idx="0">
                  <c:v>OTHER PARTS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310 summary'!$C$37:$P$37</c15:sqref>
                  </c15:fullRef>
                </c:ext>
              </c:extLst>
              <c:f>'Bus 310 summary'!$C$37:$N$37</c:f>
              <c:numCache>
                <c:formatCode>#,##0.00</c:formatCode>
                <c:ptCount val="12"/>
                <c:pt idx="6">
                  <c:v>6.08</c:v>
                </c:pt>
                <c:pt idx="7">
                  <c:v>116.93</c:v>
                </c:pt>
                <c:pt idx="8">
                  <c:v>12.13</c:v>
                </c:pt>
              </c:numCache>
            </c:numRef>
          </c:val>
          <c:extLst xmlns:c16r2="http://schemas.microsoft.com/office/drawing/2015/06/chart">
            <c:ext xmlns:c16="http://schemas.microsoft.com/office/drawing/2014/chart" uri="{C3380CC4-5D6E-409C-BE32-E72D297353CC}">
              <c16:uniqueId val="{00000012-581F-4B19-9900-ECF5FFC4ADCB}"/>
            </c:ext>
          </c:extLst>
        </c:ser>
        <c:ser>
          <c:idx val="19"/>
          <c:order val="19"/>
          <c:tx>
            <c:strRef>
              <c:f>'Bus 310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'Bus 310 summary'!$C$18:$P$18</c15:sqref>
                  </c15:fullRef>
                </c:ext>
              </c:extLst>
              <c:f>'Bus 310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310 summary'!$C$38:$P$38</c15:sqref>
                  </c15:fullRef>
                </c:ext>
              </c:extLst>
              <c:f>'Bus 310 summary'!$C$38:$N$38</c:f>
              <c:numCache>
                <c:formatCode>#,##0.00</c:formatCode>
                <c:ptCount val="12"/>
                <c:pt idx="6">
                  <c:v>30</c:v>
                </c:pt>
                <c:pt idx="7">
                  <c:v>190</c:v>
                </c:pt>
                <c:pt idx="8">
                  <c:v>30</c:v>
                </c:pt>
              </c:numCache>
            </c:numRef>
          </c:val>
          <c:extLst xmlns:c16r2="http://schemas.microsoft.com/office/drawing/2015/06/chart">
            <c:ext xmlns:c16="http://schemas.microsoft.com/office/drawing/2014/chart" uri="{C3380CC4-5D6E-409C-BE32-E72D297353CC}">
              <c16:uniqueId val="{00000013-581F-4B19-9900-ECF5FFC4ADCB}"/>
            </c:ext>
          </c:extLst>
        </c:ser>
        <c:dLbls>
          <c:showLegendKey val="0"/>
          <c:showVal val="0"/>
          <c:showCatName val="0"/>
          <c:showSerName val="0"/>
          <c:showPercent val="0"/>
          <c:showBubbleSize val="0"/>
        </c:dLbls>
        <c:gapWidth val="150"/>
        <c:axId val="674082608"/>
        <c:axId val="674083000"/>
      </c:barChart>
      <c:catAx>
        <c:axId val="674082608"/>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74083000"/>
        <c:crosses val="autoZero"/>
        <c:auto val="1"/>
        <c:lblAlgn val="ctr"/>
        <c:lblOffset val="100"/>
        <c:noMultiLvlLbl val="0"/>
      </c:catAx>
      <c:valAx>
        <c:axId val="674083000"/>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74082608"/>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866728171240174"/>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'310 Chart'!$C$4:$C$5</c:f>
              <c:strCache>
                <c:ptCount val="2"/>
                <c:pt idx="0">
                  <c:v>Projected Cost-Current Maintenance Practices, $109,252  </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'310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'310 Chart'!$C$6:$C$17</c:f>
              <c:numCache>
                <c:formatCode>_("$"* #,##0_);_("$"* \(#,##0\);_("$"* "-"??_);_(@_)</c:formatCode>
                <c:ptCount val="12"/>
                <c:pt idx="0">
                  <c:v>4913</c:v>
                </c:pt>
                <c:pt idx="1">
                  <c:v>4913</c:v>
                </c:pt>
                <c:pt idx="2">
                  <c:v>4913</c:v>
                </c:pt>
                <c:pt idx="3">
                  <c:v>4913</c:v>
                </c:pt>
                <c:pt idx="4">
                  <c:v>17239.669999999998</c:v>
                </c:pt>
                <c:pt idx="5">
                  <c:v>4913</c:v>
                </c:pt>
                <c:pt idx="6">
                  <c:v>4913</c:v>
                </c:pt>
                <c:pt idx="7">
                  <c:v>4913</c:v>
                </c:pt>
                <c:pt idx="8">
                  <c:v>4913</c:v>
                </c:pt>
                <c:pt idx="9">
                  <c:v>4913</c:v>
                </c:pt>
                <c:pt idx="10">
                  <c:v>4913</c:v>
                </c:pt>
                <c:pt idx="11">
                  <c:v>4913</c:v>
                </c:pt>
              </c:numCache>
            </c:numRef>
          </c:val>
          <c:smooth val="0"/>
          <c:extLst xmlns:c16r2="http://schemas.microsoft.com/office/drawing/2015/06/chart">
            <c:ext xmlns:c16="http://schemas.microsoft.com/office/drawing/2014/chart" uri="{C3380CC4-5D6E-409C-BE32-E72D297353CC}">
              <c16:uniqueId val="{00000000-3FC4-49F0-9869-356C74666FF7}"/>
            </c:ext>
          </c:extLst>
        </c:ser>
        <c:ser>
          <c:idx val="1"/>
          <c:order val="1"/>
          <c:tx>
            <c:strRef>
              <c:f>'310 Chart'!$D$4:$D$5</c:f>
              <c:strCache>
                <c:ptCount val="2"/>
                <c:pt idx="0">
                  <c:v>Projected Cost Alternate Maintenance Practices, $253,816</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'310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'310 Chart'!$D$6:$D$17</c:f>
              <c:numCache>
                <c:formatCode>_("$"* #,##0_);_("$"* \(#,##0\);_("$"* "-"??_);_(@_)</c:formatCode>
                <c:ptCount val="12"/>
                <c:pt idx="0">
                  <c:v>2827</c:v>
                </c:pt>
                <c:pt idx="1">
                  <c:v>2499</c:v>
                </c:pt>
                <c:pt idx="2">
                  <c:v>3530.5</c:v>
                </c:pt>
                <c:pt idx="3">
                  <c:v>9602</c:v>
                </c:pt>
                <c:pt idx="4">
                  <c:v>1457.5</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3FC4-49F0-9869-356C74666FF7}"/>
            </c:ext>
          </c:extLst>
        </c:ser>
        <c:dLbls>
          <c:showLegendKey val="0"/>
          <c:showVal val="0"/>
          <c:showCatName val="0"/>
          <c:showSerName val="0"/>
          <c:showPercent val="0"/>
          <c:showBubbleSize val="0"/>
        </c:dLbls>
        <c:smooth val="0"/>
        <c:axId val="674083784"/>
        <c:axId val="674084176"/>
      </c:lineChart>
      <c:catAx>
        <c:axId val="67408378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74084176"/>
        <c:crosses val="autoZero"/>
        <c:auto val="1"/>
        <c:lblAlgn val="ctr"/>
        <c:lblOffset val="100"/>
        <c:tickLblSkip val="1"/>
        <c:tickMarkSkip val="1"/>
        <c:noMultiLvlLbl val="0"/>
      </c:catAx>
      <c:valAx>
        <c:axId val="674084176"/>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740837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alignWithMargins="0"/>
    <c:pageMargins b="1" l="0.75" r="0.75"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311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311 summary'!$C$19:$P$19</c15:sqref>
                  </c15:fullRef>
                </c:ext>
              </c:extLst>
              <c:f>'Bus 311 summary'!$C$19:$N$19</c:f>
              <c:numCache>
                <c:formatCode>#,##0.00</c:formatCode>
                <c:ptCount val="12"/>
                <c:pt idx="6">
                  <c:v>371.17</c:v>
                </c:pt>
                <c:pt idx="8">
                  <c:v>335.25</c:v>
                </c:pt>
              </c:numCache>
            </c:numRef>
          </c:val>
          <c:extLst xmlns:c16r2="http://schemas.microsoft.com/office/drawing/2015/06/chart">
            <c:ext xmlns:c16="http://schemas.microsoft.com/office/drawing/2014/chart" uri="{C3380CC4-5D6E-409C-BE32-E72D297353CC}">
              <c16:uniqueId val="{00000000-F388-4DFE-81FE-6C6529BDD369}"/>
            </c:ext>
          </c:extLst>
        </c:ser>
        <c:ser>
          <c:idx val="1"/>
          <c:order val="1"/>
          <c:tx>
            <c:strRef>
              <c:f>'Bus 311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311 summary'!$C$20:$P$20</c15:sqref>
                  </c15:fullRef>
                </c:ext>
              </c:extLst>
              <c:f>'Bus 311 summary'!$C$20:$N$20</c:f>
              <c:numCache>
                <c:formatCode>#,##0.00</c:formatCode>
                <c:ptCount val="12"/>
              </c:numCache>
            </c:numRef>
          </c:val>
          <c:extLst xmlns:c16r2="http://schemas.microsoft.com/office/drawing/2015/06/chart">
            <c:ext xmlns:c16="http://schemas.microsoft.com/office/drawing/2014/chart" uri="{C3380CC4-5D6E-409C-BE32-E72D297353CC}">
              <c16:uniqueId val="{00000001-F388-4DFE-81FE-6C6529BDD369}"/>
            </c:ext>
          </c:extLst>
        </c:ser>
        <c:ser>
          <c:idx val="2"/>
          <c:order val="2"/>
          <c:tx>
            <c:strRef>
              <c:f>'Bus 311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311 summary'!$C$21:$P$21</c15:sqref>
                  </c15:fullRef>
                </c:ext>
              </c:extLst>
              <c:f>'Bus 311 summary'!$C$21:$N$21</c:f>
              <c:numCache>
                <c:formatCode>#,##0.00</c:formatCode>
                <c:ptCount val="12"/>
              </c:numCache>
            </c:numRef>
          </c:val>
          <c:extLst xmlns:c16r2="http://schemas.microsoft.com/office/drawing/2015/06/chart">
            <c:ext xmlns:c16="http://schemas.microsoft.com/office/drawing/2014/chart" uri="{C3380CC4-5D6E-409C-BE32-E72D297353CC}">
              <c16:uniqueId val="{00000002-F388-4DFE-81FE-6C6529BDD369}"/>
            </c:ext>
          </c:extLst>
        </c:ser>
        <c:ser>
          <c:idx val="3"/>
          <c:order val="3"/>
          <c:tx>
            <c:strRef>
              <c:f>'Bus 311 summary'!$B$22</c:f>
              <c:strCache>
                <c:ptCount val="1"/>
                <c:pt idx="0">
                  <c:v> CALIPERS</c:v>
                </c:pt>
              </c:strCache>
            </c:strRef>
          </c:tx>
          <c:spPr>
            <a:solidFill>
              <a:schemeClr val="accent4"/>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311 summary'!$C$22:$P$22</c15:sqref>
                  </c15:fullRef>
                </c:ext>
              </c:extLst>
              <c:f>'Bus 311 summary'!$C$22:$N$22</c:f>
              <c:numCache>
                <c:formatCode>#,##0.00</c:formatCode>
                <c:ptCount val="12"/>
              </c:numCache>
            </c:numRef>
          </c:val>
          <c:extLst xmlns:c16r2="http://schemas.microsoft.com/office/drawing/2015/06/chart">
            <c:ext xmlns:c16="http://schemas.microsoft.com/office/drawing/2014/chart" uri="{C3380CC4-5D6E-409C-BE32-E72D297353CC}">
              <c16:uniqueId val="{00000003-F388-4DFE-81FE-6C6529BDD369}"/>
            </c:ext>
          </c:extLst>
        </c:ser>
        <c:ser>
          <c:idx val="4"/>
          <c:order val="4"/>
          <c:tx>
            <c:strRef>
              <c:f>'Bus 311 summary'!$B$23</c:f>
              <c:strCache>
                <c:ptCount val="1"/>
                <c:pt idx="0">
                  <c:v>STARTERS/ALTERN</c:v>
                </c:pt>
              </c:strCache>
            </c:strRef>
          </c:tx>
          <c:spPr>
            <a:solidFill>
              <a:schemeClr val="accent5"/>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311 summary'!$C$23:$P$23</c15:sqref>
                  </c15:fullRef>
                </c:ext>
              </c:extLst>
              <c:f>'Bus 311 summary'!$C$23:$N$23</c:f>
              <c:numCache>
                <c:formatCode>#,##0.00</c:formatCode>
                <c:ptCount val="12"/>
                <c:pt idx="6">
                  <c:v>128.69999999999999</c:v>
                </c:pt>
              </c:numCache>
            </c:numRef>
          </c:val>
          <c:extLst xmlns:c16r2="http://schemas.microsoft.com/office/drawing/2015/06/chart">
            <c:ext xmlns:c16="http://schemas.microsoft.com/office/drawing/2014/chart" uri="{C3380CC4-5D6E-409C-BE32-E72D297353CC}">
              <c16:uniqueId val="{00000004-F388-4DFE-81FE-6C6529BDD369}"/>
            </c:ext>
          </c:extLst>
        </c:ser>
        <c:ser>
          <c:idx val="5"/>
          <c:order val="5"/>
          <c:tx>
            <c:strRef>
              <c:f>'Bus 311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311 summary'!$C$24:$P$24</c15:sqref>
                  </c15:fullRef>
                </c:ext>
              </c:extLst>
              <c:f>'Bus 311 summary'!$C$24:$N$24</c:f>
              <c:numCache>
                <c:formatCode>#,##0.00</c:formatCode>
                <c:ptCount val="12"/>
              </c:numCache>
            </c:numRef>
          </c:val>
          <c:extLst xmlns:c16r2="http://schemas.microsoft.com/office/drawing/2015/06/chart">
            <c:ext xmlns:c16="http://schemas.microsoft.com/office/drawing/2014/chart" uri="{C3380CC4-5D6E-409C-BE32-E72D297353CC}">
              <c16:uniqueId val="{00000005-F388-4DFE-81FE-6C6529BDD369}"/>
            </c:ext>
          </c:extLst>
        </c:ser>
        <c:ser>
          <c:idx val="6"/>
          <c:order val="6"/>
          <c:tx>
            <c:strRef>
              <c:f>'Bus 311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311 summary'!$C$25:$P$25</c15:sqref>
                  </c15:fullRef>
                </c:ext>
              </c:extLst>
              <c:f>'Bus 311 summary'!$C$25:$N$25</c:f>
              <c:numCache>
                <c:formatCode>#,##0.00</c:formatCode>
                <c:ptCount val="12"/>
              </c:numCache>
            </c:numRef>
          </c:val>
          <c:extLst xmlns:c16r2="http://schemas.microsoft.com/office/drawing/2015/06/chart">
            <c:ext xmlns:c16="http://schemas.microsoft.com/office/drawing/2014/chart" uri="{C3380CC4-5D6E-409C-BE32-E72D297353CC}">
              <c16:uniqueId val="{00000006-F388-4DFE-81FE-6C6529BDD369}"/>
            </c:ext>
          </c:extLst>
        </c:ser>
        <c:ser>
          <c:idx val="7"/>
          <c:order val="7"/>
          <c:tx>
            <c:strRef>
              <c:f>'Bus 311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311 summary'!$C$26:$P$26</c15:sqref>
                  </c15:fullRef>
                </c:ext>
              </c:extLst>
              <c:f>'Bus 311 summary'!$C$26:$N$26</c:f>
              <c:numCache>
                <c:formatCode>#,##0.00</c:formatCode>
                <c:ptCount val="12"/>
              </c:numCache>
            </c:numRef>
          </c:val>
          <c:extLst xmlns:c16r2="http://schemas.microsoft.com/office/drawing/2015/06/chart">
            <c:ext xmlns:c16="http://schemas.microsoft.com/office/drawing/2014/chart" uri="{C3380CC4-5D6E-409C-BE32-E72D297353CC}">
              <c16:uniqueId val="{00000007-F388-4DFE-81FE-6C6529BDD369}"/>
            </c:ext>
          </c:extLst>
        </c:ser>
        <c:ser>
          <c:idx val="8"/>
          <c:order val="8"/>
          <c:tx>
            <c:strRef>
              <c:f>'Bus 311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311 summary'!$C$27:$P$27</c15:sqref>
                  </c15:fullRef>
                </c:ext>
              </c:extLst>
              <c:f>'Bus 311 summary'!$C$27:$N$27</c:f>
              <c:numCache>
                <c:formatCode>#,##0.00</c:formatCode>
                <c:ptCount val="12"/>
              </c:numCache>
            </c:numRef>
          </c:val>
          <c:extLst xmlns:c16r2="http://schemas.microsoft.com/office/drawing/2015/06/chart">
            <c:ext xmlns:c16="http://schemas.microsoft.com/office/drawing/2014/chart" uri="{C3380CC4-5D6E-409C-BE32-E72D297353CC}">
              <c16:uniqueId val="{00000008-F388-4DFE-81FE-6C6529BDD369}"/>
            </c:ext>
          </c:extLst>
        </c:ser>
        <c:ser>
          <c:idx val="9"/>
          <c:order val="9"/>
          <c:tx>
            <c:strRef>
              <c:f>'Bus 311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311 summary'!$C$28:$P$28</c15:sqref>
                  </c15:fullRef>
                </c:ext>
              </c:extLst>
              <c:f>'Bus 311 summary'!$C$28:$N$28</c:f>
            </c:numRef>
          </c:val>
          <c:extLst xmlns:c16r2="http://schemas.microsoft.com/office/drawing/2015/06/chart">
            <c:ext xmlns:c16="http://schemas.microsoft.com/office/drawing/2014/chart" uri="{C3380CC4-5D6E-409C-BE32-E72D297353CC}">
              <c16:uniqueId val="{00000009-F388-4DFE-81FE-6C6529BDD369}"/>
            </c:ext>
          </c:extLst>
        </c:ser>
        <c:ser>
          <c:idx val="10"/>
          <c:order val="10"/>
          <c:tx>
            <c:strRef>
              <c:f>'Bus 311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311 summary'!$C$29:$P$29</c15:sqref>
                  </c15:fullRef>
                </c:ext>
              </c:extLst>
              <c:f>'Bus 311 summary'!$C$29:$N$29</c:f>
            </c:numRef>
          </c:val>
          <c:extLst xmlns:c16r2="http://schemas.microsoft.com/office/drawing/2015/06/chart">
            <c:ext xmlns:c16="http://schemas.microsoft.com/office/drawing/2014/chart" uri="{C3380CC4-5D6E-409C-BE32-E72D297353CC}">
              <c16:uniqueId val="{0000000A-F388-4DFE-81FE-6C6529BDD369}"/>
            </c:ext>
          </c:extLst>
        </c:ser>
        <c:ser>
          <c:idx val="11"/>
          <c:order val="11"/>
          <c:tx>
            <c:strRef>
              <c:f>'Bus 311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311 summary'!$C$30:$P$30</c15:sqref>
                  </c15:fullRef>
                </c:ext>
              </c:extLst>
              <c:f>'Bus 311 summary'!$C$30:$N$30</c:f>
            </c:numRef>
          </c:val>
          <c:extLst xmlns:c16r2="http://schemas.microsoft.com/office/drawing/2015/06/chart">
            <c:ext xmlns:c16="http://schemas.microsoft.com/office/drawing/2014/chart" uri="{C3380CC4-5D6E-409C-BE32-E72D297353CC}">
              <c16:uniqueId val="{0000000B-F388-4DFE-81FE-6C6529BDD369}"/>
            </c:ext>
          </c:extLst>
        </c:ser>
        <c:ser>
          <c:idx val="12"/>
          <c:order val="12"/>
          <c:tx>
            <c:strRef>
              <c:f>'Bus 311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311 summary'!$C$31:$P$31</c15:sqref>
                  </c15:fullRef>
                </c:ext>
              </c:extLst>
              <c:f>'Bus 311 summary'!$C$31:$N$31</c:f>
            </c:numRef>
          </c:val>
          <c:extLst xmlns:c16r2="http://schemas.microsoft.com/office/drawing/2015/06/chart">
            <c:ext xmlns:c16="http://schemas.microsoft.com/office/drawing/2014/chart" uri="{C3380CC4-5D6E-409C-BE32-E72D297353CC}">
              <c16:uniqueId val="{0000000C-F388-4DFE-81FE-6C6529BDD369}"/>
            </c:ext>
          </c:extLst>
        </c:ser>
        <c:ser>
          <c:idx val="13"/>
          <c:order val="13"/>
          <c:tx>
            <c:strRef>
              <c:f>'Bus 311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311 summary'!$C$32:$P$32</c15:sqref>
                  </c15:fullRef>
                </c:ext>
              </c:extLst>
              <c:f>'Bus 311 summary'!$C$32:$N$32</c:f>
              <c:numCache>
                <c:formatCode>#,##0.00</c:formatCode>
                <c:ptCount val="12"/>
              </c:numCache>
            </c:numRef>
          </c:val>
          <c:extLst xmlns:c16r2="http://schemas.microsoft.com/office/drawing/2015/06/chart">
            <c:ext xmlns:c16="http://schemas.microsoft.com/office/drawing/2014/chart" uri="{C3380CC4-5D6E-409C-BE32-E72D297353CC}">
              <c16:uniqueId val="{0000000D-F388-4DFE-81FE-6C6529BDD369}"/>
            </c:ext>
          </c:extLst>
        </c:ser>
        <c:ser>
          <c:idx val="14"/>
          <c:order val="14"/>
          <c:tx>
            <c:strRef>
              <c:f>'Bus 311 summary'!$B$33</c:f>
              <c:strCache>
                <c:ptCount val="1"/>
                <c:pt idx="0">
                  <c:v>WARRANTY</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311 summary'!$C$33:$P$33</c15:sqref>
                  </c15:fullRef>
                </c:ext>
              </c:extLst>
              <c:f>'Bus 311 summary'!$C$33:$N$33</c:f>
              <c:numCache>
                <c:formatCode>#,##0.00</c:formatCode>
                <c:ptCount val="12"/>
              </c:numCache>
            </c:numRef>
          </c:val>
          <c:extLst xmlns:c16r2="http://schemas.microsoft.com/office/drawing/2015/06/chart">
            <c:ext xmlns:c16="http://schemas.microsoft.com/office/drawing/2014/chart" uri="{C3380CC4-5D6E-409C-BE32-E72D297353CC}">
              <c16:uniqueId val="{0000000E-F388-4DFE-81FE-6C6529BDD369}"/>
            </c:ext>
          </c:extLst>
        </c:ser>
        <c:ser>
          <c:idx val="15"/>
          <c:order val="15"/>
          <c:tx>
            <c:strRef>
              <c:f>'Bus 311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311 summary'!$C$34:$P$34</c15:sqref>
                  </c15:fullRef>
                </c:ext>
              </c:extLst>
              <c:f>'Bus 311 summary'!$C$34:$N$34</c:f>
              <c:numCache>
                <c:formatCode>#,##0.00</c:formatCode>
                <c:ptCount val="12"/>
                <c:pt idx="9">
                  <c:v>95.79</c:v>
                </c:pt>
              </c:numCache>
            </c:numRef>
          </c:val>
          <c:extLst xmlns:c16r2="http://schemas.microsoft.com/office/drawing/2015/06/chart">
            <c:ext xmlns:c16="http://schemas.microsoft.com/office/drawing/2014/chart" uri="{C3380CC4-5D6E-409C-BE32-E72D297353CC}">
              <c16:uniqueId val="{0000000F-F388-4DFE-81FE-6C6529BDD369}"/>
            </c:ext>
          </c:extLst>
        </c:ser>
        <c:ser>
          <c:idx val="16"/>
          <c:order val="16"/>
          <c:tx>
            <c:strRef>
              <c:f>'Bus 311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311 summary'!$C$35:$P$35</c15:sqref>
                  </c15:fullRef>
                </c:ext>
              </c:extLst>
              <c:f>'Bus 311 summary'!$C$35:$N$35</c:f>
              <c:numCache>
                <c:formatCode>#,##0.00</c:formatCode>
                <c:ptCount val="12"/>
                <c:pt idx="7">
                  <c:v>15.66</c:v>
                </c:pt>
                <c:pt idx="8">
                  <c:v>23.49</c:v>
                </c:pt>
              </c:numCache>
            </c:numRef>
          </c:val>
          <c:extLst xmlns:c16r2="http://schemas.microsoft.com/office/drawing/2015/06/chart">
            <c:ext xmlns:c16="http://schemas.microsoft.com/office/drawing/2014/chart" uri="{C3380CC4-5D6E-409C-BE32-E72D297353CC}">
              <c16:uniqueId val="{00000010-F388-4DFE-81FE-6C6529BDD369}"/>
            </c:ext>
          </c:extLst>
        </c:ser>
        <c:ser>
          <c:idx val="17"/>
          <c:order val="17"/>
          <c:tx>
            <c:strRef>
              <c:f>'Bus 311 summary'!$B$36</c:f>
              <c:strCache>
                <c:ptCount val="1"/>
                <c:pt idx="0">
                  <c:v>OIL/OTHER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311 summary'!$C$36:$P$36</c15:sqref>
                  </c15:fullRef>
                </c:ext>
              </c:extLst>
              <c:f>'Bus 311 summary'!$C$36:$N$36</c:f>
              <c:numCache>
                <c:formatCode>#,##0.00</c:formatCode>
                <c:ptCount val="12"/>
              </c:numCache>
            </c:numRef>
          </c:val>
          <c:extLst xmlns:c16r2="http://schemas.microsoft.com/office/drawing/2015/06/chart">
            <c:ext xmlns:c16="http://schemas.microsoft.com/office/drawing/2014/chart" uri="{C3380CC4-5D6E-409C-BE32-E72D297353CC}">
              <c16:uniqueId val="{00000011-F388-4DFE-81FE-6C6529BDD369}"/>
            </c:ext>
          </c:extLst>
        </c:ser>
        <c:ser>
          <c:idx val="18"/>
          <c:order val="18"/>
          <c:tx>
            <c:strRef>
              <c:f>'Bus 311 summary'!$B$37</c:f>
              <c:strCache>
                <c:ptCount val="1"/>
                <c:pt idx="0">
                  <c:v>OTHER PARTS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311 summary'!$C$37:$P$37</c15:sqref>
                  </c15:fullRef>
                </c:ext>
              </c:extLst>
              <c:f>'Bus 311 summary'!$C$37:$N$37</c:f>
              <c:numCache>
                <c:formatCode>#,##0.00</c:formatCode>
                <c:ptCount val="12"/>
                <c:pt idx="6">
                  <c:v>214.81</c:v>
                </c:pt>
                <c:pt idx="7">
                  <c:v>129.15</c:v>
                </c:pt>
                <c:pt idx="8">
                  <c:v>23.71</c:v>
                </c:pt>
              </c:numCache>
            </c:numRef>
          </c:val>
          <c:extLst xmlns:c16r2="http://schemas.microsoft.com/office/drawing/2015/06/chart">
            <c:ext xmlns:c16="http://schemas.microsoft.com/office/drawing/2014/chart" uri="{C3380CC4-5D6E-409C-BE32-E72D297353CC}">
              <c16:uniqueId val="{00000012-F388-4DFE-81FE-6C6529BDD369}"/>
            </c:ext>
          </c:extLst>
        </c:ser>
        <c:ser>
          <c:idx val="19"/>
          <c:order val="19"/>
          <c:tx>
            <c:strRef>
              <c:f>'Bus 311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'Bus 311 summary'!$C$18:$P$18</c15:sqref>
                  </c15:fullRef>
                </c:ext>
              </c:extLst>
              <c:f>'Bus 311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311 summary'!$C$38:$P$38</c15:sqref>
                  </c15:fullRef>
                </c:ext>
              </c:extLst>
              <c:f>'Bus 311 summary'!$C$38:$N$38</c:f>
              <c:numCache>
                <c:formatCode>#,##0.00</c:formatCode>
                <c:ptCount val="12"/>
                <c:pt idx="6">
                  <c:v>310</c:v>
                </c:pt>
                <c:pt idx="7">
                  <c:v>80</c:v>
                </c:pt>
                <c:pt idx="8">
                  <c:v>40</c:v>
                </c:pt>
              </c:numCache>
            </c:numRef>
          </c:val>
          <c:extLst xmlns:c16r2="http://schemas.microsoft.com/office/drawing/2015/06/chart">
            <c:ext xmlns:c16="http://schemas.microsoft.com/office/drawing/2014/chart" uri="{C3380CC4-5D6E-409C-BE32-E72D297353CC}">
              <c16:uniqueId val="{00000013-F388-4DFE-81FE-6C6529BDD369}"/>
            </c:ext>
          </c:extLst>
        </c:ser>
        <c:dLbls>
          <c:showLegendKey val="0"/>
          <c:showVal val="0"/>
          <c:showCatName val="0"/>
          <c:showSerName val="0"/>
          <c:showPercent val="0"/>
          <c:showBubbleSize val="0"/>
        </c:dLbls>
        <c:gapWidth val="150"/>
        <c:axId val="693408784"/>
        <c:axId val="693409176"/>
      </c:barChart>
      <c:catAx>
        <c:axId val="693408784"/>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93409176"/>
        <c:crosses val="autoZero"/>
        <c:auto val="1"/>
        <c:lblAlgn val="ctr"/>
        <c:lblOffset val="100"/>
        <c:noMultiLvlLbl val="0"/>
      </c:catAx>
      <c:valAx>
        <c:axId val="693409176"/>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93408784"/>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866728171240174"/>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'311 Chart'!$C$4:$C$5</c:f>
              <c:strCache>
                <c:ptCount val="2"/>
                <c:pt idx="0">
                  <c:v>Projected Cost-Current Maintenance Practices, $109,252  </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'311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'311 Chart'!$C$6:$C$17</c:f>
              <c:numCache>
                <c:formatCode>_("$"* #,##0_);_("$"* \(#,##0\);_("$"* "-"??_);_(@_)</c:formatCode>
                <c:ptCount val="12"/>
                <c:pt idx="0">
                  <c:v>4913</c:v>
                </c:pt>
                <c:pt idx="1">
                  <c:v>4913</c:v>
                </c:pt>
                <c:pt idx="2">
                  <c:v>4913</c:v>
                </c:pt>
                <c:pt idx="3">
                  <c:v>4913</c:v>
                </c:pt>
                <c:pt idx="4">
                  <c:v>17239.669999999998</c:v>
                </c:pt>
                <c:pt idx="5">
                  <c:v>4913</c:v>
                </c:pt>
                <c:pt idx="6">
                  <c:v>4913</c:v>
                </c:pt>
                <c:pt idx="7">
                  <c:v>4913</c:v>
                </c:pt>
                <c:pt idx="8">
                  <c:v>4913</c:v>
                </c:pt>
                <c:pt idx="9">
                  <c:v>4913</c:v>
                </c:pt>
                <c:pt idx="10">
                  <c:v>4913</c:v>
                </c:pt>
                <c:pt idx="11">
                  <c:v>4913</c:v>
                </c:pt>
              </c:numCache>
            </c:numRef>
          </c:val>
          <c:smooth val="0"/>
          <c:extLst xmlns:c16r2="http://schemas.microsoft.com/office/drawing/2015/06/chart">
            <c:ext xmlns:c16="http://schemas.microsoft.com/office/drawing/2014/chart" uri="{C3380CC4-5D6E-409C-BE32-E72D297353CC}">
              <c16:uniqueId val="{00000000-1B74-4670-AC91-0CA1524BBF4E}"/>
            </c:ext>
          </c:extLst>
        </c:ser>
        <c:ser>
          <c:idx val="1"/>
          <c:order val="1"/>
          <c:tx>
            <c:strRef>
              <c:f>'311 Chart'!$D$4:$D$5</c:f>
              <c:strCache>
                <c:ptCount val="2"/>
                <c:pt idx="0">
                  <c:v>Projected Cost Alternate Maintenance Practices, $253,816</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'311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'311 Chart'!$D$6:$D$17</c:f>
              <c:numCache>
                <c:formatCode>_("$"* #,##0_);_("$"* \(#,##0\);_("$"* "-"??_);_(@_)</c:formatCode>
                <c:ptCount val="12"/>
                <c:pt idx="0">
                  <c:v>2750</c:v>
                </c:pt>
                <c:pt idx="1">
                  <c:v>7575.96</c:v>
                </c:pt>
                <c:pt idx="2">
                  <c:v>5336</c:v>
                </c:pt>
                <c:pt idx="3">
                  <c:v>4095</c:v>
                </c:pt>
                <c:pt idx="4">
                  <c:v>3812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1B74-4670-AC91-0CA1524BBF4E}"/>
            </c:ext>
          </c:extLst>
        </c:ser>
        <c:dLbls>
          <c:showLegendKey val="0"/>
          <c:showVal val="0"/>
          <c:showCatName val="0"/>
          <c:showSerName val="0"/>
          <c:showPercent val="0"/>
          <c:showBubbleSize val="0"/>
        </c:dLbls>
        <c:smooth val="0"/>
        <c:axId val="693409960"/>
        <c:axId val="693410352"/>
      </c:lineChart>
      <c:catAx>
        <c:axId val="693409960"/>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93410352"/>
        <c:crosses val="autoZero"/>
        <c:auto val="1"/>
        <c:lblAlgn val="ctr"/>
        <c:lblOffset val="100"/>
        <c:tickLblSkip val="1"/>
        <c:tickMarkSkip val="1"/>
        <c:noMultiLvlLbl val="0"/>
      </c:catAx>
      <c:valAx>
        <c:axId val="693410352"/>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9340996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alignWithMargins="0"/>
    <c:pageMargins b="1" l="0.75" r="0.7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401 summary'!$B$19</c:f>
              <c:strCache>
                <c:ptCount val="1"/>
                <c:pt idx="0">
                  <c:v>PM</c:v>
                </c:pt>
              </c:strCache>
            </c:strRef>
          </c:tx>
          <c:spPr>
            <a:solidFill>
              <a:schemeClr val="accent1"/>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'Bus 401 summary'!$C$19:$N$19</c:f>
              <c:numCache>
                <c:formatCode>#,##0.00</c:formatCode>
                <c:ptCount val="12"/>
                <c:pt idx="6">
                  <c:v>133.07</c:v>
                </c:pt>
                <c:pt idx="7">
                  <c:v>160.57</c:v>
                </c:pt>
                <c:pt idx="8">
                  <c:v>133.07</c:v>
                </c:pt>
              </c:numCache>
            </c:numRef>
          </c:val>
          <c:extLst xmlns:c16r2="http://schemas.microsoft.com/office/drawing/2015/06/chart">
            <c:ext xmlns:c16="http://schemas.microsoft.com/office/drawing/2014/chart" uri="{C3380CC4-5D6E-409C-BE32-E72D297353CC}">
              <c16:uniqueId val="{00000000-1687-461D-9D4B-E453D69A9E12}"/>
            </c:ext>
          </c:extLst>
        </c:ser>
        <c:ser>
          <c:idx val="1"/>
          <c:order val="1"/>
          <c:tx>
            <c:strRef>
              <c:f>'Bus 401 summary'!$B$20</c:f>
              <c:strCache>
                <c:ptCount val="1"/>
                <c:pt idx="0">
                  <c:v>TIRES</c:v>
                </c:pt>
              </c:strCache>
            </c:strRef>
          </c:tx>
          <c:spPr>
            <a:solidFill>
              <a:schemeClr val="accent2"/>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'Bus 401 summary'!$C$20:$N$20</c:f>
              <c:numCache>
                <c:formatCode>#,##0.00</c:formatCode>
                <c:ptCount val="12"/>
                <c:pt idx="7">
                  <c:v>539.22</c:v>
                </c:pt>
              </c:numCache>
            </c:numRef>
          </c:val>
          <c:extLst xmlns:c16r2="http://schemas.microsoft.com/office/drawing/2015/06/chart">
            <c:ext xmlns:c16="http://schemas.microsoft.com/office/drawing/2014/chart" uri="{C3380CC4-5D6E-409C-BE32-E72D297353CC}">
              <c16:uniqueId val="{00000001-1687-461D-9D4B-E453D69A9E12}"/>
            </c:ext>
          </c:extLst>
        </c:ser>
        <c:ser>
          <c:idx val="2"/>
          <c:order val="2"/>
          <c:tx>
            <c:strRef>
              <c:f>'Bus 401 summary'!$B$21</c:f>
              <c:strCache>
                <c:ptCount val="1"/>
                <c:pt idx="0">
                  <c:v>BRAKES</c:v>
                </c:pt>
              </c:strCache>
            </c:strRef>
          </c:tx>
          <c:spPr>
            <a:solidFill>
              <a:schemeClr val="accent3"/>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'Bus 401 summary'!$C$21:$N$21</c:f>
              <c:numCache>
                <c:formatCode>#,##0.00</c:formatCode>
                <c:ptCount val="12"/>
              </c:numCache>
            </c:numRef>
          </c:val>
          <c:extLst xmlns:c16r2="http://schemas.microsoft.com/office/drawing/2015/06/chart">
            <c:ext xmlns:c16="http://schemas.microsoft.com/office/drawing/2014/chart" uri="{C3380CC4-5D6E-409C-BE32-E72D297353CC}">
              <c16:uniqueId val="{00000002-1687-461D-9D4B-E453D69A9E12}"/>
            </c:ext>
          </c:extLst>
        </c:ser>
        <c:ser>
          <c:idx val="3"/>
          <c:order val="3"/>
          <c:tx>
            <c:strRef>
              <c:f>'Bus 401 summary'!$B$22</c:f>
              <c:strCache>
                <c:ptCount val="1"/>
                <c:pt idx="0">
                  <c:v> CALIPERS</c:v>
                </c:pt>
              </c:strCache>
            </c:strRef>
          </c:tx>
          <c:spPr>
            <a:solidFill>
              <a:schemeClr val="accent4"/>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'Bus 401 summary'!$C$22:$N$22</c:f>
              <c:numCache>
                <c:formatCode>#,##0.00</c:formatCode>
                <c:ptCount val="12"/>
              </c:numCache>
            </c:numRef>
          </c:val>
          <c:extLst xmlns:c16r2="http://schemas.microsoft.com/office/drawing/2015/06/chart">
            <c:ext xmlns:c16="http://schemas.microsoft.com/office/drawing/2014/chart" uri="{C3380CC4-5D6E-409C-BE32-E72D297353CC}">
              <c16:uniqueId val="{00000003-1687-461D-9D4B-E453D69A9E12}"/>
            </c:ext>
          </c:extLst>
        </c:ser>
        <c:ser>
          <c:idx val="4"/>
          <c:order val="4"/>
          <c:tx>
            <c:strRef>
              <c:f>'Bus 401 summary'!$B$23</c:f>
              <c:strCache>
                <c:ptCount val="1"/>
                <c:pt idx="0">
                  <c:v>STARTERS</c:v>
                </c:pt>
              </c:strCache>
            </c:strRef>
          </c:tx>
          <c:spPr>
            <a:solidFill>
              <a:schemeClr val="accent5"/>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'Bus 401 summary'!$C$23:$N$23</c:f>
              <c:numCache>
                <c:formatCode>#,##0.00</c:formatCode>
                <c:ptCount val="12"/>
              </c:numCache>
            </c:numRef>
          </c:val>
          <c:extLst xmlns:c16r2="http://schemas.microsoft.com/office/drawing/2015/06/chart">
            <c:ext xmlns:c16="http://schemas.microsoft.com/office/drawing/2014/chart" uri="{C3380CC4-5D6E-409C-BE32-E72D297353CC}">
              <c16:uniqueId val="{00000004-1687-461D-9D4B-E453D69A9E12}"/>
            </c:ext>
          </c:extLst>
        </c:ser>
        <c:ser>
          <c:idx val="5"/>
          <c:order val="5"/>
          <c:tx>
            <c:strRef>
              <c:f>'Bus 401 summary'!$B$24</c:f>
              <c:strCache>
                <c:ptCount val="1"/>
                <c:pt idx="0">
                  <c:v>A/C </c:v>
                </c:pt>
              </c:strCache>
            </c:strRef>
          </c:tx>
          <c:spPr>
            <a:solidFill>
              <a:schemeClr val="accent6"/>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'Bus 401 summary'!$C$24:$N$24</c:f>
              <c:numCache>
                <c:formatCode>#,##0.00</c:formatCode>
                <c:ptCount val="12"/>
              </c:numCache>
            </c:numRef>
          </c:val>
          <c:extLst xmlns:c16r2="http://schemas.microsoft.com/office/drawing/2015/06/chart">
            <c:ext xmlns:c16="http://schemas.microsoft.com/office/drawing/2014/chart" uri="{C3380CC4-5D6E-409C-BE32-E72D297353CC}">
              <c16:uniqueId val="{00000005-1687-461D-9D4B-E453D69A9E12}"/>
            </c:ext>
          </c:extLst>
        </c:ser>
        <c:ser>
          <c:idx val="6"/>
          <c:order val="6"/>
          <c:tx>
            <c:strRef>
              <c:f>'Bus 401 summary'!$B$25</c:f>
              <c:strCache>
                <c:ptCount val="1"/>
                <c:pt idx="0">
                  <c:v>CAMSHAFTS</c:v>
                </c:pt>
              </c:strCache>
            </c:strRef>
          </c:tx>
          <c:spPr>
            <a:solidFill>
              <a:schemeClr val="accent1">
                <a:lumMod val="60000"/>
              </a:schemeClr>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'Bus 401 summary'!$C$25:$N$25</c:f>
              <c:numCache>
                <c:formatCode>#,##0.00</c:formatCode>
                <c:ptCount val="12"/>
              </c:numCache>
            </c:numRef>
          </c:val>
          <c:extLst xmlns:c16r2="http://schemas.microsoft.com/office/drawing/2015/06/chart">
            <c:ext xmlns:c16="http://schemas.microsoft.com/office/drawing/2014/chart" uri="{C3380CC4-5D6E-409C-BE32-E72D297353CC}">
              <c16:uniqueId val="{00000006-1687-461D-9D4B-E453D69A9E12}"/>
            </c:ext>
          </c:extLst>
        </c:ser>
        <c:ser>
          <c:idx val="7"/>
          <c:order val="7"/>
          <c:tx>
            <c:strRef>
              <c:f>'Bus 401 summary'!$B$26</c:f>
              <c:strCache>
                <c:ptCount val="1"/>
                <c:pt idx="0">
                  <c:v>ENGINE</c:v>
                </c:pt>
              </c:strCache>
            </c:strRef>
          </c:tx>
          <c:spPr>
            <a:solidFill>
              <a:schemeClr val="accent2">
                <a:lumMod val="60000"/>
              </a:schemeClr>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'Bus 401 summary'!$C$26:$N$26</c:f>
              <c:numCache>
                <c:formatCode>#,##0.00</c:formatCode>
                <c:ptCount val="12"/>
              </c:numCache>
            </c:numRef>
          </c:val>
          <c:extLst xmlns:c16r2="http://schemas.microsoft.com/office/drawing/2015/06/chart">
            <c:ext xmlns:c16="http://schemas.microsoft.com/office/drawing/2014/chart" uri="{C3380CC4-5D6E-409C-BE32-E72D297353CC}">
              <c16:uniqueId val="{00000007-1687-461D-9D4B-E453D69A9E12}"/>
            </c:ext>
          </c:extLst>
        </c:ser>
        <c:ser>
          <c:idx val="8"/>
          <c:order val="8"/>
          <c:tx>
            <c:strRef>
              <c:f>'Bus 401 summary'!$B$27</c:f>
              <c:strCache>
                <c:ptCount val="1"/>
                <c:pt idx="0">
                  <c:v>TRANSMISSION</c:v>
                </c:pt>
              </c:strCache>
            </c:strRef>
          </c:tx>
          <c:spPr>
            <a:solidFill>
              <a:schemeClr val="accent3">
                <a:lumMod val="60000"/>
              </a:schemeClr>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'Bus 401 summary'!$C$27:$N$27</c:f>
              <c:numCache>
                <c:formatCode>#,##0.00</c:formatCode>
                <c:ptCount val="12"/>
              </c:numCache>
            </c:numRef>
          </c:val>
          <c:extLst xmlns:c16r2="http://schemas.microsoft.com/office/drawing/2015/06/chart">
            <c:ext xmlns:c16="http://schemas.microsoft.com/office/drawing/2014/chart" uri="{C3380CC4-5D6E-409C-BE32-E72D297353CC}">
              <c16:uniqueId val="{00000008-1687-461D-9D4B-E453D69A9E12}"/>
            </c:ext>
          </c:extLst>
        </c:ser>
        <c:ser>
          <c:idx val="9"/>
          <c:order val="9"/>
          <c:tx>
            <c:strRef>
              <c:f>'Bus 401 summary'!$B$28</c:f>
              <c:strCache>
                <c:ptCount val="1"/>
              </c:strCache>
            </c:strRef>
          </c:tx>
          <c:spPr>
            <a:solidFill>
              <a:schemeClr val="accent4">
                <a:lumMod val="60000"/>
              </a:schemeClr>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6r2="http://schemas.microsoft.com/office/drawing/2015/06/chart"/>
            </c:strRef>
          </c:cat>
          <c:val>
            <c:numRef>
              <c:f>'Bus 401 summary'!$C$28:$N$28</c:f>
              <c:extLst xmlns:c16r2="http://schemas.microsoft.com/office/drawing/2015/06/chart"/>
            </c:numRef>
          </c:val>
          <c:extLst xmlns:c16r2="http://schemas.microsoft.com/office/drawing/2015/06/chart">
            <c:ext xmlns:c16="http://schemas.microsoft.com/office/drawing/2014/chart" uri="{C3380CC4-5D6E-409C-BE32-E72D297353CC}">
              <c16:uniqueId val="{00000009-1687-461D-9D4B-E453D69A9E12}"/>
            </c:ext>
          </c:extLst>
        </c:ser>
        <c:ser>
          <c:idx val="10"/>
          <c:order val="10"/>
          <c:tx>
            <c:strRef>
              <c:f>'Bus 401 summary'!$B$29</c:f>
              <c:strCache>
                <c:ptCount val="1"/>
              </c:strCache>
            </c:strRef>
          </c:tx>
          <c:spPr>
            <a:solidFill>
              <a:schemeClr val="accent5">
                <a:lumMod val="60000"/>
              </a:schemeClr>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6r2="http://schemas.microsoft.com/office/drawing/2015/06/chart"/>
            </c:strRef>
          </c:cat>
          <c:val>
            <c:numRef>
              <c:f>'Bus 401 summary'!$C$29:$N$29</c:f>
              <c:extLst xmlns:c16r2="http://schemas.microsoft.com/office/drawing/2015/06/chart"/>
            </c:numRef>
          </c:val>
          <c:extLst xmlns:c16r2="http://schemas.microsoft.com/office/drawing/2015/06/chart">
            <c:ext xmlns:c16="http://schemas.microsoft.com/office/drawing/2014/chart" uri="{C3380CC4-5D6E-409C-BE32-E72D297353CC}">
              <c16:uniqueId val="{0000000A-1687-461D-9D4B-E453D69A9E12}"/>
            </c:ext>
          </c:extLst>
        </c:ser>
        <c:ser>
          <c:idx val="11"/>
          <c:order val="11"/>
          <c:tx>
            <c:strRef>
              <c:f>'Bus 401 summary'!$B$30</c:f>
              <c:strCache>
                <c:ptCount val="1"/>
              </c:strCache>
            </c:strRef>
          </c:tx>
          <c:spPr>
            <a:solidFill>
              <a:schemeClr val="accent6">
                <a:lumMod val="60000"/>
              </a:schemeClr>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6r2="http://schemas.microsoft.com/office/drawing/2015/06/chart"/>
            </c:strRef>
          </c:cat>
          <c:val>
            <c:numRef>
              <c:f>'Bus 401 summary'!$C$30:$N$30</c:f>
              <c:extLst xmlns:c16r2="http://schemas.microsoft.com/office/drawing/2015/06/chart"/>
            </c:numRef>
          </c:val>
          <c:extLst xmlns:c16r2="http://schemas.microsoft.com/office/drawing/2015/06/chart">
            <c:ext xmlns:c16="http://schemas.microsoft.com/office/drawing/2014/chart" uri="{C3380CC4-5D6E-409C-BE32-E72D297353CC}">
              <c16:uniqueId val="{0000000B-1687-461D-9D4B-E453D69A9E12}"/>
            </c:ext>
          </c:extLst>
        </c:ser>
        <c:ser>
          <c:idx val="12"/>
          <c:order val="12"/>
          <c:tx>
            <c:strRef>
              <c:f>'Bus 401 summary'!$B$31</c:f>
              <c:strCache>
                <c:ptCount val="1"/>
              </c:strCache>
            </c:strRef>
          </c:tx>
          <c:spPr>
            <a:solidFill>
              <a:schemeClr val="accent1">
                <a:lumMod val="80000"/>
                <a:lumOff val="20000"/>
              </a:schemeClr>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extLst xmlns:c16r2="http://schemas.microsoft.com/office/drawing/2015/06/chart"/>
            </c:strRef>
          </c:cat>
          <c:val>
            <c:numRef>
              <c:f>'Bus 401 summary'!$C$31:$N$31</c:f>
              <c:extLst xmlns:c16r2="http://schemas.microsoft.com/office/drawing/2015/06/chart"/>
            </c:numRef>
          </c:val>
          <c:extLst xmlns:c16r2="http://schemas.microsoft.com/office/drawing/2015/06/chart">
            <c:ext xmlns:c16="http://schemas.microsoft.com/office/drawing/2014/chart" uri="{C3380CC4-5D6E-409C-BE32-E72D297353CC}">
              <c16:uniqueId val="{0000000C-1687-461D-9D4B-E453D69A9E12}"/>
            </c:ext>
          </c:extLst>
        </c:ser>
        <c:ser>
          <c:idx val="13"/>
          <c:order val="13"/>
          <c:tx>
            <c:strRef>
              <c:f>'Bus 401 summary'!$B$32</c:f>
              <c:strCache>
                <c:ptCount val="1"/>
                <c:pt idx="0">
                  <c:v>ACCIDENT REPAIR</c:v>
                </c:pt>
              </c:strCache>
            </c:strRef>
          </c:tx>
          <c:spPr>
            <a:solidFill>
              <a:schemeClr val="accent2">
                <a:lumMod val="80000"/>
                <a:lumOff val="20000"/>
              </a:schemeClr>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'Bus 401 summary'!$C$32:$N$32</c:f>
              <c:numCache>
                <c:formatCode>#,##0.00</c:formatCode>
                <c:ptCount val="12"/>
              </c:numCache>
            </c:numRef>
          </c:val>
          <c:extLst xmlns:c16r2="http://schemas.microsoft.com/office/drawing/2015/06/chart">
            <c:ext xmlns:c16="http://schemas.microsoft.com/office/drawing/2014/chart" uri="{C3380CC4-5D6E-409C-BE32-E72D297353CC}">
              <c16:uniqueId val="{0000000D-1687-461D-9D4B-E453D69A9E12}"/>
            </c:ext>
          </c:extLst>
        </c:ser>
        <c:ser>
          <c:idx val="14"/>
          <c:order val="14"/>
          <c:tx>
            <c:strRef>
              <c:f>'Bus 401 summary'!$B$33</c:f>
              <c:strCache>
                <c:ptCount val="1"/>
                <c:pt idx="0">
                  <c:v>WARRANTY</c:v>
                </c:pt>
              </c:strCache>
            </c:strRef>
          </c:tx>
          <c:spPr>
            <a:solidFill>
              <a:schemeClr val="accent3">
                <a:lumMod val="80000"/>
                <a:lumOff val="20000"/>
              </a:schemeClr>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'Bus 401 summary'!$C$33:$N$33</c:f>
              <c:numCache>
                <c:formatCode>#,##0.00</c:formatCode>
                <c:ptCount val="12"/>
              </c:numCache>
            </c:numRef>
          </c:val>
          <c:extLst xmlns:c16r2="http://schemas.microsoft.com/office/drawing/2015/06/chart">
            <c:ext xmlns:c16="http://schemas.microsoft.com/office/drawing/2014/chart" uri="{C3380CC4-5D6E-409C-BE32-E72D297353CC}">
              <c16:uniqueId val="{0000000E-1687-461D-9D4B-E453D69A9E12}"/>
            </c:ext>
          </c:extLst>
        </c:ser>
        <c:ser>
          <c:idx val="15"/>
          <c:order val="15"/>
          <c:tx>
            <c:strRef>
              <c:f>'Bus 401 summary'!$B$34</c:f>
              <c:strCache>
                <c:ptCount val="1"/>
                <c:pt idx="0">
                  <c:v>ROAD CALLS</c:v>
                </c:pt>
              </c:strCache>
            </c:strRef>
          </c:tx>
          <c:spPr>
            <a:solidFill>
              <a:schemeClr val="accent4">
                <a:lumMod val="80000"/>
                <a:lumOff val="20000"/>
              </a:schemeClr>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'Bus 401 summary'!$C$34:$N$34</c:f>
              <c:numCache>
                <c:formatCode>#,##0.00</c:formatCode>
                <c:ptCount val="12"/>
                <c:pt idx="7">
                  <c:v>80</c:v>
                </c:pt>
              </c:numCache>
            </c:numRef>
          </c:val>
          <c:extLst xmlns:c16r2="http://schemas.microsoft.com/office/drawing/2015/06/chart">
            <c:ext xmlns:c16="http://schemas.microsoft.com/office/drawing/2014/chart" uri="{C3380CC4-5D6E-409C-BE32-E72D297353CC}">
              <c16:uniqueId val="{0000000F-1687-461D-9D4B-E453D69A9E12}"/>
            </c:ext>
          </c:extLst>
        </c:ser>
        <c:ser>
          <c:idx val="16"/>
          <c:order val="16"/>
          <c:tx>
            <c:strRef>
              <c:f>'Bus 401 summary'!$B$35</c:f>
              <c:strCache>
                <c:ptCount val="1"/>
                <c:pt idx="0">
                  <c:v>LIGHTS</c:v>
                </c:pt>
              </c:strCache>
            </c:strRef>
          </c:tx>
          <c:spPr>
            <a:solidFill>
              <a:schemeClr val="accent5">
                <a:lumMod val="80000"/>
                <a:lumOff val="20000"/>
              </a:schemeClr>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'Bus 401 summary'!$C$35:$N$35</c:f>
              <c:numCache>
                <c:formatCode>#,##0.00</c:formatCode>
                <c:ptCount val="12"/>
                <c:pt idx="7">
                  <c:v>84.06</c:v>
                </c:pt>
                <c:pt idx="8">
                  <c:v>6.98</c:v>
                </c:pt>
              </c:numCache>
            </c:numRef>
          </c:val>
          <c:extLst xmlns:c16r2="http://schemas.microsoft.com/office/drawing/2015/06/chart">
            <c:ext xmlns:c16="http://schemas.microsoft.com/office/drawing/2014/chart" uri="{C3380CC4-5D6E-409C-BE32-E72D297353CC}">
              <c16:uniqueId val="{00000010-1687-461D-9D4B-E453D69A9E12}"/>
            </c:ext>
          </c:extLst>
        </c:ser>
        <c:ser>
          <c:idx val="17"/>
          <c:order val="17"/>
          <c:tx>
            <c:strRef>
              <c:f>'Bus 401 summary'!$B$36</c:f>
              <c:strCache>
                <c:ptCount val="1"/>
                <c:pt idx="0">
                  <c:v>OIL/OTHER FLUIDS</c:v>
                </c:pt>
              </c:strCache>
            </c:strRef>
          </c:tx>
          <c:spPr>
            <a:solidFill>
              <a:schemeClr val="accent6">
                <a:lumMod val="80000"/>
                <a:lumOff val="20000"/>
              </a:schemeClr>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'Bus 401 summary'!$C$36:$N$36</c:f>
              <c:numCache>
                <c:formatCode>#,##0.00</c:formatCode>
                <c:ptCount val="12"/>
              </c:numCache>
            </c:numRef>
          </c:val>
          <c:extLst xmlns:c16r2="http://schemas.microsoft.com/office/drawing/2015/06/chart">
            <c:ext xmlns:c16="http://schemas.microsoft.com/office/drawing/2014/chart" uri="{C3380CC4-5D6E-409C-BE32-E72D297353CC}">
              <c16:uniqueId val="{00000011-1687-461D-9D4B-E453D69A9E12}"/>
            </c:ext>
          </c:extLst>
        </c:ser>
        <c:ser>
          <c:idx val="18"/>
          <c:order val="18"/>
          <c:tx>
            <c:strRef>
              <c:f>'Bus 401 summary'!$B$37</c:f>
              <c:strCache>
                <c:ptCount val="1"/>
                <c:pt idx="0">
                  <c:v>DEF</c:v>
                </c:pt>
              </c:strCache>
            </c:strRef>
          </c:tx>
          <c:spPr>
            <a:solidFill>
              <a:schemeClr val="accent1">
                <a:lumMod val="80000"/>
              </a:schemeClr>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'Bus 401 summary'!$C$37:$N$37</c:f>
              <c:numCache>
                <c:formatCode>#,##0.00</c:formatCode>
                <c:ptCount val="12"/>
              </c:numCache>
            </c:numRef>
          </c:val>
          <c:extLst xmlns:c16r2="http://schemas.microsoft.com/office/drawing/2015/06/chart">
            <c:ext xmlns:c16="http://schemas.microsoft.com/office/drawing/2014/chart" uri="{C3380CC4-5D6E-409C-BE32-E72D297353CC}">
              <c16:uniqueId val="{00000012-1687-461D-9D4B-E453D69A9E12}"/>
            </c:ext>
          </c:extLst>
        </c:ser>
        <c:ser>
          <c:idx val="19"/>
          <c:order val="19"/>
          <c:tx>
            <c:strRef>
              <c:f>'Bus 401 summary'!$B$38</c:f>
              <c:strCache>
                <c:ptCount val="1"/>
                <c:pt idx="0">
                  <c:v>OTHER PARTS</c:v>
                </c:pt>
              </c:strCache>
            </c:strRef>
          </c:tx>
          <c:spPr>
            <a:solidFill>
              <a:schemeClr val="accent2">
                <a:lumMod val="80000"/>
              </a:schemeClr>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'Bus 401 summary'!$C$38:$N$38</c:f>
              <c:numCache>
                <c:formatCode>#,##0.00</c:formatCode>
                <c:ptCount val="12"/>
                <c:pt idx="7">
                  <c:v>28.2</c:v>
                </c:pt>
                <c:pt idx="8">
                  <c:v>6.06</c:v>
                </c:pt>
              </c:numCache>
            </c:numRef>
          </c:val>
          <c:extLst xmlns:c16r2="http://schemas.microsoft.com/office/drawing/2015/06/chart">
            <c:ext xmlns:c16="http://schemas.microsoft.com/office/drawing/2014/chart" uri="{C3380CC4-5D6E-409C-BE32-E72D297353CC}">
              <c16:uniqueId val="{00000013-1687-461D-9D4B-E453D69A9E12}"/>
            </c:ext>
          </c:extLst>
        </c:ser>
        <c:ser>
          <c:idx val="20"/>
          <c:order val="20"/>
          <c:tx>
            <c:strRef>
              <c:f>'Bus 401 summary'!$B$39</c:f>
              <c:strCache>
                <c:ptCount val="1"/>
                <c:pt idx="0">
                  <c:v>LABOR</c:v>
                </c:pt>
              </c:strCache>
            </c:strRef>
          </c:tx>
          <c:spPr>
            <a:solidFill>
              <a:schemeClr val="accent3">
                <a:lumMod val="80000"/>
              </a:schemeClr>
            </a:solidFill>
            <a:ln>
              <a:noFill/>
            </a:ln>
            <a:effectLst/>
          </c:spPr>
          <c:invertIfNegative val="0"/>
          <c:cat>
            <c:strRef>
              <c:f>'Bus 401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'Bus 401 summary'!$C$39:$N$39</c:f>
              <c:numCache>
                <c:formatCode>#,##0.00</c:formatCode>
                <c:ptCount val="12"/>
                <c:pt idx="7">
                  <c:v>110</c:v>
                </c:pt>
                <c:pt idx="8">
                  <c:v>30</c:v>
                </c:pt>
              </c:numCache>
            </c:numRef>
          </c:val>
          <c:extLst xmlns:c16r2="http://schemas.microsoft.com/office/drawing/2015/06/chart">
            <c:ext xmlns:c16="http://schemas.microsoft.com/office/drawing/2014/chart" uri="{C3380CC4-5D6E-409C-BE32-E72D297353CC}">
              <c16:uniqueId val="{00000014-1687-461D-9D4B-E453D69A9E12}"/>
            </c:ext>
          </c:extLst>
        </c:ser>
        <c:ser>
          <c:idx val="21"/>
          <c:order val="21"/>
          <c:tx>
            <c:v>Elec</c:v>
          </c:tx>
          <c:spPr>
            <a:solidFill>
              <a:schemeClr val="accent4">
                <a:lumMod val="80000"/>
              </a:schemeClr>
            </a:solidFill>
            <a:ln>
              <a:noFill/>
            </a:ln>
            <a:effectLst/>
          </c:spPr>
          <c:invertIfNegative val="0"/>
          <c:cat>
            <c:strLit>
              <c:ptCount val="14"/>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extLst>
                <c:ext xmlns:c15="http://schemas.microsoft.com/office/drawing/2012/chart" uri="{02D57815-91ED-43cb-92C2-25804820EDAC}">
                  <c15:autoCat val="1"/>
                </c:ext>
              </c:extLst>
            </c:strLit>
          </c:cat>
          <c:val>
            <c:numLit>
              <c:formatCode>General</c:formatCode>
              <c:ptCount val="1"/>
              <c:pt idx="0">
                <c:v>1</c:v>
              </c:pt>
            </c:numLit>
          </c:val>
          <c:extLst xmlns:c16r2="http://schemas.microsoft.com/office/drawing/2015/06/chart">
            <c:ext xmlns:c16="http://schemas.microsoft.com/office/drawing/2014/chart" uri="{C3380CC4-5D6E-409C-BE32-E72D297353CC}">
              <c16:uniqueId val="{00000015-1687-461D-9D4B-E453D69A9E12}"/>
            </c:ext>
          </c:extLst>
        </c:ser>
        <c:dLbls>
          <c:showLegendKey val="0"/>
          <c:showVal val="0"/>
          <c:showCatName val="0"/>
          <c:showSerName val="0"/>
          <c:showPercent val="0"/>
          <c:showBubbleSize val="0"/>
        </c:dLbls>
        <c:gapWidth val="150"/>
        <c:axId val="693411136"/>
        <c:axId val="693411528"/>
      </c:barChart>
      <c:catAx>
        <c:axId val="693411136"/>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93411528"/>
        <c:crosses val="autoZero"/>
        <c:auto val="1"/>
        <c:lblAlgn val="ctr"/>
        <c:lblOffset val="100"/>
        <c:noMultiLvlLbl val="0"/>
      </c:catAx>
      <c:valAx>
        <c:axId val="693411528"/>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93411136"/>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051711519711263"/>
          <c:h val="0.86731569269342168"/>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'202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'202 summary'!$C$19:$P$19</c15:sqref>
                  </c15:fullRef>
                </c:ext>
              </c:extLst>
              <c:f>'202 summary'!$C$19:$N$19</c:f>
              <c:numCache>
                <c:formatCode>#,##0.00</c:formatCode>
                <c:ptCount val="12"/>
                <c:pt idx="7">
                  <c:v>472.97</c:v>
                </c:pt>
              </c:numCache>
            </c:numRef>
          </c:val>
          <c:extLst xmlns:c16r2="http://schemas.microsoft.com/office/drawing/2015/06/chart">
            <c:ext xmlns:c16="http://schemas.microsoft.com/office/drawing/2014/chart" uri="{C3380CC4-5D6E-409C-BE32-E72D297353CC}">
              <c16:uniqueId val="{00000000-8105-45F8-B47B-1A4B7388726F}"/>
            </c:ext>
          </c:extLst>
        </c:ser>
        <c:ser>
          <c:idx val="1"/>
          <c:order val="1"/>
          <c:tx>
            <c:strRef>
              <c:f>'202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'202 summary'!$C$20:$P$20</c15:sqref>
                  </c15:fullRef>
                </c:ext>
              </c:extLst>
              <c:f>'202 summary'!$C$20:$N$20</c:f>
              <c:numCache>
                <c:formatCode>#,##0.00</c:formatCode>
                <c:ptCount val="12"/>
                <c:pt idx="6">
                  <c:v>264.8</c:v>
                </c:pt>
              </c:numCache>
            </c:numRef>
          </c:val>
          <c:extLst xmlns:c16r2="http://schemas.microsoft.com/office/drawing/2015/06/chart">
            <c:ext xmlns:c16="http://schemas.microsoft.com/office/drawing/2014/chart" uri="{C3380CC4-5D6E-409C-BE32-E72D297353CC}">
              <c16:uniqueId val="{00000001-8105-45F8-B47B-1A4B7388726F}"/>
            </c:ext>
          </c:extLst>
        </c:ser>
        <c:ser>
          <c:idx val="2"/>
          <c:order val="2"/>
          <c:tx>
            <c:strRef>
              <c:f>'202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'202 summary'!$C$21:$P$21</c15:sqref>
                  </c15:fullRef>
                </c:ext>
              </c:extLst>
              <c:f>'202 summary'!$C$21:$N$21</c:f>
              <c:numCache>
                <c:formatCode>#,##0.00</c:formatCode>
                <c:ptCount val="12"/>
              </c:numCache>
            </c:numRef>
          </c:val>
          <c:extLst xmlns:c16r2="http://schemas.microsoft.com/office/drawing/2015/06/chart">
            <c:ext xmlns:c16="http://schemas.microsoft.com/office/drawing/2014/chart" uri="{C3380CC4-5D6E-409C-BE32-E72D297353CC}">
              <c16:uniqueId val="{00000002-8105-45F8-B47B-1A4B7388726F}"/>
            </c:ext>
          </c:extLst>
        </c:ser>
        <c:ser>
          <c:idx val="3"/>
          <c:order val="3"/>
          <c:tx>
            <c:strRef>
              <c:f>'202 summary'!$B$22</c:f>
              <c:strCache>
                <c:ptCount val="1"/>
                <c:pt idx="0">
                  <c:v>CALIPERS</c:v>
                </c:pt>
              </c:strCache>
            </c:strRef>
          </c:tx>
          <c:spPr>
            <a:solidFill>
              <a:schemeClr val="accent4"/>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'202 summary'!$C$22:$P$22</c15:sqref>
                  </c15:fullRef>
                </c:ext>
              </c:extLst>
              <c:f>'202 summary'!$C$22:$N$22</c:f>
              <c:numCache>
                <c:formatCode>#,##0.00</c:formatCode>
                <c:ptCount val="12"/>
              </c:numCache>
            </c:numRef>
          </c:val>
          <c:extLst xmlns:c16r2="http://schemas.microsoft.com/office/drawing/2015/06/chart">
            <c:ext xmlns:c16="http://schemas.microsoft.com/office/drawing/2014/chart" uri="{C3380CC4-5D6E-409C-BE32-E72D297353CC}">
              <c16:uniqueId val="{00000003-8105-45F8-B47B-1A4B7388726F}"/>
            </c:ext>
          </c:extLst>
        </c:ser>
        <c:ser>
          <c:idx val="4"/>
          <c:order val="4"/>
          <c:tx>
            <c:strRef>
              <c:f>'202 summary'!$B$23</c:f>
              <c:strCache>
                <c:ptCount val="1"/>
                <c:pt idx="0">
                  <c:v>STARTERS</c:v>
                </c:pt>
              </c:strCache>
            </c:strRef>
          </c:tx>
          <c:spPr>
            <a:solidFill>
              <a:schemeClr val="accent5"/>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'202 summary'!$C$23:$P$23</c15:sqref>
                  </c15:fullRef>
                </c:ext>
              </c:extLst>
              <c:f>'202 summary'!$C$23:$N$23</c:f>
              <c:numCache>
                <c:formatCode>#,##0.00</c:formatCode>
                <c:ptCount val="12"/>
              </c:numCache>
            </c:numRef>
          </c:val>
          <c:extLst xmlns:c16r2="http://schemas.microsoft.com/office/drawing/2015/06/chart">
            <c:ext xmlns:c16="http://schemas.microsoft.com/office/drawing/2014/chart" uri="{C3380CC4-5D6E-409C-BE32-E72D297353CC}">
              <c16:uniqueId val="{00000004-8105-45F8-B47B-1A4B7388726F}"/>
            </c:ext>
          </c:extLst>
        </c:ser>
        <c:ser>
          <c:idx val="5"/>
          <c:order val="5"/>
          <c:tx>
            <c:strRef>
              <c:f>'202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'202 summary'!$C$24:$P$24</c15:sqref>
                  </c15:fullRef>
                </c:ext>
              </c:extLst>
              <c:f>'202 summary'!$C$24:$N$24</c:f>
              <c:numCache>
                <c:formatCode>#,##0.00</c:formatCode>
                <c:ptCount val="12"/>
              </c:numCache>
            </c:numRef>
          </c:val>
          <c:extLst xmlns:c16r2="http://schemas.microsoft.com/office/drawing/2015/06/chart">
            <c:ext xmlns:c16="http://schemas.microsoft.com/office/drawing/2014/chart" uri="{C3380CC4-5D6E-409C-BE32-E72D297353CC}">
              <c16:uniqueId val="{00000005-8105-45F8-B47B-1A4B7388726F}"/>
            </c:ext>
          </c:extLst>
        </c:ser>
        <c:ser>
          <c:idx val="6"/>
          <c:order val="6"/>
          <c:tx>
            <c:strRef>
              <c:f>'202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'202 summary'!$C$25:$P$25</c15:sqref>
                  </c15:fullRef>
                </c:ext>
              </c:extLst>
              <c:f>'202 summary'!$C$25:$N$25</c:f>
              <c:numCache>
                <c:formatCode>#,##0.00</c:formatCode>
                <c:ptCount val="12"/>
              </c:numCache>
            </c:numRef>
          </c:val>
          <c:extLst xmlns:c16r2="http://schemas.microsoft.com/office/drawing/2015/06/chart">
            <c:ext xmlns:c16="http://schemas.microsoft.com/office/drawing/2014/chart" uri="{C3380CC4-5D6E-409C-BE32-E72D297353CC}">
              <c16:uniqueId val="{00000006-8105-45F8-B47B-1A4B7388726F}"/>
            </c:ext>
          </c:extLst>
        </c:ser>
        <c:ser>
          <c:idx val="7"/>
          <c:order val="7"/>
          <c:tx>
            <c:strRef>
              <c:f>'202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'202 summary'!$C$26:$P$26</c15:sqref>
                  </c15:fullRef>
                </c:ext>
              </c:extLst>
              <c:f>'202 summary'!$C$26:$N$26</c:f>
              <c:numCache>
                <c:formatCode>#,##0.00</c:formatCode>
                <c:ptCount val="12"/>
              </c:numCache>
            </c:numRef>
          </c:val>
          <c:extLst xmlns:c16r2="http://schemas.microsoft.com/office/drawing/2015/06/chart">
            <c:ext xmlns:c16="http://schemas.microsoft.com/office/drawing/2014/chart" uri="{C3380CC4-5D6E-409C-BE32-E72D297353CC}">
              <c16:uniqueId val="{00000007-8105-45F8-B47B-1A4B7388726F}"/>
            </c:ext>
          </c:extLst>
        </c:ser>
        <c:ser>
          <c:idx val="8"/>
          <c:order val="8"/>
          <c:tx>
            <c:strRef>
              <c:f>'202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'202 summary'!$C$27:$P$27</c15:sqref>
                  </c15:fullRef>
                </c:ext>
              </c:extLst>
              <c:f>'202 summary'!$C$27:$N$27</c:f>
              <c:numCache>
                <c:formatCode>#,##0.00</c:formatCode>
                <c:ptCount val="12"/>
              </c:numCache>
            </c:numRef>
          </c:val>
          <c:extLst xmlns:c16r2="http://schemas.microsoft.com/office/drawing/2015/06/chart">
            <c:ext xmlns:c16="http://schemas.microsoft.com/office/drawing/2014/chart" uri="{C3380CC4-5D6E-409C-BE32-E72D297353CC}">
              <c16:uniqueId val="{00000008-8105-45F8-B47B-1A4B7388726F}"/>
            </c:ext>
          </c:extLst>
        </c:ser>
        <c:ser>
          <c:idx val="9"/>
          <c:order val="9"/>
          <c:tx>
            <c:strRef>
              <c:f>'202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'202 summary'!$C$28:$P$28</c15:sqref>
                  </c15:fullRef>
                </c:ext>
              </c:extLst>
              <c:f>'202 summary'!$C$28:$N$28</c:f>
            </c:numRef>
          </c:val>
          <c:extLst xmlns:c16r2="http://schemas.microsoft.com/office/drawing/2015/06/chart">
            <c:ext xmlns:c16="http://schemas.microsoft.com/office/drawing/2014/chart" uri="{C3380CC4-5D6E-409C-BE32-E72D297353CC}">
              <c16:uniqueId val="{00000009-8105-45F8-B47B-1A4B7388726F}"/>
            </c:ext>
          </c:extLst>
        </c:ser>
        <c:ser>
          <c:idx val="10"/>
          <c:order val="10"/>
          <c:tx>
            <c:strRef>
              <c:f>'202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'202 summary'!$C$29:$P$29</c15:sqref>
                  </c15:fullRef>
                </c:ext>
              </c:extLst>
              <c:f>'202 summary'!$C$29:$N$29</c:f>
            </c:numRef>
          </c:val>
          <c:extLst xmlns:c16r2="http://schemas.microsoft.com/office/drawing/2015/06/chart">
            <c:ext xmlns:c16="http://schemas.microsoft.com/office/drawing/2014/chart" uri="{C3380CC4-5D6E-409C-BE32-E72D297353CC}">
              <c16:uniqueId val="{0000000A-8105-45F8-B47B-1A4B7388726F}"/>
            </c:ext>
          </c:extLst>
        </c:ser>
        <c:ser>
          <c:idx val="11"/>
          <c:order val="11"/>
          <c:tx>
            <c:strRef>
              <c:f>'202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'202 summary'!$C$30:$P$30</c15:sqref>
                  </c15:fullRef>
                </c:ext>
              </c:extLst>
              <c:f>'202 summary'!$C$30:$N$30</c:f>
            </c:numRef>
          </c:val>
          <c:extLst xmlns:c16r2="http://schemas.microsoft.com/office/drawing/2015/06/chart">
            <c:ext xmlns:c16="http://schemas.microsoft.com/office/drawing/2014/chart" uri="{C3380CC4-5D6E-409C-BE32-E72D297353CC}">
              <c16:uniqueId val="{0000000B-8105-45F8-B47B-1A4B7388726F}"/>
            </c:ext>
          </c:extLst>
        </c:ser>
        <c:ser>
          <c:idx val="12"/>
          <c:order val="12"/>
          <c:tx>
            <c:strRef>
              <c:f>'202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'202 summary'!$C$31:$P$31</c15:sqref>
                  </c15:fullRef>
                </c:ext>
              </c:extLst>
              <c:f>'202 summary'!$C$31:$N$31</c:f>
            </c:numRef>
          </c:val>
          <c:extLst xmlns:c16r2="http://schemas.microsoft.com/office/drawing/2015/06/chart">
            <c:ext xmlns:c16="http://schemas.microsoft.com/office/drawing/2014/chart" uri="{C3380CC4-5D6E-409C-BE32-E72D297353CC}">
              <c16:uniqueId val="{0000000C-8105-45F8-B47B-1A4B7388726F}"/>
            </c:ext>
          </c:extLst>
        </c:ser>
        <c:ser>
          <c:idx val="13"/>
          <c:order val="13"/>
          <c:tx>
            <c:strRef>
              <c:f>'202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'202 summary'!$C$32:$P$32</c15:sqref>
                  </c15:fullRef>
                </c:ext>
              </c:extLst>
              <c:f>'202 summary'!$C$32:$N$32</c:f>
              <c:numCache>
                <c:formatCode>#,##0.00</c:formatCode>
                <c:ptCount val="12"/>
              </c:numCache>
            </c:numRef>
          </c:val>
          <c:extLst xmlns:c16r2="http://schemas.microsoft.com/office/drawing/2015/06/chart">
            <c:ext xmlns:c16="http://schemas.microsoft.com/office/drawing/2014/chart" uri="{C3380CC4-5D6E-409C-BE32-E72D297353CC}">
              <c16:uniqueId val="{0000000D-8105-45F8-B47B-1A4B7388726F}"/>
            </c:ext>
          </c:extLst>
        </c:ser>
        <c:ser>
          <c:idx val="14"/>
          <c:order val="14"/>
          <c:tx>
            <c:strRef>
              <c:f>'202 summary'!$B$33</c:f>
              <c:strCache>
                <c:ptCount val="1"/>
                <c:pt idx="0">
                  <c:v>WARRANTY</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'202 summary'!$C$33:$P$33</c15:sqref>
                  </c15:fullRef>
                </c:ext>
              </c:extLst>
              <c:f>'202 summary'!$C$33:$N$33</c:f>
              <c:numCache>
                <c:formatCode>#,##0.00</c:formatCode>
                <c:ptCount val="12"/>
              </c:numCache>
            </c:numRef>
          </c:val>
          <c:extLst xmlns:c16r2="http://schemas.microsoft.com/office/drawing/2015/06/chart">
            <c:ext xmlns:c16="http://schemas.microsoft.com/office/drawing/2014/chart" uri="{C3380CC4-5D6E-409C-BE32-E72D297353CC}">
              <c16:uniqueId val="{0000000E-8105-45F8-B47B-1A4B7388726F}"/>
            </c:ext>
          </c:extLst>
        </c:ser>
        <c:ser>
          <c:idx val="15"/>
          <c:order val="15"/>
          <c:tx>
            <c:strRef>
              <c:f>'202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'202 summary'!$C$34:$P$34</c15:sqref>
                  </c15:fullRef>
                </c:ext>
              </c:extLst>
              <c:f>'202 summary'!$C$34:$N$34</c:f>
              <c:numCache>
                <c:formatCode>#,##0.00</c:formatCode>
                <c:ptCount val="12"/>
              </c:numCache>
            </c:numRef>
          </c:val>
          <c:extLst xmlns:c16r2="http://schemas.microsoft.com/office/drawing/2015/06/chart">
            <c:ext xmlns:c16="http://schemas.microsoft.com/office/drawing/2014/chart" uri="{C3380CC4-5D6E-409C-BE32-E72D297353CC}">
              <c16:uniqueId val="{0000000F-8105-45F8-B47B-1A4B7388726F}"/>
            </c:ext>
          </c:extLst>
        </c:ser>
        <c:ser>
          <c:idx val="16"/>
          <c:order val="16"/>
          <c:tx>
            <c:strRef>
              <c:f>'202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'202 summary'!$C$35:$P$35</c15:sqref>
                  </c15:fullRef>
                </c:ext>
              </c:extLst>
              <c:f>'202 summary'!$C$35:$N$35</c:f>
              <c:numCache>
                <c:formatCode>#,##0.00</c:formatCode>
                <c:ptCount val="12"/>
                <c:pt idx="7">
                  <c:v>7.83</c:v>
                </c:pt>
              </c:numCache>
            </c:numRef>
          </c:val>
          <c:extLst xmlns:c16r2="http://schemas.microsoft.com/office/drawing/2015/06/chart">
            <c:ext xmlns:c16="http://schemas.microsoft.com/office/drawing/2014/chart" uri="{C3380CC4-5D6E-409C-BE32-E72D297353CC}">
              <c16:uniqueId val="{00000010-8105-45F8-B47B-1A4B7388726F}"/>
            </c:ext>
          </c:extLst>
        </c:ser>
        <c:ser>
          <c:idx val="17"/>
          <c:order val="17"/>
          <c:tx>
            <c:strRef>
              <c:f>'202 summary'!$B$36</c:f>
              <c:strCache>
                <c:ptCount val="1"/>
                <c:pt idx="0">
                  <c:v>OIL/OTHER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'202 summary'!$C$36:$P$36</c15:sqref>
                  </c15:fullRef>
                </c:ext>
              </c:extLst>
              <c:f>'202 summary'!$C$36:$N$36</c:f>
              <c:numCache>
                <c:formatCode>#,##0.00</c:formatCode>
                <c:ptCount val="12"/>
                <c:pt idx="8">
                  <c:v>12</c:v>
                </c:pt>
              </c:numCache>
            </c:numRef>
          </c:val>
          <c:extLst xmlns:c16r2="http://schemas.microsoft.com/office/drawing/2015/06/chart">
            <c:ext xmlns:c16="http://schemas.microsoft.com/office/drawing/2014/chart" uri="{C3380CC4-5D6E-409C-BE32-E72D297353CC}">
              <c16:uniqueId val="{00000011-8105-45F8-B47B-1A4B7388726F}"/>
            </c:ext>
          </c:extLst>
        </c:ser>
        <c:ser>
          <c:idx val="18"/>
          <c:order val="18"/>
          <c:tx>
            <c:strRef>
              <c:f>'202 summary'!$B$37</c:f>
              <c:strCache>
                <c:ptCount val="1"/>
                <c:pt idx="0">
                  <c:v>OTHER PARTS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'202 summary'!$C$37:$P$37</c15:sqref>
                  </c15:fullRef>
                </c:ext>
              </c:extLst>
              <c:f>'202 summary'!$C$37:$N$37</c:f>
              <c:numCache>
                <c:formatCode>#,##0.00</c:formatCode>
                <c:ptCount val="12"/>
                <c:pt idx="6">
                  <c:v>21.9</c:v>
                </c:pt>
                <c:pt idx="7">
                  <c:v>94.81</c:v>
                </c:pt>
              </c:numCache>
            </c:numRef>
          </c:val>
          <c:extLst xmlns:c16r2="http://schemas.microsoft.com/office/drawing/2015/06/chart">
            <c:ext xmlns:c16="http://schemas.microsoft.com/office/drawing/2014/chart" uri="{C3380CC4-5D6E-409C-BE32-E72D297353CC}">
              <c16:uniqueId val="{00000012-8105-45F8-B47B-1A4B7388726F}"/>
            </c:ext>
          </c:extLst>
        </c:ser>
        <c:ser>
          <c:idx val="19"/>
          <c:order val="19"/>
          <c:tx>
            <c:strRef>
              <c:f>'202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'202 summary'!$C$18:$P$18</c15:sqref>
                  </c15:fullRef>
                </c:ext>
              </c:extLst>
              <c:f>'202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'202 summary'!$C$38:$P$38</c15:sqref>
                  </c15:fullRef>
                </c:ext>
              </c:extLst>
              <c:f>'202 summary'!$C$38:$N$38</c:f>
              <c:numCache>
                <c:formatCode>#,##0.00</c:formatCode>
                <c:ptCount val="12"/>
                <c:pt idx="6">
                  <c:v>30</c:v>
                </c:pt>
                <c:pt idx="7">
                  <c:v>80</c:v>
                </c:pt>
              </c:numCache>
            </c:numRef>
          </c:val>
          <c:extLst xmlns:c16r2="http://schemas.microsoft.com/office/drawing/2015/06/chart">
            <c:ext xmlns:c16="http://schemas.microsoft.com/office/drawing/2014/chart" uri="{C3380CC4-5D6E-409C-BE32-E72D297353CC}">
              <c16:uniqueId val="{00000013-8105-45F8-B47B-1A4B7388726F}"/>
            </c:ext>
          </c:extLst>
        </c:ser>
        <c:dLbls>
          <c:showLegendKey val="0"/>
          <c:showVal val="0"/>
          <c:showCatName val="0"/>
          <c:showSerName val="0"/>
          <c:showPercent val="0"/>
          <c:showBubbleSize val="0"/>
        </c:dLbls>
        <c:gapWidth val="150"/>
        <c:axId val="664175464"/>
        <c:axId val="664175856"/>
      </c:barChart>
      <c:catAx>
        <c:axId val="664175464"/>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64175856"/>
        <c:crosses val="autoZero"/>
        <c:auto val="1"/>
        <c:lblAlgn val="ctr"/>
        <c:lblOffset val="100"/>
        <c:noMultiLvlLbl val="0"/>
      </c:catAx>
      <c:valAx>
        <c:axId val="664175856"/>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64175464"/>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866728171240174"/>
          <c:h val="0.86731569269342168"/>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'401 Chart'!$C$4:$C$5</c:f>
              <c:strCache>
                <c:ptCount val="2"/>
                <c:pt idx="0">
                  <c:v>Projected Cost-Current Maintenance Practices, $109,252  </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'401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'401 Chart'!$C$6:$C$17</c:f>
              <c:numCache>
                <c:formatCode>_("$"* #,##0_);_("$"* \(#,##0\);_("$"* "-"??_);_(@_)</c:formatCode>
                <c:ptCount val="12"/>
                <c:pt idx="0">
                  <c:v>4913</c:v>
                </c:pt>
                <c:pt idx="1">
                  <c:v>4913</c:v>
                </c:pt>
                <c:pt idx="2">
                  <c:v>4913</c:v>
                </c:pt>
                <c:pt idx="3">
                  <c:v>4913</c:v>
                </c:pt>
                <c:pt idx="4">
                  <c:v>17239.669999999998</c:v>
                </c:pt>
                <c:pt idx="5">
                  <c:v>4913</c:v>
                </c:pt>
                <c:pt idx="6">
                  <c:v>4913</c:v>
                </c:pt>
                <c:pt idx="7">
                  <c:v>4913</c:v>
                </c:pt>
                <c:pt idx="8">
                  <c:v>4913</c:v>
                </c:pt>
                <c:pt idx="9">
                  <c:v>4913</c:v>
                </c:pt>
                <c:pt idx="10">
                  <c:v>4913</c:v>
                </c:pt>
                <c:pt idx="11">
                  <c:v>4913</c:v>
                </c:pt>
              </c:numCache>
            </c:numRef>
          </c:val>
          <c:smooth val="0"/>
          <c:extLst xmlns:c16r2="http://schemas.microsoft.com/office/drawing/2015/06/chart">
            <c:ext xmlns:c16="http://schemas.microsoft.com/office/drawing/2014/chart" uri="{C3380CC4-5D6E-409C-BE32-E72D297353CC}">
              <c16:uniqueId val="{00000000-382C-4211-BAC2-9C622D8DD2BA}"/>
            </c:ext>
          </c:extLst>
        </c:ser>
        <c:ser>
          <c:idx val="1"/>
          <c:order val="1"/>
          <c:tx>
            <c:strRef>
              <c:f>'401 Chart'!$D$4:$D$5</c:f>
              <c:strCache>
                <c:ptCount val="2"/>
                <c:pt idx="0">
                  <c:v>Projected Cost Alternate Maintenance Practices, $253,816</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'401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'401 Chart'!$D$6:$D$17</c:f>
              <c:numCache>
                <c:formatCode>_("$"* #,##0_);_("$"* \(#,##0\);_("$"* "-"??_);_(@_)</c:formatCode>
                <c:ptCount val="12"/>
                <c:pt idx="0">
                  <c:v>2827</c:v>
                </c:pt>
                <c:pt idx="1">
                  <c:v>2499</c:v>
                </c:pt>
                <c:pt idx="2">
                  <c:v>3530.5</c:v>
                </c:pt>
                <c:pt idx="3">
                  <c:v>2735</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382C-4211-BAC2-9C622D8DD2BA}"/>
            </c:ext>
          </c:extLst>
        </c:ser>
        <c:dLbls>
          <c:showLegendKey val="0"/>
          <c:showVal val="0"/>
          <c:showCatName val="0"/>
          <c:showSerName val="0"/>
          <c:showPercent val="0"/>
          <c:showBubbleSize val="0"/>
        </c:dLbls>
        <c:smooth val="0"/>
        <c:axId val="697212672"/>
        <c:axId val="697213064"/>
      </c:lineChart>
      <c:catAx>
        <c:axId val="697212672"/>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97213064"/>
        <c:crosses val="autoZero"/>
        <c:auto val="1"/>
        <c:lblAlgn val="ctr"/>
        <c:lblOffset val="100"/>
        <c:tickLblSkip val="1"/>
        <c:tickMarkSkip val="1"/>
        <c:noMultiLvlLbl val="0"/>
      </c:catAx>
      <c:valAx>
        <c:axId val="697213064"/>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97212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alignWithMargins="0"/>
    <c:pageMargins b="1" l="0.75" r="0.75"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402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402 summary'!$C$19:$P$19</c15:sqref>
                  </c15:fullRef>
                </c:ext>
              </c:extLst>
              <c:f>'Bus 402 summary'!$C$19:$N$19</c:f>
              <c:numCache>
                <c:formatCode>#,##0.00</c:formatCode>
                <c:ptCount val="12"/>
                <c:pt idx="6">
                  <c:v>204.3</c:v>
                </c:pt>
                <c:pt idx="7">
                  <c:v>291.79000000000002</c:v>
                </c:pt>
                <c:pt idx="9">
                  <c:v>158.11000000000001</c:v>
                </c:pt>
              </c:numCache>
            </c:numRef>
          </c:val>
          <c:extLst xmlns:c16r2="http://schemas.microsoft.com/office/drawing/2015/06/chart">
            <c:ext xmlns:c16="http://schemas.microsoft.com/office/drawing/2014/chart" uri="{C3380CC4-5D6E-409C-BE32-E72D297353CC}">
              <c16:uniqueId val="{00000000-398E-4AC8-83B6-63FD6C00AEF3}"/>
            </c:ext>
          </c:extLst>
        </c:ser>
        <c:ser>
          <c:idx val="1"/>
          <c:order val="1"/>
          <c:tx>
            <c:strRef>
              <c:f>'Bus 402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402 summary'!$C$20:$P$20</c15:sqref>
                  </c15:fullRef>
                </c:ext>
              </c:extLst>
              <c:f>'Bus 402 summary'!$C$20:$N$20</c:f>
              <c:numCache>
                <c:formatCode>#,##0.00</c:formatCode>
                <c:ptCount val="12"/>
                <c:pt idx="7">
                  <c:v>0</c:v>
                </c:pt>
              </c:numCache>
            </c:numRef>
          </c:val>
          <c:extLst xmlns:c16r2="http://schemas.microsoft.com/office/drawing/2015/06/chart">
            <c:ext xmlns:c16="http://schemas.microsoft.com/office/drawing/2014/chart" uri="{C3380CC4-5D6E-409C-BE32-E72D297353CC}">
              <c16:uniqueId val="{00000001-398E-4AC8-83B6-63FD6C00AEF3}"/>
            </c:ext>
          </c:extLst>
        </c:ser>
        <c:ser>
          <c:idx val="2"/>
          <c:order val="2"/>
          <c:tx>
            <c:strRef>
              <c:f>'Bus 402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402 summary'!$C$21:$P$21</c15:sqref>
                  </c15:fullRef>
                </c:ext>
              </c:extLst>
              <c:f>'Bus 402 summary'!$C$21:$N$21</c:f>
              <c:numCache>
                <c:formatCode>#,##0.00</c:formatCode>
                <c:ptCount val="12"/>
              </c:numCache>
            </c:numRef>
          </c:val>
          <c:extLst xmlns:c16r2="http://schemas.microsoft.com/office/drawing/2015/06/chart">
            <c:ext xmlns:c16="http://schemas.microsoft.com/office/drawing/2014/chart" uri="{C3380CC4-5D6E-409C-BE32-E72D297353CC}">
              <c16:uniqueId val="{00000002-398E-4AC8-83B6-63FD6C00AEF3}"/>
            </c:ext>
          </c:extLst>
        </c:ser>
        <c:ser>
          <c:idx val="3"/>
          <c:order val="3"/>
          <c:tx>
            <c:strRef>
              <c:f>'Bus 402 summary'!$B$22</c:f>
              <c:strCache>
                <c:ptCount val="1"/>
                <c:pt idx="0">
                  <c:v>CALIPERS</c:v>
                </c:pt>
              </c:strCache>
            </c:strRef>
          </c:tx>
          <c:spPr>
            <a:solidFill>
              <a:schemeClr val="accent4"/>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402 summary'!$C$22:$P$22</c15:sqref>
                  </c15:fullRef>
                </c:ext>
              </c:extLst>
              <c:f>'Bus 402 summary'!$C$22:$N$22</c:f>
              <c:numCache>
                <c:formatCode>#,##0.00</c:formatCode>
                <c:ptCount val="12"/>
              </c:numCache>
            </c:numRef>
          </c:val>
          <c:extLst xmlns:c16r2="http://schemas.microsoft.com/office/drawing/2015/06/chart">
            <c:ext xmlns:c16="http://schemas.microsoft.com/office/drawing/2014/chart" uri="{C3380CC4-5D6E-409C-BE32-E72D297353CC}">
              <c16:uniqueId val="{00000003-398E-4AC8-83B6-63FD6C00AEF3}"/>
            </c:ext>
          </c:extLst>
        </c:ser>
        <c:ser>
          <c:idx val="4"/>
          <c:order val="4"/>
          <c:tx>
            <c:strRef>
              <c:f>'Bus 402 summary'!$B$23</c:f>
              <c:strCache>
                <c:ptCount val="1"/>
                <c:pt idx="0">
                  <c:v>STARTERS</c:v>
                </c:pt>
              </c:strCache>
            </c:strRef>
          </c:tx>
          <c:spPr>
            <a:solidFill>
              <a:schemeClr val="accent5"/>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402 summary'!$C$23:$P$23</c15:sqref>
                  </c15:fullRef>
                </c:ext>
              </c:extLst>
              <c:f>'Bus 402 summary'!$C$23:$N$23</c:f>
              <c:numCache>
                <c:formatCode>#,##0.00</c:formatCode>
                <c:ptCount val="12"/>
              </c:numCache>
            </c:numRef>
          </c:val>
          <c:extLst xmlns:c16r2="http://schemas.microsoft.com/office/drawing/2015/06/chart">
            <c:ext xmlns:c16="http://schemas.microsoft.com/office/drawing/2014/chart" uri="{C3380CC4-5D6E-409C-BE32-E72D297353CC}">
              <c16:uniqueId val="{00000004-398E-4AC8-83B6-63FD6C00AEF3}"/>
            </c:ext>
          </c:extLst>
        </c:ser>
        <c:ser>
          <c:idx val="5"/>
          <c:order val="5"/>
          <c:tx>
            <c:strRef>
              <c:f>'Bus 402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402 summary'!$C$24:$P$24</c15:sqref>
                  </c15:fullRef>
                </c:ext>
              </c:extLst>
              <c:f>'Bus 402 summary'!$C$24:$N$24</c:f>
              <c:numCache>
                <c:formatCode>#,##0.00</c:formatCode>
                <c:ptCount val="12"/>
              </c:numCache>
            </c:numRef>
          </c:val>
          <c:extLst xmlns:c16r2="http://schemas.microsoft.com/office/drawing/2015/06/chart">
            <c:ext xmlns:c16="http://schemas.microsoft.com/office/drawing/2014/chart" uri="{C3380CC4-5D6E-409C-BE32-E72D297353CC}">
              <c16:uniqueId val="{00000005-398E-4AC8-83B6-63FD6C00AEF3}"/>
            </c:ext>
          </c:extLst>
        </c:ser>
        <c:ser>
          <c:idx val="6"/>
          <c:order val="6"/>
          <c:tx>
            <c:strRef>
              <c:f>'Bus 402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402 summary'!$C$25:$P$25</c15:sqref>
                  </c15:fullRef>
                </c:ext>
              </c:extLst>
              <c:f>'Bus 402 summary'!$C$25:$N$25</c:f>
              <c:numCache>
                <c:formatCode>#,##0.00</c:formatCode>
                <c:ptCount val="12"/>
              </c:numCache>
            </c:numRef>
          </c:val>
          <c:extLst xmlns:c16r2="http://schemas.microsoft.com/office/drawing/2015/06/chart">
            <c:ext xmlns:c16="http://schemas.microsoft.com/office/drawing/2014/chart" uri="{C3380CC4-5D6E-409C-BE32-E72D297353CC}">
              <c16:uniqueId val="{00000006-398E-4AC8-83B6-63FD6C00AEF3}"/>
            </c:ext>
          </c:extLst>
        </c:ser>
        <c:ser>
          <c:idx val="7"/>
          <c:order val="7"/>
          <c:tx>
            <c:strRef>
              <c:f>'Bus 402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402 summary'!$C$26:$P$26</c15:sqref>
                  </c15:fullRef>
                </c:ext>
              </c:extLst>
              <c:f>'Bus 402 summary'!$C$26:$N$26</c:f>
              <c:numCache>
                <c:formatCode>#,##0.00</c:formatCode>
                <c:ptCount val="12"/>
              </c:numCache>
            </c:numRef>
          </c:val>
          <c:extLst xmlns:c16r2="http://schemas.microsoft.com/office/drawing/2015/06/chart">
            <c:ext xmlns:c16="http://schemas.microsoft.com/office/drawing/2014/chart" uri="{C3380CC4-5D6E-409C-BE32-E72D297353CC}">
              <c16:uniqueId val="{00000007-398E-4AC8-83B6-63FD6C00AEF3}"/>
            </c:ext>
          </c:extLst>
        </c:ser>
        <c:ser>
          <c:idx val="8"/>
          <c:order val="8"/>
          <c:tx>
            <c:strRef>
              <c:f>'Bus 402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402 summary'!$C$27:$P$27</c15:sqref>
                  </c15:fullRef>
                </c:ext>
              </c:extLst>
              <c:f>'Bus 402 summary'!$C$27:$N$27</c:f>
              <c:numCache>
                <c:formatCode>#,##0.00</c:formatCode>
                <c:ptCount val="12"/>
                <c:pt idx="7">
                  <c:v>25.49</c:v>
                </c:pt>
              </c:numCache>
            </c:numRef>
          </c:val>
          <c:extLst xmlns:c16r2="http://schemas.microsoft.com/office/drawing/2015/06/chart">
            <c:ext xmlns:c16="http://schemas.microsoft.com/office/drawing/2014/chart" uri="{C3380CC4-5D6E-409C-BE32-E72D297353CC}">
              <c16:uniqueId val="{00000008-398E-4AC8-83B6-63FD6C00AEF3}"/>
            </c:ext>
          </c:extLst>
        </c:ser>
        <c:ser>
          <c:idx val="9"/>
          <c:order val="9"/>
          <c:tx>
            <c:strRef>
              <c:f>'Bus 402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402 summary'!$C$28:$P$28</c15:sqref>
                  </c15:fullRef>
                </c:ext>
              </c:extLst>
              <c:f>'Bus 402 summary'!$C$28:$N$28</c:f>
            </c:numRef>
          </c:val>
          <c:extLst xmlns:c16r2="http://schemas.microsoft.com/office/drawing/2015/06/chart">
            <c:ext xmlns:c16="http://schemas.microsoft.com/office/drawing/2014/chart" uri="{C3380CC4-5D6E-409C-BE32-E72D297353CC}">
              <c16:uniqueId val="{00000009-398E-4AC8-83B6-63FD6C00AEF3}"/>
            </c:ext>
          </c:extLst>
        </c:ser>
        <c:ser>
          <c:idx val="10"/>
          <c:order val="10"/>
          <c:tx>
            <c:strRef>
              <c:f>'Bus 402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402 summary'!$C$29:$P$29</c15:sqref>
                  </c15:fullRef>
                </c:ext>
              </c:extLst>
              <c:f>'Bus 402 summary'!$C$29:$N$29</c:f>
            </c:numRef>
          </c:val>
          <c:extLst xmlns:c16r2="http://schemas.microsoft.com/office/drawing/2015/06/chart">
            <c:ext xmlns:c16="http://schemas.microsoft.com/office/drawing/2014/chart" uri="{C3380CC4-5D6E-409C-BE32-E72D297353CC}">
              <c16:uniqueId val="{0000000A-398E-4AC8-83B6-63FD6C00AEF3}"/>
            </c:ext>
          </c:extLst>
        </c:ser>
        <c:ser>
          <c:idx val="11"/>
          <c:order val="11"/>
          <c:tx>
            <c:strRef>
              <c:f>'Bus 402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402 summary'!$C$30:$P$30</c15:sqref>
                  </c15:fullRef>
                </c:ext>
              </c:extLst>
              <c:f>'Bus 402 summary'!$C$30:$N$30</c:f>
            </c:numRef>
          </c:val>
          <c:extLst xmlns:c16r2="http://schemas.microsoft.com/office/drawing/2015/06/chart">
            <c:ext xmlns:c16="http://schemas.microsoft.com/office/drawing/2014/chart" uri="{C3380CC4-5D6E-409C-BE32-E72D297353CC}">
              <c16:uniqueId val="{0000000B-398E-4AC8-83B6-63FD6C00AEF3}"/>
            </c:ext>
          </c:extLst>
        </c:ser>
        <c:ser>
          <c:idx val="12"/>
          <c:order val="12"/>
          <c:tx>
            <c:strRef>
              <c:f>'Bus 402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402 summary'!$C$31:$P$31</c15:sqref>
                  </c15:fullRef>
                </c:ext>
              </c:extLst>
              <c:f>'Bus 402 summary'!$C$31:$N$31</c:f>
            </c:numRef>
          </c:val>
          <c:extLst xmlns:c16r2="http://schemas.microsoft.com/office/drawing/2015/06/chart">
            <c:ext xmlns:c16="http://schemas.microsoft.com/office/drawing/2014/chart" uri="{C3380CC4-5D6E-409C-BE32-E72D297353CC}">
              <c16:uniqueId val="{0000000C-398E-4AC8-83B6-63FD6C00AEF3}"/>
            </c:ext>
          </c:extLst>
        </c:ser>
        <c:ser>
          <c:idx val="13"/>
          <c:order val="13"/>
          <c:tx>
            <c:strRef>
              <c:f>'Bus 402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402 summary'!$C$32:$P$32</c15:sqref>
                  </c15:fullRef>
                </c:ext>
              </c:extLst>
              <c:f>'Bus 402 summary'!$C$32:$N$32</c:f>
              <c:numCache>
                <c:formatCode>#,##0.00</c:formatCode>
                <c:ptCount val="12"/>
              </c:numCache>
            </c:numRef>
          </c:val>
          <c:extLst xmlns:c16r2="http://schemas.microsoft.com/office/drawing/2015/06/chart">
            <c:ext xmlns:c16="http://schemas.microsoft.com/office/drawing/2014/chart" uri="{C3380CC4-5D6E-409C-BE32-E72D297353CC}">
              <c16:uniqueId val="{0000000D-398E-4AC8-83B6-63FD6C00AEF3}"/>
            </c:ext>
          </c:extLst>
        </c:ser>
        <c:ser>
          <c:idx val="14"/>
          <c:order val="14"/>
          <c:tx>
            <c:strRef>
              <c:f>'Bus 402 summary'!$B$33</c:f>
              <c:strCache>
                <c:ptCount val="1"/>
                <c:pt idx="0">
                  <c:v>WARRANTY</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402 summary'!$C$33:$P$33</c15:sqref>
                  </c15:fullRef>
                </c:ext>
              </c:extLst>
              <c:f>'Bus 402 summary'!$C$33:$N$33</c:f>
              <c:numCache>
                <c:formatCode>#,##0.00</c:formatCode>
                <c:ptCount val="12"/>
              </c:numCache>
            </c:numRef>
          </c:val>
          <c:extLst xmlns:c16r2="http://schemas.microsoft.com/office/drawing/2015/06/chart">
            <c:ext xmlns:c16="http://schemas.microsoft.com/office/drawing/2014/chart" uri="{C3380CC4-5D6E-409C-BE32-E72D297353CC}">
              <c16:uniqueId val="{0000000E-398E-4AC8-83B6-63FD6C00AEF3}"/>
            </c:ext>
          </c:extLst>
        </c:ser>
        <c:ser>
          <c:idx val="15"/>
          <c:order val="15"/>
          <c:tx>
            <c:strRef>
              <c:f>'Bus 402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402 summary'!$C$34:$P$34</c15:sqref>
                  </c15:fullRef>
                </c:ext>
              </c:extLst>
              <c:f>'Bus 402 summary'!$C$34:$N$34</c:f>
              <c:numCache>
                <c:formatCode>#,##0.00</c:formatCode>
                <c:ptCount val="12"/>
                <c:pt idx="7">
                  <c:v>329.61</c:v>
                </c:pt>
              </c:numCache>
            </c:numRef>
          </c:val>
          <c:extLst xmlns:c16r2="http://schemas.microsoft.com/office/drawing/2015/06/chart">
            <c:ext xmlns:c16="http://schemas.microsoft.com/office/drawing/2014/chart" uri="{C3380CC4-5D6E-409C-BE32-E72D297353CC}">
              <c16:uniqueId val="{0000000F-398E-4AC8-83B6-63FD6C00AEF3}"/>
            </c:ext>
          </c:extLst>
        </c:ser>
        <c:ser>
          <c:idx val="16"/>
          <c:order val="16"/>
          <c:tx>
            <c:strRef>
              <c:f>'Bus 402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402 summary'!$C$35:$P$35</c15:sqref>
                  </c15:fullRef>
                </c:ext>
              </c:extLst>
              <c:f>'Bus 402 summary'!$C$35:$N$35</c:f>
              <c:numCache>
                <c:formatCode>#,##0.00</c:formatCode>
                <c:ptCount val="12"/>
                <c:pt idx="7">
                  <c:v>3.49</c:v>
                </c:pt>
              </c:numCache>
            </c:numRef>
          </c:val>
          <c:extLst xmlns:c16r2="http://schemas.microsoft.com/office/drawing/2015/06/chart">
            <c:ext xmlns:c16="http://schemas.microsoft.com/office/drawing/2014/chart" uri="{C3380CC4-5D6E-409C-BE32-E72D297353CC}">
              <c16:uniqueId val="{00000010-398E-4AC8-83B6-63FD6C00AEF3}"/>
            </c:ext>
          </c:extLst>
        </c:ser>
        <c:ser>
          <c:idx val="17"/>
          <c:order val="17"/>
          <c:tx>
            <c:strRef>
              <c:f>'Bus 402 summary'!$B$36</c:f>
              <c:strCache>
                <c:ptCount val="1"/>
                <c:pt idx="0">
                  <c:v>OIL/OTHER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402 summary'!$C$36:$P$36</c15:sqref>
                  </c15:fullRef>
                </c:ext>
              </c:extLst>
              <c:f>'Bus 402 summary'!$C$36:$N$36</c:f>
              <c:numCache>
                <c:formatCode>#,##0.00</c:formatCode>
                <c:ptCount val="12"/>
                <c:pt idx="8">
                  <c:v>10.99</c:v>
                </c:pt>
              </c:numCache>
            </c:numRef>
          </c:val>
          <c:extLst xmlns:c16r2="http://schemas.microsoft.com/office/drawing/2015/06/chart">
            <c:ext xmlns:c16="http://schemas.microsoft.com/office/drawing/2014/chart" uri="{C3380CC4-5D6E-409C-BE32-E72D297353CC}">
              <c16:uniqueId val="{00000011-398E-4AC8-83B6-63FD6C00AEF3}"/>
            </c:ext>
          </c:extLst>
        </c:ser>
        <c:ser>
          <c:idx val="18"/>
          <c:order val="18"/>
          <c:tx>
            <c:strRef>
              <c:f>'Bus 402 summary'!$B$37</c:f>
              <c:strCache>
                <c:ptCount val="1"/>
                <c:pt idx="0">
                  <c:v>DEF plus LABOR</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402 summary'!$C$37:$P$37</c15:sqref>
                  </c15:fullRef>
                </c:ext>
              </c:extLst>
              <c:f>'Bus 402 summary'!$C$37:$N$37</c:f>
              <c:numCache>
                <c:formatCode>#,##0.00</c:formatCode>
                <c:ptCount val="12"/>
              </c:numCache>
            </c:numRef>
          </c:val>
          <c:extLst xmlns:c16r2="http://schemas.microsoft.com/office/drawing/2015/06/chart">
            <c:ext xmlns:c16="http://schemas.microsoft.com/office/drawing/2014/chart" uri="{C3380CC4-5D6E-409C-BE32-E72D297353CC}">
              <c16:uniqueId val="{00000012-398E-4AC8-83B6-63FD6C00AEF3}"/>
            </c:ext>
          </c:extLst>
        </c:ser>
        <c:ser>
          <c:idx val="19"/>
          <c:order val="19"/>
          <c:tx>
            <c:strRef>
              <c:f>'Bus 402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402 summary'!$C$38:$P$38</c15:sqref>
                  </c15:fullRef>
                </c:ext>
              </c:extLst>
              <c:f>'Bus 402 summary'!$C$38:$N$38</c:f>
              <c:numCache>
                <c:formatCode>#,##0.00</c:formatCode>
                <c:ptCount val="12"/>
              </c:numCache>
            </c:numRef>
          </c:val>
          <c:extLst xmlns:c16r2="http://schemas.microsoft.com/office/drawing/2015/06/chart">
            <c:ext xmlns:c16="http://schemas.microsoft.com/office/drawing/2014/chart" uri="{C3380CC4-5D6E-409C-BE32-E72D297353CC}">
              <c16:uniqueId val="{00000013-398E-4AC8-83B6-63FD6C00AEF3}"/>
            </c:ext>
          </c:extLst>
        </c:ser>
        <c:ser>
          <c:idx val="20"/>
          <c:order val="20"/>
          <c:tx>
            <c:strRef>
              <c:f>'Bus 402 summary'!$B$39</c:f>
              <c:strCache>
                <c:ptCount val="1"/>
                <c:pt idx="0">
                  <c:v>OTHER PARTS</c:v>
                </c:pt>
              </c:strCache>
            </c:strRef>
          </c:tx>
          <c:spPr>
            <a:solidFill>
              <a:schemeClr val="accent3">
                <a:lumMod val="80000"/>
              </a:schemeClr>
            </a:solidFill>
            <a:ln>
              <a:noFill/>
            </a:ln>
            <a:effectLst/>
          </c:spPr>
          <c:invertIfNegative val="0"/>
          <c:cat>
            <c:strRef>
              <c:extLst>
                <c:ext xmlns:c15="http://schemas.microsoft.com/office/drawing/2012/chart" uri="{02D57815-91ED-43cb-92C2-25804820EDAC}">
                  <c15:fullRef>
                    <c15:sqref>'Bus 402 summary'!$C$18:$P$18</c15:sqref>
                  </c15:fullRef>
                </c:ext>
              </c:extLst>
              <c:f>'Bus 402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402 summary'!$C$39:$P$39</c15:sqref>
                  </c15:fullRef>
                </c:ext>
              </c:extLst>
              <c:f>'Bus 402 summary'!$C$39:$N$39</c:f>
              <c:numCache>
                <c:formatCode>#,##0.00</c:formatCode>
                <c:ptCount val="12"/>
                <c:pt idx="7">
                  <c:v>20</c:v>
                </c:pt>
                <c:pt idx="8">
                  <c:v>50</c:v>
                </c:pt>
              </c:numCache>
            </c:numRef>
          </c:val>
          <c:extLst xmlns:c16r2="http://schemas.microsoft.com/office/drawing/2015/06/chart">
            <c:ext xmlns:c16="http://schemas.microsoft.com/office/drawing/2014/chart" uri="{C3380CC4-5D6E-409C-BE32-E72D297353CC}">
              <c16:uniqueId val="{00000014-398E-4AC8-83B6-63FD6C00AEF3}"/>
            </c:ext>
          </c:extLst>
        </c:ser>
        <c:dLbls>
          <c:showLegendKey val="0"/>
          <c:showVal val="0"/>
          <c:showCatName val="0"/>
          <c:showSerName val="0"/>
          <c:showPercent val="0"/>
          <c:showBubbleSize val="0"/>
        </c:dLbls>
        <c:gapWidth val="150"/>
        <c:axId val="697213848"/>
        <c:axId val="697214240"/>
      </c:barChart>
      <c:catAx>
        <c:axId val="697213848"/>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97214240"/>
        <c:crosses val="autoZero"/>
        <c:auto val="1"/>
        <c:lblAlgn val="ctr"/>
        <c:lblOffset val="100"/>
        <c:noMultiLvlLbl val="0"/>
      </c:catAx>
      <c:valAx>
        <c:axId val="697214240"/>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97213848"/>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051711519711263"/>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'402 Chart'!$C$4:$C$5</c:f>
              <c:strCache>
                <c:ptCount val="2"/>
                <c:pt idx="0">
                  <c:v>Projected Cost-Current Maintenance Practices, $109,252  </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cat>
            <c:numRef>
              <c:f>'402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'402 Chart'!$C$6:$C$17</c:f>
              <c:numCache>
                <c:formatCode>_("$"* #,##0_);_("$"* \(#,##0\);_("$"* "-"??_);_(@_)</c:formatCode>
                <c:ptCount val="12"/>
                <c:pt idx="0">
                  <c:v>4913</c:v>
                </c:pt>
                <c:pt idx="1">
                  <c:v>4913</c:v>
                </c:pt>
                <c:pt idx="2">
                  <c:v>4913</c:v>
                </c:pt>
                <c:pt idx="3">
                  <c:v>4913</c:v>
                </c:pt>
                <c:pt idx="4">
                  <c:v>17239.669999999998</c:v>
                </c:pt>
                <c:pt idx="5">
                  <c:v>4913</c:v>
                </c:pt>
                <c:pt idx="6">
                  <c:v>4913</c:v>
                </c:pt>
                <c:pt idx="7">
                  <c:v>4913</c:v>
                </c:pt>
                <c:pt idx="8">
                  <c:v>4913</c:v>
                </c:pt>
                <c:pt idx="9">
                  <c:v>4913</c:v>
                </c:pt>
                <c:pt idx="10">
                  <c:v>4913</c:v>
                </c:pt>
                <c:pt idx="11">
                  <c:v>4913</c:v>
                </c:pt>
              </c:numCache>
            </c:numRef>
          </c:val>
          <c:smooth val="0"/>
          <c:extLst xmlns:c16r2="http://schemas.microsoft.com/office/drawing/2015/06/chart">
            <c:ext xmlns:c16="http://schemas.microsoft.com/office/drawing/2014/chart" uri="{C3380CC4-5D6E-409C-BE32-E72D297353CC}">
              <c16:uniqueId val="{00000000-4724-40D8-9071-B546F0772036}"/>
            </c:ext>
          </c:extLst>
        </c:ser>
        <c:ser>
          <c:idx val="1"/>
          <c:order val="1"/>
          <c:tx>
            <c:strRef>
              <c:f>'402 Chart'!$D$4:$D$5</c:f>
              <c:strCache>
                <c:ptCount val="2"/>
                <c:pt idx="0">
                  <c:v>Projected Cost Alternate Maintenance Practices, $253,816</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cat>
            <c:numRef>
              <c:f>'402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'402 Chart'!$D$6:$D$17</c:f>
              <c:numCache>
                <c:formatCode>_("$"* #,##0_);_("$"* \(#,##0\);_("$"* "-"??_);_(@_)</c:formatCode>
                <c:ptCount val="12"/>
                <c:pt idx="0">
                  <c:v>2827</c:v>
                </c:pt>
                <c:pt idx="1">
                  <c:v>2499</c:v>
                </c:pt>
                <c:pt idx="2">
                  <c:v>3530.5</c:v>
                </c:pt>
                <c:pt idx="3">
                  <c:v>2735</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4724-40D8-9071-B546F0772036}"/>
            </c:ext>
          </c:extLst>
        </c:ser>
        <c:dLbls>
          <c:showLegendKey val="0"/>
          <c:showVal val="0"/>
          <c:showCatName val="0"/>
          <c:showSerName val="0"/>
          <c:showPercent val="0"/>
          <c:showBubbleSize val="0"/>
        </c:dLbls>
        <c:smooth val="0"/>
        <c:axId val="697215024"/>
        <c:axId val="697215416"/>
      </c:lineChart>
      <c:catAx>
        <c:axId val="69721502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97215416"/>
        <c:crosses val="autoZero"/>
        <c:auto val="1"/>
        <c:lblAlgn val="ctr"/>
        <c:lblOffset val="100"/>
        <c:tickLblSkip val="1"/>
        <c:tickMarkSkip val="1"/>
        <c:noMultiLvlLbl val="0"/>
      </c:catAx>
      <c:valAx>
        <c:axId val="697215416"/>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97215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alignWithMargins="0"/>
    <c:pageMargins b="1" l="0.75" r="0.75" t="1" header="0.5" footer="0.5"/>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403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403 summary'!$C$19:$P$19</c15:sqref>
                  </c15:fullRef>
                </c:ext>
              </c:extLst>
              <c:f>'Bus 403 summary'!$C$19:$N$19</c:f>
              <c:numCache>
                <c:formatCode>#,##0.00</c:formatCode>
                <c:ptCount val="12"/>
                <c:pt idx="6">
                  <c:v>153.07</c:v>
                </c:pt>
                <c:pt idx="7">
                  <c:v>184.95</c:v>
                </c:pt>
              </c:numCache>
            </c:numRef>
          </c:val>
          <c:extLst xmlns:c16r2="http://schemas.microsoft.com/office/drawing/2015/06/chart">
            <c:ext xmlns:c16="http://schemas.microsoft.com/office/drawing/2014/chart" uri="{C3380CC4-5D6E-409C-BE32-E72D297353CC}">
              <c16:uniqueId val="{00000000-2101-4CD8-9D4D-36B3E225C233}"/>
            </c:ext>
          </c:extLst>
        </c:ser>
        <c:ser>
          <c:idx val="1"/>
          <c:order val="1"/>
          <c:tx>
            <c:strRef>
              <c:f>'Bus 403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403 summary'!$C$20:$P$20</c15:sqref>
                  </c15:fullRef>
                </c:ext>
              </c:extLst>
              <c:f>'Bus 403 summary'!$C$20:$N$20</c:f>
              <c:numCache>
                <c:formatCode>#,##0.00</c:formatCode>
                <c:ptCount val="12"/>
              </c:numCache>
            </c:numRef>
          </c:val>
          <c:extLst xmlns:c16r2="http://schemas.microsoft.com/office/drawing/2015/06/chart">
            <c:ext xmlns:c16="http://schemas.microsoft.com/office/drawing/2014/chart" uri="{C3380CC4-5D6E-409C-BE32-E72D297353CC}">
              <c16:uniqueId val="{00000001-2101-4CD8-9D4D-36B3E225C233}"/>
            </c:ext>
          </c:extLst>
        </c:ser>
        <c:ser>
          <c:idx val="2"/>
          <c:order val="2"/>
          <c:tx>
            <c:strRef>
              <c:f>'Bus 403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403 summary'!$C$21:$P$21</c15:sqref>
                  </c15:fullRef>
                </c:ext>
              </c:extLst>
              <c:f>'Bus 403 summary'!$C$21:$N$21</c:f>
              <c:numCache>
                <c:formatCode>#,##0.00</c:formatCode>
                <c:ptCount val="12"/>
              </c:numCache>
            </c:numRef>
          </c:val>
          <c:extLst xmlns:c16r2="http://schemas.microsoft.com/office/drawing/2015/06/chart">
            <c:ext xmlns:c16="http://schemas.microsoft.com/office/drawing/2014/chart" uri="{C3380CC4-5D6E-409C-BE32-E72D297353CC}">
              <c16:uniqueId val="{00000002-2101-4CD8-9D4D-36B3E225C233}"/>
            </c:ext>
          </c:extLst>
        </c:ser>
        <c:ser>
          <c:idx val="3"/>
          <c:order val="3"/>
          <c:tx>
            <c:strRef>
              <c:f>'Bus 403 summary'!$B$22</c:f>
              <c:strCache>
                <c:ptCount val="1"/>
                <c:pt idx="0">
                  <c:v>CALIPERS</c:v>
                </c:pt>
              </c:strCache>
            </c:strRef>
          </c:tx>
          <c:spPr>
            <a:solidFill>
              <a:schemeClr val="accent4"/>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403 summary'!$C$22:$P$22</c15:sqref>
                  </c15:fullRef>
                </c:ext>
              </c:extLst>
              <c:f>'Bus 403 summary'!$C$22:$N$22</c:f>
              <c:numCache>
                <c:formatCode>#,##0.00</c:formatCode>
                <c:ptCount val="12"/>
              </c:numCache>
            </c:numRef>
          </c:val>
          <c:extLst xmlns:c16r2="http://schemas.microsoft.com/office/drawing/2015/06/chart">
            <c:ext xmlns:c16="http://schemas.microsoft.com/office/drawing/2014/chart" uri="{C3380CC4-5D6E-409C-BE32-E72D297353CC}">
              <c16:uniqueId val="{00000003-2101-4CD8-9D4D-36B3E225C233}"/>
            </c:ext>
          </c:extLst>
        </c:ser>
        <c:ser>
          <c:idx val="4"/>
          <c:order val="4"/>
          <c:tx>
            <c:strRef>
              <c:f>'Bus 403 summary'!$B$23</c:f>
              <c:strCache>
                <c:ptCount val="1"/>
                <c:pt idx="0">
                  <c:v>STARTERS</c:v>
                </c:pt>
              </c:strCache>
            </c:strRef>
          </c:tx>
          <c:spPr>
            <a:solidFill>
              <a:schemeClr val="accent5"/>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403 summary'!$C$23:$P$23</c15:sqref>
                  </c15:fullRef>
                </c:ext>
              </c:extLst>
              <c:f>'Bus 403 summary'!$C$23:$N$23</c:f>
              <c:numCache>
                <c:formatCode>#,##0.00</c:formatCode>
                <c:ptCount val="12"/>
              </c:numCache>
            </c:numRef>
          </c:val>
          <c:extLst xmlns:c16r2="http://schemas.microsoft.com/office/drawing/2015/06/chart">
            <c:ext xmlns:c16="http://schemas.microsoft.com/office/drawing/2014/chart" uri="{C3380CC4-5D6E-409C-BE32-E72D297353CC}">
              <c16:uniqueId val="{00000004-2101-4CD8-9D4D-36B3E225C233}"/>
            </c:ext>
          </c:extLst>
        </c:ser>
        <c:ser>
          <c:idx val="5"/>
          <c:order val="5"/>
          <c:tx>
            <c:strRef>
              <c:f>'Bus 403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403 summary'!$C$24:$P$24</c15:sqref>
                  </c15:fullRef>
                </c:ext>
              </c:extLst>
              <c:f>'Bus 403 summary'!$C$24:$N$24</c:f>
              <c:numCache>
                <c:formatCode>#,##0.00</c:formatCode>
                <c:ptCount val="12"/>
              </c:numCache>
            </c:numRef>
          </c:val>
          <c:extLst xmlns:c16r2="http://schemas.microsoft.com/office/drawing/2015/06/chart">
            <c:ext xmlns:c16="http://schemas.microsoft.com/office/drawing/2014/chart" uri="{C3380CC4-5D6E-409C-BE32-E72D297353CC}">
              <c16:uniqueId val="{00000005-2101-4CD8-9D4D-36B3E225C233}"/>
            </c:ext>
          </c:extLst>
        </c:ser>
        <c:ser>
          <c:idx val="6"/>
          <c:order val="6"/>
          <c:tx>
            <c:strRef>
              <c:f>'Bus 403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403 summary'!$C$25:$P$25</c15:sqref>
                  </c15:fullRef>
                </c:ext>
              </c:extLst>
              <c:f>'Bus 403 summary'!$C$25:$N$25</c:f>
              <c:numCache>
                <c:formatCode>#,##0.00</c:formatCode>
                <c:ptCount val="12"/>
              </c:numCache>
            </c:numRef>
          </c:val>
          <c:extLst xmlns:c16r2="http://schemas.microsoft.com/office/drawing/2015/06/chart">
            <c:ext xmlns:c16="http://schemas.microsoft.com/office/drawing/2014/chart" uri="{C3380CC4-5D6E-409C-BE32-E72D297353CC}">
              <c16:uniqueId val="{00000006-2101-4CD8-9D4D-36B3E225C233}"/>
            </c:ext>
          </c:extLst>
        </c:ser>
        <c:ser>
          <c:idx val="7"/>
          <c:order val="7"/>
          <c:tx>
            <c:strRef>
              <c:f>'Bus 403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403 summary'!$C$26:$P$26</c15:sqref>
                  </c15:fullRef>
                </c:ext>
              </c:extLst>
              <c:f>'Bus 403 summary'!$C$26:$N$26</c:f>
              <c:numCache>
                <c:formatCode>#,##0.00</c:formatCode>
                <c:ptCount val="12"/>
              </c:numCache>
            </c:numRef>
          </c:val>
          <c:extLst xmlns:c16r2="http://schemas.microsoft.com/office/drawing/2015/06/chart">
            <c:ext xmlns:c16="http://schemas.microsoft.com/office/drawing/2014/chart" uri="{C3380CC4-5D6E-409C-BE32-E72D297353CC}">
              <c16:uniqueId val="{00000007-2101-4CD8-9D4D-36B3E225C233}"/>
            </c:ext>
          </c:extLst>
        </c:ser>
        <c:ser>
          <c:idx val="8"/>
          <c:order val="8"/>
          <c:tx>
            <c:strRef>
              <c:f>'Bus 403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403 summary'!$C$27:$P$27</c15:sqref>
                  </c15:fullRef>
                </c:ext>
              </c:extLst>
              <c:f>'Bus 403 summary'!$C$27:$N$27</c:f>
              <c:numCache>
                <c:formatCode>#,##0.00</c:formatCode>
                <c:ptCount val="12"/>
              </c:numCache>
            </c:numRef>
          </c:val>
          <c:extLst xmlns:c16r2="http://schemas.microsoft.com/office/drawing/2015/06/chart">
            <c:ext xmlns:c16="http://schemas.microsoft.com/office/drawing/2014/chart" uri="{C3380CC4-5D6E-409C-BE32-E72D297353CC}">
              <c16:uniqueId val="{00000008-2101-4CD8-9D4D-36B3E225C233}"/>
            </c:ext>
          </c:extLst>
        </c:ser>
        <c:ser>
          <c:idx val="9"/>
          <c:order val="9"/>
          <c:tx>
            <c:strRef>
              <c:f>'Bus 403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403 summary'!$C$28:$P$28</c15:sqref>
                  </c15:fullRef>
                </c:ext>
              </c:extLst>
              <c:f>'Bus 403 summary'!$C$28:$N$28</c:f>
            </c:numRef>
          </c:val>
          <c:extLst xmlns:c16r2="http://schemas.microsoft.com/office/drawing/2015/06/chart">
            <c:ext xmlns:c16="http://schemas.microsoft.com/office/drawing/2014/chart" uri="{C3380CC4-5D6E-409C-BE32-E72D297353CC}">
              <c16:uniqueId val="{00000009-2101-4CD8-9D4D-36B3E225C233}"/>
            </c:ext>
          </c:extLst>
        </c:ser>
        <c:ser>
          <c:idx val="10"/>
          <c:order val="10"/>
          <c:tx>
            <c:strRef>
              <c:f>'Bus 403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403 summary'!$C$29:$P$29</c15:sqref>
                  </c15:fullRef>
                </c:ext>
              </c:extLst>
              <c:f>'Bus 403 summary'!$C$29:$N$29</c:f>
            </c:numRef>
          </c:val>
          <c:extLst xmlns:c16r2="http://schemas.microsoft.com/office/drawing/2015/06/chart">
            <c:ext xmlns:c16="http://schemas.microsoft.com/office/drawing/2014/chart" uri="{C3380CC4-5D6E-409C-BE32-E72D297353CC}">
              <c16:uniqueId val="{0000000A-2101-4CD8-9D4D-36B3E225C233}"/>
            </c:ext>
          </c:extLst>
        </c:ser>
        <c:ser>
          <c:idx val="11"/>
          <c:order val="11"/>
          <c:tx>
            <c:strRef>
              <c:f>'Bus 403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403 summary'!$C$30:$P$30</c15:sqref>
                  </c15:fullRef>
                </c:ext>
              </c:extLst>
              <c:f>'Bus 403 summary'!$C$30:$N$30</c:f>
            </c:numRef>
          </c:val>
          <c:extLst xmlns:c16r2="http://schemas.microsoft.com/office/drawing/2015/06/chart">
            <c:ext xmlns:c16="http://schemas.microsoft.com/office/drawing/2014/chart" uri="{C3380CC4-5D6E-409C-BE32-E72D297353CC}">
              <c16:uniqueId val="{0000000B-2101-4CD8-9D4D-36B3E225C233}"/>
            </c:ext>
          </c:extLst>
        </c:ser>
        <c:ser>
          <c:idx val="12"/>
          <c:order val="12"/>
          <c:tx>
            <c:strRef>
              <c:f>'Bus 403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403 summary'!$C$31:$P$31</c15:sqref>
                  </c15:fullRef>
                </c:ext>
              </c:extLst>
              <c:f>'Bus 403 summary'!$C$31:$N$31</c:f>
            </c:numRef>
          </c:val>
          <c:extLst xmlns:c16r2="http://schemas.microsoft.com/office/drawing/2015/06/chart">
            <c:ext xmlns:c16="http://schemas.microsoft.com/office/drawing/2014/chart" uri="{C3380CC4-5D6E-409C-BE32-E72D297353CC}">
              <c16:uniqueId val="{0000000C-2101-4CD8-9D4D-36B3E225C233}"/>
            </c:ext>
          </c:extLst>
        </c:ser>
        <c:ser>
          <c:idx val="13"/>
          <c:order val="13"/>
          <c:tx>
            <c:strRef>
              <c:f>'Bus 403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403 summary'!$C$32:$P$32</c15:sqref>
                  </c15:fullRef>
                </c:ext>
              </c:extLst>
              <c:f>'Bus 403 summary'!$C$32:$N$32</c:f>
              <c:numCache>
                <c:formatCode>#,##0.00</c:formatCode>
                <c:ptCount val="12"/>
              </c:numCache>
            </c:numRef>
          </c:val>
          <c:extLst xmlns:c16r2="http://schemas.microsoft.com/office/drawing/2015/06/chart">
            <c:ext xmlns:c16="http://schemas.microsoft.com/office/drawing/2014/chart" uri="{C3380CC4-5D6E-409C-BE32-E72D297353CC}">
              <c16:uniqueId val="{0000000D-2101-4CD8-9D4D-36B3E225C233}"/>
            </c:ext>
          </c:extLst>
        </c:ser>
        <c:ser>
          <c:idx val="14"/>
          <c:order val="14"/>
          <c:tx>
            <c:strRef>
              <c:f>'Bus 403 summary'!$B$33</c:f>
              <c:strCache>
                <c:ptCount val="1"/>
                <c:pt idx="0">
                  <c:v>WARRANTY</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403 summary'!$C$33:$P$33</c15:sqref>
                  </c15:fullRef>
                </c:ext>
              </c:extLst>
              <c:f>'Bus 403 summary'!$C$33:$N$33</c:f>
              <c:numCache>
                <c:formatCode>#,##0.00</c:formatCode>
                <c:ptCount val="12"/>
              </c:numCache>
            </c:numRef>
          </c:val>
          <c:extLst xmlns:c16r2="http://schemas.microsoft.com/office/drawing/2015/06/chart">
            <c:ext xmlns:c16="http://schemas.microsoft.com/office/drawing/2014/chart" uri="{C3380CC4-5D6E-409C-BE32-E72D297353CC}">
              <c16:uniqueId val="{0000000E-2101-4CD8-9D4D-36B3E225C233}"/>
            </c:ext>
          </c:extLst>
        </c:ser>
        <c:ser>
          <c:idx val="15"/>
          <c:order val="15"/>
          <c:tx>
            <c:strRef>
              <c:f>'Bus 403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403 summary'!$C$34:$P$34</c15:sqref>
                  </c15:fullRef>
                </c:ext>
              </c:extLst>
              <c:f>'Bus 403 summary'!$C$34:$N$34</c:f>
              <c:numCache>
                <c:formatCode>#,##0.00</c:formatCode>
                <c:ptCount val="12"/>
              </c:numCache>
            </c:numRef>
          </c:val>
          <c:extLst xmlns:c16r2="http://schemas.microsoft.com/office/drawing/2015/06/chart">
            <c:ext xmlns:c16="http://schemas.microsoft.com/office/drawing/2014/chart" uri="{C3380CC4-5D6E-409C-BE32-E72D297353CC}">
              <c16:uniqueId val="{0000000F-2101-4CD8-9D4D-36B3E225C233}"/>
            </c:ext>
          </c:extLst>
        </c:ser>
        <c:ser>
          <c:idx val="16"/>
          <c:order val="16"/>
          <c:tx>
            <c:strRef>
              <c:f>'Bus 403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403 summary'!$C$35:$P$35</c15:sqref>
                  </c15:fullRef>
                </c:ext>
              </c:extLst>
              <c:f>'Bus 403 summary'!$C$35:$N$35</c:f>
              <c:numCache>
                <c:formatCode>#,##0.00</c:formatCode>
                <c:ptCount val="12"/>
                <c:pt idx="8">
                  <c:v>10.47</c:v>
                </c:pt>
              </c:numCache>
            </c:numRef>
          </c:val>
          <c:extLst xmlns:c16r2="http://schemas.microsoft.com/office/drawing/2015/06/chart">
            <c:ext xmlns:c16="http://schemas.microsoft.com/office/drawing/2014/chart" uri="{C3380CC4-5D6E-409C-BE32-E72D297353CC}">
              <c16:uniqueId val="{00000010-2101-4CD8-9D4D-36B3E225C233}"/>
            </c:ext>
          </c:extLst>
        </c:ser>
        <c:ser>
          <c:idx val="17"/>
          <c:order val="17"/>
          <c:tx>
            <c:strRef>
              <c:f>'Bus 403 summary'!$B$36</c:f>
              <c:strCache>
                <c:ptCount val="1"/>
                <c:pt idx="0">
                  <c:v>OIL/OTHER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403 summary'!$C$36:$P$36</c15:sqref>
                  </c15:fullRef>
                </c:ext>
              </c:extLst>
              <c:f>'Bus 403 summary'!$C$36:$N$36</c:f>
              <c:numCache>
                <c:formatCode>#,##0.00</c:formatCode>
                <c:ptCount val="12"/>
              </c:numCache>
            </c:numRef>
          </c:val>
          <c:extLst xmlns:c16r2="http://schemas.microsoft.com/office/drawing/2015/06/chart">
            <c:ext xmlns:c16="http://schemas.microsoft.com/office/drawing/2014/chart" uri="{C3380CC4-5D6E-409C-BE32-E72D297353CC}">
              <c16:uniqueId val="{00000011-2101-4CD8-9D4D-36B3E225C233}"/>
            </c:ext>
          </c:extLst>
        </c:ser>
        <c:ser>
          <c:idx val="18"/>
          <c:order val="18"/>
          <c:tx>
            <c:strRef>
              <c:f>'Bus 403 summary'!$B$37</c:f>
              <c:strCache>
                <c:ptCount val="1"/>
                <c:pt idx="0">
                  <c:v>DEF &amp; LABOR</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403 summary'!$C$37:$P$37</c15:sqref>
                  </c15:fullRef>
                </c:ext>
              </c:extLst>
              <c:f>'Bus 403 summary'!$C$37:$N$37</c:f>
              <c:numCache>
                <c:formatCode>#,##0.00</c:formatCode>
                <c:ptCount val="12"/>
              </c:numCache>
            </c:numRef>
          </c:val>
          <c:extLst xmlns:c16r2="http://schemas.microsoft.com/office/drawing/2015/06/chart">
            <c:ext xmlns:c16="http://schemas.microsoft.com/office/drawing/2014/chart" uri="{C3380CC4-5D6E-409C-BE32-E72D297353CC}">
              <c16:uniqueId val="{00000012-2101-4CD8-9D4D-36B3E225C233}"/>
            </c:ext>
          </c:extLst>
        </c:ser>
        <c:ser>
          <c:idx val="19"/>
          <c:order val="19"/>
          <c:tx>
            <c:strRef>
              <c:f>'Bus 403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403 summary'!$C$38:$P$38</c15:sqref>
                  </c15:fullRef>
                </c:ext>
              </c:extLst>
              <c:f>'Bus 403 summary'!$C$38:$N$38</c:f>
              <c:numCache>
                <c:formatCode>#,##0.00</c:formatCode>
                <c:ptCount val="12"/>
                <c:pt idx="8">
                  <c:v>40</c:v>
                </c:pt>
              </c:numCache>
            </c:numRef>
          </c:val>
          <c:extLst xmlns:c16r2="http://schemas.microsoft.com/office/drawing/2015/06/chart">
            <c:ext xmlns:c16="http://schemas.microsoft.com/office/drawing/2014/chart" uri="{C3380CC4-5D6E-409C-BE32-E72D297353CC}">
              <c16:uniqueId val="{00000013-2101-4CD8-9D4D-36B3E225C233}"/>
            </c:ext>
          </c:extLst>
        </c:ser>
        <c:ser>
          <c:idx val="20"/>
          <c:order val="20"/>
          <c:tx>
            <c:strRef>
              <c:f>'Bus 403 summary'!$B$39</c:f>
              <c:strCache>
                <c:ptCount val="1"/>
                <c:pt idx="0">
                  <c:v>OTHER PARTS</c:v>
                </c:pt>
              </c:strCache>
            </c:strRef>
          </c:tx>
          <c:spPr>
            <a:solidFill>
              <a:schemeClr val="accent3">
                <a:lumMod val="80000"/>
              </a:schemeClr>
            </a:solidFill>
            <a:ln>
              <a:noFill/>
            </a:ln>
            <a:effectLst/>
          </c:spPr>
          <c:invertIfNegative val="0"/>
          <c:cat>
            <c:strRef>
              <c:extLst>
                <c:ext xmlns:c15="http://schemas.microsoft.com/office/drawing/2012/chart" uri="{02D57815-91ED-43cb-92C2-25804820EDAC}">
                  <c15:fullRef>
                    <c15:sqref>'Bus 403 summary'!$C$18:$P$18</c15:sqref>
                  </c15:fullRef>
                </c:ext>
              </c:extLst>
              <c:f>'Bus 403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403 summary'!$C$39:$P$39</c15:sqref>
                  </c15:fullRef>
                </c:ext>
              </c:extLst>
              <c:f>'Bus 403 summary'!$C$39:$N$39</c:f>
              <c:numCache>
                <c:formatCode>#,##0.00</c:formatCode>
                <c:ptCount val="12"/>
                <c:pt idx="8">
                  <c:v>6.06</c:v>
                </c:pt>
              </c:numCache>
            </c:numRef>
          </c:val>
          <c:extLst xmlns:c16r2="http://schemas.microsoft.com/office/drawing/2015/06/chart">
            <c:ext xmlns:c16="http://schemas.microsoft.com/office/drawing/2014/chart" uri="{C3380CC4-5D6E-409C-BE32-E72D297353CC}">
              <c16:uniqueId val="{00000014-2101-4CD8-9D4D-36B3E225C233}"/>
            </c:ext>
          </c:extLst>
        </c:ser>
        <c:dLbls>
          <c:showLegendKey val="0"/>
          <c:showVal val="0"/>
          <c:showCatName val="0"/>
          <c:showSerName val="0"/>
          <c:showPercent val="0"/>
          <c:showBubbleSize val="0"/>
        </c:dLbls>
        <c:gapWidth val="150"/>
        <c:axId val="697216200"/>
        <c:axId val="698417880"/>
      </c:barChart>
      <c:catAx>
        <c:axId val="697216200"/>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98417880"/>
        <c:crosses val="autoZero"/>
        <c:auto val="1"/>
        <c:lblAlgn val="ctr"/>
        <c:lblOffset val="100"/>
        <c:noMultiLvlLbl val="0"/>
      </c:catAx>
      <c:valAx>
        <c:axId val="698417880"/>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97216200"/>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051711519711263"/>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'403 Chart'!$C$4:$C$5</c:f>
              <c:strCache>
                <c:ptCount val="2"/>
                <c:pt idx="0">
                  <c:v>Projected Cost-Current Maintenance Practices, $109,252  </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'403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'403 Chart'!$C$6:$C$17</c:f>
              <c:numCache>
                <c:formatCode>_("$"* #,##0_);_("$"* \(#,##0\);_("$"* "-"??_);_(@_)</c:formatCode>
                <c:ptCount val="12"/>
                <c:pt idx="0">
                  <c:v>4913</c:v>
                </c:pt>
                <c:pt idx="1">
                  <c:v>4913</c:v>
                </c:pt>
                <c:pt idx="2">
                  <c:v>4913</c:v>
                </c:pt>
                <c:pt idx="3">
                  <c:v>4913</c:v>
                </c:pt>
                <c:pt idx="4">
                  <c:v>17239.669999999998</c:v>
                </c:pt>
                <c:pt idx="5">
                  <c:v>4913</c:v>
                </c:pt>
                <c:pt idx="6">
                  <c:v>4913</c:v>
                </c:pt>
                <c:pt idx="7">
                  <c:v>4913</c:v>
                </c:pt>
                <c:pt idx="8">
                  <c:v>4913</c:v>
                </c:pt>
                <c:pt idx="9">
                  <c:v>4913</c:v>
                </c:pt>
                <c:pt idx="10">
                  <c:v>4913</c:v>
                </c:pt>
                <c:pt idx="11">
                  <c:v>4913</c:v>
                </c:pt>
              </c:numCache>
            </c:numRef>
          </c:val>
          <c:smooth val="0"/>
          <c:extLst xmlns:c16r2="http://schemas.microsoft.com/office/drawing/2015/06/chart">
            <c:ext xmlns:c16="http://schemas.microsoft.com/office/drawing/2014/chart" uri="{C3380CC4-5D6E-409C-BE32-E72D297353CC}">
              <c16:uniqueId val="{00000000-B8E4-4D21-AEFC-1DAC06DA5E6F}"/>
            </c:ext>
          </c:extLst>
        </c:ser>
        <c:ser>
          <c:idx val="1"/>
          <c:order val="1"/>
          <c:tx>
            <c:strRef>
              <c:f>'403 Chart'!$D$4:$D$5</c:f>
              <c:strCache>
                <c:ptCount val="2"/>
                <c:pt idx="0">
                  <c:v>Projected Cost Alternate Maintenance Practices, $253,816</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numRef>
              <c:f>'403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'403 Chart'!$D$6:$D$17</c:f>
              <c:numCache>
                <c:formatCode>_("$"* #,##0_);_("$"* \(#,##0\);_("$"* "-"??_);_(@_)</c:formatCode>
                <c:ptCount val="12"/>
                <c:pt idx="0">
                  <c:v>2175</c:v>
                </c:pt>
                <c:pt idx="1">
                  <c:v>2298</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B8E4-4D21-AEFC-1DAC06DA5E6F}"/>
            </c:ext>
          </c:extLst>
        </c:ser>
        <c:dLbls>
          <c:showLegendKey val="0"/>
          <c:showVal val="0"/>
          <c:showCatName val="0"/>
          <c:showSerName val="0"/>
          <c:showPercent val="0"/>
          <c:showBubbleSize val="0"/>
        </c:dLbls>
        <c:smooth val="0"/>
        <c:axId val="698418664"/>
        <c:axId val="698419056"/>
      </c:lineChart>
      <c:catAx>
        <c:axId val="69841866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98419056"/>
        <c:crosses val="autoZero"/>
        <c:auto val="1"/>
        <c:lblAlgn val="ctr"/>
        <c:lblOffset val="100"/>
        <c:tickLblSkip val="1"/>
        <c:tickMarkSkip val="1"/>
        <c:noMultiLvlLbl val="0"/>
      </c:catAx>
      <c:valAx>
        <c:axId val="698419056"/>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6984186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alignWithMargins="0"/>
    <c:pageMargins b="1" l="0.75" r="0.75" t="1" header="0.5" footer="0.5"/>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404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404 summary'!$C$19:$P$19</c15:sqref>
                  </c15:fullRef>
                </c:ext>
              </c:extLst>
              <c:f>'Bus 404 summary'!$C$19:$N$19</c:f>
              <c:numCache>
                <c:formatCode>#,##0.00</c:formatCode>
                <c:ptCount val="12"/>
                <c:pt idx="6">
                  <c:v>195.7</c:v>
                </c:pt>
                <c:pt idx="7">
                  <c:v>1654.91</c:v>
                </c:pt>
              </c:numCache>
            </c:numRef>
          </c:val>
          <c:extLst xmlns:c16r2="http://schemas.microsoft.com/office/drawing/2015/06/chart">
            <c:ext xmlns:c16="http://schemas.microsoft.com/office/drawing/2014/chart" uri="{C3380CC4-5D6E-409C-BE32-E72D297353CC}">
              <c16:uniqueId val="{00000000-29AE-4381-A5F1-28CBD4C7B81E}"/>
            </c:ext>
          </c:extLst>
        </c:ser>
        <c:ser>
          <c:idx val="1"/>
          <c:order val="1"/>
          <c:tx>
            <c:strRef>
              <c:f>'Bus 404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404 summary'!$C$20:$P$20</c15:sqref>
                  </c15:fullRef>
                </c:ext>
              </c:extLst>
              <c:f>'Bus 404 summary'!$C$20:$N$20</c:f>
              <c:numCache>
                <c:formatCode>#,##0.00</c:formatCode>
                <c:ptCount val="12"/>
              </c:numCache>
            </c:numRef>
          </c:val>
          <c:extLst xmlns:c16r2="http://schemas.microsoft.com/office/drawing/2015/06/chart">
            <c:ext xmlns:c16="http://schemas.microsoft.com/office/drawing/2014/chart" uri="{C3380CC4-5D6E-409C-BE32-E72D297353CC}">
              <c16:uniqueId val="{00000001-29AE-4381-A5F1-28CBD4C7B81E}"/>
            </c:ext>
          </c:extLst>
        </c:ser>
        <c:ser>
          <c:idx val="2"/>
          <c:order val="2"/>
          <c:tx>
            <c:strRef>
              <c:f>'Bus 404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404 summary'!$C$21:$P$21</c15:sqref>
                  </c15:fullRef>
                </c:ext>
              </c:extLst>
              <c:f>'Bus 404 summary'!$C$21:$N$21</c:f>
              <c:numCache>
                <c:formatCode>#,##0.00</c:formatCode>
                <c:ptCount val="12"/>
              </c:numCache>
            </c:numRef>
          </c:val>
          <c:extLst xmlns:c16r2="http://schemas.microsoft.com/office/drawing/2015/06/chart">
            <c:ext xmlns:c16="http://schemas.microsoft.com/office/drawing/2014/chart" uri="{C3380CC4-5D6E-409C-BE32-E72D297353CC}">
              <c16:uniqueId val="{00000002-29AE-4381-A5F1-28CBD4C7B81E}"/>
            </c:ext>
          </c:extLst>
        </c:ser>
        <c:ser>
          <c:idx val="3"/>
          <c:order val="3"/>
          <c:tx>
            <c:strRef>
              <c:f>'Bus 404 summary'!$B$22</c:f>
              <c:strCache>
                <c:ptCount val="1"/>
                <c:pt idx="0">
                  <c:v>CALIPERS</c:v>
                </c:pt>
              </c:strCache>
            </c:strRef>
          </c:tx>
          <c:spPr>
            <a:solidFill>
              <a:schemeClr val="accent4"/>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404 summary'!$C$22:$P$22</c15:sqref>
                  </c15:fullRef>
                </c:ext>
              </c:extLst>
              <c:f>'Bus 404 summary'!$C$22:$N$22</c:f>
              <c:numCache>
                <c:formatCode>#,##0.00</c:formatCode>
                <c:ptCount val="12"/>
              </c:numCache>
            </c:numRef>
          </c:val>
          <c:extLst xmlns:c16r2="http://schemas.microsoft.com/office/drawing/2015/06/chart">
            <c:ext xmlns:c16="http://schemas.microsoft.com/office/drawing/2014/chart" uri="{C3380CC4-5D6E-409C-BE32-E72D297353CC}">
              <c16:uniqueId val="{00000003-29AE-4381-A5F1-28CBD4C7B81E}"/>
            </c:ext>
          </c:extLst>
        </c:ser>
        <c:ser>
          <c:idx val="4"/>
          <c:order val="4"/>
          <c:tx>
            <c:strRef>
              <c:f>'Bus 404 summary'!$B$23</c:f>
              <c:strCache>
                <c:ptCount val="1"/>
                <c:pt idx="0">
                  <c:v>STARTERS</c:v>
                </c:pt>
              </c:strCache>
            </c:strRef>
          </c:tx>
          <c:spPr>
            <a:solidFill>
              <a:schemeClr val="accent5"/>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404 summary'!$C$23:$P$23</c15:sqref>
                  </c15:fullRef>
                </c:ext>
              </c:extLst>
              <c:f>'Bus 404 summary'!$C$23:$N$23</c:f>
              <c:numCache>
                <c:formatCode>#,##0.00</c:formatCode>
                <c:ptCount val="12"/>
              </c:numCache>
            </c:numRef>
          </c:val>
          <c:extLst xmlns:c16r2="http://schemas.microsoft.com/office/drawing/2015/06/chart">
            <c:ext xmlns:c16="http://schemas.microsoft.com/office/drawing/2014/chart" uri="{C3380CC4-5D6E-409C-BE32-E72D297353CC}">
              <c16:uniqueId val="{00000004-29AE-4381-A5F1-28CBD4C7B81E}"/>
            </c:ext>
          </c:extLst>
        </c:ser>
        <c:ser>
          <c:idx val="5"/>
          <c:order val="5"/>
          <c:tx>
            <c:strRef>
              <c:f>'Bus 404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404 summary'!$C$24:$P$24</c15:sqref>
                  </c15:fullRef>
                </c:ext>
              </c:extLst>
              <c:f>'Bus 404 summary'!$C$24:$N$24</c:f>
              <c:numCache>
                <c:formatCode>#,##0.00</c:formatCode>
                <c:ptCount val="12"/>
              </c:numCache>
            </c:numRef>
          </c:val>
          <c:extLst xmlns:c16r2="http://schemas.microsoft.com/office/drawing/2015/06/chart">
            <c:ext xmlns:c16="http://schemas.microsoft.com/office/drawing/2014/chart" uri="{C3380CC4-5D6E-409C-BE32-E72D297353CC}">
              <c16:uniqueId val="{00000005-29AE-4381-A5F1-28CBD4C7B81E}"/>
            </c:ext>
          </c:extLst>
        </c:ser>
        <c:ser>
          <c:idx val="6"/>
          <c:order val="6"/>
          <c:tx>
            <c:strRef>
              <c:f>'Bus 404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404 summary'!$C$25:$P$25</c15:sqref>
                  </c15:fullRef>
                </c:ext>
              </c:extLst>
              <c:f>'Bus 404 summary'!$C$25:$N$25</c:f>
              <c:numCache>
                <c:formatCode>#,##0.00</c:formatCode>
                <c:ptCount val="12"/>
              </c:numCache>
            </c:numRef>
          </c:val>
          <c:extLst xmlns:c16r2="http://schemas.microsoft.com/office/drawing/2015/06/chart">
            <c:ext xmlns:c16="http://schemas.microsoft.com/office/drawing/2014/chart" uri="{C3380CC4-5D6E-409C-BE32-E72D297353CC}">
              <c16:uniqueId val="{00000006-29AE-4381-A5F1-28CBD4C7B81E}"/>
            </c:ext>
          </c:extLst>
        </c:ser>
        <c:ser>
          <c:idx val="7"/>
          <c:order val="7"/>
          <c:tx>
            <c:strRef>
              <c:f>'Bus 404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404 summary'!$C$26:$P$26</c15:sqref>
                  </c15:fullRef>
                </c:ext>
              </c:extLst>
              <c:f>'Bus 404 summary'!$C$26:$N$26</c:f>
              <c:numCache>
                <c:formatCode>#,##0.00</c:formatCode>
                <c:ptCount val="12"/>
              </c:numCache>
            </c:numRef>
          </c:val>
          <c:extLst xmlns:c16r2="http://schemas.microsoft.com/office/drawing/2015/06/chart">
            <c:ext xmlns:c16="http://schemas.microsoft.com/office/drawing/2014/chart" uri="{C3380CC4-5D6E-409C-BE32-E72D297353CC}">
              <c16:uniqueId val="{00000007-29AE-4381-A5F1-28CBD4C7B81E}"/>
            </c:ext>
          </c:extLst>
        </c:ser>
        <c:ser>
          <c:idx val="8"/>
          <c:order val="8"/>
          <c:tx>
            <c:strRef>
              <c:f>'Bus 404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404 summary'!$C$27:$P$27</c15:sqref>
                  </c15:fullRef>
                </c:ext>
              </c:extLst>
              <c:f>'Bus 404 summary'!$C$27:$N$27</c:f>
              <c:numCache>
                <c:formatCode>#,##0.00</c:formatCode>
                <c:ptCount val="12"/>
              </c:numCache>
            </c:numRef>
          </c:val>
          <c:extLst xmlns:c16r2="http://schemas.microsoft.com/office/drawing/2015/06/chart">
            <c:ext xmlns:c16="http://schemas.microsoft.com/office/drawing/2014/chart" uri="{C3380CC4-5D6E-409C-BE32-E72D297353CC}">
              <c16:uniqueId val="{00000008-29AE-4381-A5F1-28CBD4C7B81E}"/>
            </c:ext>
          </c:extLst>
        </c:ser>
        <c:ser>
          <c:idx val="9"/>
          <c:order val="9"/>
          <c:tx>
            <c:strRef>
              <c:f>'Bus 404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404 summary'!$C$28:$P$28</c15:sqref>
                  </c15:fullRef>
                </c:ext>
              </c:extLst>
              <c:f>'Bus 404 summary'!$C$28:$N$28</c:f>
            </c:numRef>
          </c:val>
          <c:extLst xmlns:c16r2="http://schemas.microsoft.com/office/drawing/2015/06/chart">
            <c:ext xmlns:c16="http://schemas.microsoft.com/office/drawing/2014/chart" uri="{C3380CC4-5D6E-409C-BE32-E72D297353CC}">
              <c16:uniqueId val="{00000009-29AE-4381-A5F1-28CBD4C7B81E}"/>
            </c:ext>
          </c:extLst>
        </c:ser>
        <c:ser>
          <c:idx val="10"/>
          <c:order val="10"/>
          <c:tx>
            <c:strRef>
              <c:f>'Bus 404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404 summary'!$C$29:$P$29</c15:sqref>
                  </c15:fullRef>
                </c:ext>
              </c:extLst>
              <c:f>'Bus 404 summary'!$C$29:$N$29</c:f>
            </c:numRef>
          </c:val>
          <c:extLst xmlns:c16r2="http://schemas.microsoft.com/office/drawing/2015/06/chart">
            <c:ext xmlns:c16="http://schemas.microsoft.com/office/drawing/2014/chart" uri="{C3380CC4-5D6E-409C-BE32-E72D297353CC}">
              <c16:uniqueId val="{0000000A-29AE-4381-A5F1-28CBD4C7B81E}"/>
            </c:ext>
          </c:extLst>
        </c:ser>
        <c:ser>
          <c:idx val="11"/>
          <c:order val="11"/>
          <c:tx>
            <c:strRef>
              <c:f>'Bus 404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404 summary'!$C$30:$P$30</c15:sqref>
                  </c15:fullRef>
                </c:ext>
              </c:extLst>
              <c:f>'Bus 404 summary'!$C$30:$N$30</c:f>
            </c:numRef>
          </c:val>
          <c:extLst xmlns:c16r2="http://schemas.microsoft.com/office/drawing/2015/06/chart">
            <c:ext xmlns:c16="http://schemas.microsoft.com/office/drawing/2014/chart" uri="{C3380CC4-5D6E-409C-BE32-E72D297353CC}">
              <c16:uniqueId val="{0000000B-29AE-4381-A5F1-28CBD4C7B81E}"/>
            </c:ext>
          </c:extLst>
        </c:ser>
        <c:ser>
          <c:idx val="12"/>
          <c:order val="12"/>
          <c:tx>
            <c:strRef>
              <c:f>'Bus 404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404 summary'!$C$31:$P$31</c15:sqref>
                  </c15:fullRef>
                </c:ext>
              </c:extLst>
              <c:f>'Bus 404 summary'!$C$31:$N$31</c:f>
            </c:numRef>
          </c:val>
          <c:extLst xmlns:c16r2="http://schemas.microsoft.com/office/drawing/2015/06/chart">
            <c:ext xmlns:c16="http://schemas.microsoft.com/office/drawing/2014/chart" uri="{C3380CC4-5D6E-409C-BE32-E72D297353CC}">
              <c16:uniqueId val="{0000000C-29AE-4381-A5F1-28CBD4C7B81E}"/>
            </c:ext>
          </c:extLst>
        </c:ser>
        <c:ser>
          <c:idx val="13"/>
          <c:order val="13"/>
          <c:tx>
            <c:strRef>
              <c:f>'Bus 404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404 summary'!$C$32:$P$32</c15:sqref>
                  </c15:fullRef>
                </c:ext>
              </c:extLst>
              <c:f>'Bus 404 summary'!$C$32:$N$32</c:f>
              <c:numCache>
                <c:formatCode>#,##0.00</c:formatCode>
                <c:ptCount val="12"/>
              </c:numCache>
            </c:numRef>
          </c:val>
          <c:extLst xmlns:c16r2="http://schemas.microsoft.com/office/drawing/2015/06/chart">
            <c:ext xmlns:c16="http://schemas.microsoft.com/office/drawing/2014/chart" uri="{C3380CC4-5D6E-409C-BE32-E72D297353CC}">
              <c16:uniqueId val="{0000000D-29AE-4381-A5F1-28CBD4C7B81E}"/>
            </c:ext>
          </c:extLst>
        </c:ser>
        <c:ser>
          <c:idx val="14"/>
          <c:order val="14"/>
          <c:tx>
            <c:strRef>
              <c:f>'Bus 404 summary'!$B$33</c:f>
              <c:strCache>
                <c:ptCount val="1"/>
                <c:pt idx="0">
                  <c:v>WARRANTY</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404 summary'!$C$33:$P$33</c15:sqref>
                  </c15:fullRef>
                </c:ext>
              </c:extLst>
              <c:f>'Bus 404 summary'!$C$33:$N$33</c:f>
              <c:numCache>
                <c:formatCode>#,##0.00</c:formatCode>
                <c:ptCount val="12"/>
              </c:numCache>
            </c:numRef>
          </c:val>
          <c:extLst xmlns:c16r2="http://schemas.microsoft.com/office/drawing/2015/06/chart">
            <c:ext xmlns:c16="http://schemas.microsoft.com/office/drawing/2014/chart" uri="{C3380CC4-5D6E-409C-BE32-E72D297353CC}">
              <c16:uniqueId val="{0000000E-29AE-4381-A5F1-28CBD4C7B81E}"/>
            </c:ext>
          </c:extLst>
        </c:ser>
        <c:ser>
          <c:idx val="15"/>
          <c:order val="15"/>
          <c:tx>
            <c:strRef>
              <c:f>'Bus 404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404 summary'!$C$34:$P$34</c15:sqref>
                  </c15:fullRef>
                </c:ext>
              </c:extLst>
              <c:f>'Bus 404 summary'!$C$34:$N$34</c:f>
              <c:numCache>
                <c:formatCode>#,##0.00</c:formatCode>
                <c:ptCount val="12"/>
                <c:pt idx="7">
                  <c:v>115.94</c:v>
                </c:pt>
              </c:numCache>
            </c:numRef>
          </c:val>
          <c:extLst xmlns:c16r2="http://schemas.microsoft.com/office/drawing/2015/06/chart">
            <c:ext xmlns:c16="http://schemas.microsoft.com/office/drawing/2014/chart" uri="{C3380CC4-5D6E-409C-BE32-E72D297353CC}">
              <c16:uniqueId val="{0000000F-29AE-4381-A5F1-28CBD4C7B81E}"/>
            </c:ext>
          </c:extLst>
        </c:ser>
        <c:ser>
          <c:idx val="16"/>
          <c:order val="16"/>
          <c:tx>
            <c:strRef>
              <c:f>'Bus 404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404 summary'!$C$35:$P$35</c15:sqref>
                  </c15:fullRef>
                </c:ext>
              </c:extLst>
              <c:f>'Bus 404 summary'!$C$35:$N$35</c:f>
              <c:numCache>
                <c:formatCode>#,##0.00</c:formatCode>
                <c:ptCount val="12"/>
                <c:pt idx="7">
                  <c:v>12.06</c:v>
                </c:pt>
              </c:numCache>
            </c:numRef>
          </c:val>
          <c:extLst xmlns:c16r2="http://schemas.microsoft.com/office/drawing/2015/06/chart">
            <c:ext xmlns:c16="http://schemas.microsoft.com/office/drawing/2014/chart" uri="{C3380CC4-5D6E-409C-BE32-E72D297353CC}">
              <c16:uniqueId val="{00000010-29AE-4381-A5F1-28CBD4C7B81E}"/>
            </c:ext>
          </c:extLst>
        </c:ser>
        <c:ser>
          <c:idx val="17"/>
          <c:order val="17"/>
          <c:tx>
            <c:strRef>
              <c:f>'Bus 404 summary'!$B$36</c:f>
              <c:strCache>
                <c:ptCount val="1"/>
                <c:pt idx="0">
                  <c:v>OIL /OTHER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404 summary'!$C$36:$P$36</c15:sqref>
                  </c15:fullRef>
                </c:ext>
              </c:extLst>
              <c:f>'Bus 404 summary'!$C$36:$N$36</c:f>
              <c:numCache>
                <c:formatCode>#,##0.00</c:formatCode>
                <c:ptCount val="12"/>
              </c:numCache>
            </c:numRef>
          </c:val>
          <c:extLst xmlns:c16r2="http://schemas.microsoft.com/office/drawing/2015/06/chart">
            <c:ext xmlns:c16="http://schemas.microsoft.com/office/drawing/2014/chart" uri="{C3380CC4-5D6E-409C-BE32-E72D297353CC}">
              <c16:uniqueId val="{00000011-29AE-4381-A5F1-28CBD4C7B81E}"/>
            </c:ext>
          </c:extLst>
        </c:ser>
        <c:ser>
          <c:idx val="18"/>
          <c:order val="18"/>
          <c:tx>
            <c:strRef>
              <c:f>'Bus 404 summary'!$B$37</c:f>
              <c:strCache>
                <c:ptCount val="1"/>
                <c:pt idx="0">
                  <c:v>DEF&amp;LABOR</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404 summary'!$C$37:$P$37</c15:sqref>
                  </c15:fullRef>
                </c:ext>
              </c:extLst>
              <c:f>'Bus 404 summary'!$C$37:$N$37</c:f>
              <c:numCache>
                <c:formatCode>#,##0.00</c:formatCode>
                <c:ptCount val="12"/>
              </c:numCache>
            </c:numRef>
          </c:val>
          <c:extLst xmlns:c16r2="http://schemas.microsoft.com/office/drawing/2015/06/chart">
            <c:ext xmlns:c16="http://schemas.microsoft.com/office/drawing/2014/chart" uri="{C3380CC4-5D6E-409C-BE32-E72D297353CC}">
              <c16:uniqueId val="{00000012-29AE-4381-A5F1-28CBD4C7B81E}"/>
            </c:ext>
          </c:extLst>
        </c:ser>
        <c:ser>
          <c:idx val="19"/>
          <c:order val="19"/>
          <c:tx>
            <c:strRef>
              <c:f>'Bus 404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404 summary'!$C$38:$P$38</c15:sqref>
                  </c15:fullRef>
                </c:ext>
              </c:extLst>
              <c:f>'Bus 404 summary'!$C$38:$N$38</c:f>
              <c:numCache>
                <c:formatCode>#,##0.00</c:formatCode>
                <c:ptCount val="12"/>
                <c:pt idx="7">
                  <c:v>50</c:v>
                </c:pt>
                <c:pt idx="8">
                  <c:v>10</c:v>
                </c:pt>
              </c:numCache>
            </c:numRef>
          </c:val>
          <c:extLst xmlns:c16r2="http://schemas.microsoft.com/office/drawing/2015/06/chart">
            <c:ext xmlns:c16="http://schemas.microsoft.com/office/drawing/2014/chart" uri="{C3380CC4-5D6E-409C-BE32-E72D297353CC}">
              <c16:uniqueId val="{00000013-29AE-4381-A5F1-28CBD4C7B81E}"/>
            </c:ext>
          </c:extLst>
        </c:ser>
        <c:ser>
          <c:idx val="20"/>
          <c:order val="20"/>
          <c:tx>
            <c:strRef>
              <c:f>'Bus 404 summary'!$B$39</c:f>
              <c:strCache>
                <c:ptCount val="1"/>
                <c:pt idx="0">
                  <c:v>OTHER PARTS</c:v>
                </c:pt>
              </c:strCache>
            </c:strRef>
          </c:tx>
          <c:spPr>
            <a:solidFill>
              <a:schemeClr val="accent3">
                <a:lumMod val="8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404 summary'!$C$39:$P$39</c15:sqref>
                  </c15:fullRef>
                </c:ext>
              </c:extLst>
              <c:f>'Bus 404 summary'!$C$39:$N$39</c:f>
              <c:numCache>
                <c:formatCode>#,##0.00</c:formatCode>
                <c:ptCount val="12"/>
                <c:pt idx="1">
                  <c:v>81.89</c:v>
                </c:pt>
                <c:pt idx="2">
                  <c:v>80</c:v>
                </c:pt>
                <c:pt idx="3">
                  <c:v>30</c:v>
                </c:pt>
                <c:pt idx="4">
                  <c:v>9.1</c:v>
                </c:pt>
                <c:pt idx="7">
                  <c:v>75.31</c:v>
                </c:pt>
                <c:pt idx="8">
                  <c:v>15.15</c:v>
                </c:pt>
              </c:numCache>
            </c:numRef>
          </c:val>
          <c:extLst xmlns:c16r2="http://schemas.microsoft.com/office/drawing/2015/06/chart">
            <c:ext xmlns:c16="http://schemas.microsoft.com/office/drawing/2014/chart" uri="{C3380CC4-5D6E-409C-BE32-E72D297353CC}">
              <c16:uniqueId val="{00000014-29AE-4381-A5F1-28CBD4C7B81E}"/>
            </c:ext>
          </c:extLst>
        </c:ser>
        <c:dLbls>
          <c:showLegendKey val="0"/>
          <c:showVal val="0"/>
          <c:showCatName val="0"/>
          <c:showSerName val="0"/>
          <c:showPercent val="0"/>
          <c:showBubbleSize val="0"/>
        </c:dLbls>
        <c:gapWidth val="150"/>
        <c:axId val="698419840"/>
        <c:axId val="698420232"/>
      </c:barChart>
      <c:catAx>
        <c:axId val="698419840"/>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98420232"/>
        <c:crosses val="autoZero"/>
        <c:auto val="1"/>
        <c:lblAlgn val="ctr"/>
        <c:lblOffset val="100"/>
        <c:noMultiLvlLbl val="0"/>
      </c:catAx>
      <c:valAx>
        <c:axId val="698420232"/>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98419840"/>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166148168808599"/>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'404 Chart'!$C$4:$C$5</c:f>
              <c:strCache>
                <c:ptCount val="2"/>
                <c:pt idx="0">
                  <c:v>Projected Cost-Current Maintenance Practices, $109,252  </c:v>
                </c:pt>
              </c:strCache>
            </c:strRef>
          </c:tx>
          <c:spPr>
            <a:ln w="22225" cap="rnd">
              <a:solidFill>
                <a:schemeClr val="accent1"/>
              </a:solidFill>
            </a:ln>
            <a:effectLst>
              <a:glow rad="139700">
                <a:schemeClr val="accent1">
                  <a:satMod val="175000"/>
                  <a:alpha val="14000"/>
                </a:schemeClr>
              </a:glow>
            </a:effectLst>
          </c:spPr>
          <c:marker>
            <c:symbol val="none"/>
          </c:marker>
          <c:cat>
            <c:numRef>
              <c:f>'404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'404 Chart'!$C$6:$C$17</c:f>
              <c:numCache>
                <c:formatCode>_("$"* #,##0_);_("$"* \(#,##0\);_("$"* "-"??_);_(@_)</c:formatCode>
                <c:ptCount val="12"/>
                <c:pt idx="0">
                  <c:v>4913</c:v>
                </c:pt>
                <c:pt idx="1">
                  <c:v>4913</c:v>
                </c:pt>
                <c:pt idx="2">
                  <c:v>4913</c:v>
                </c:pt>
                <c:pt idx="3">
                  <c:v>4913</c:v>
                </c:pt>
                <c:pt idx="4">
                  <c:v>17239.669999999998</c:v>
                </c:pt>
                <c:pt idx="5">
                  <c:v>4913</c:v>
                </c:pt>
                <c:pt idx="6">
                  <c:v>4913</c:v>
                </c:pt>
                <c:pt idx="7">
                  <c:v>4913</c:v>
                </c:pt>
                <c:pt idx="8">
                  <c:v>4913</c:v>
                </c:pt>
                <c:pt idx="9">
                  <c:v>4913</c:v>
                </c:pt>
                <c:pt idx="10">
                  <c:v>4913</c:v>
                </c:pt>
                <c:pt idx="11">
                  <c:v>4913</c:v>
                </c:pt>
              </c:numCache>
            </c:numRef>
          </c:val>
          <c:smooth val="0"/>
          <c:extLst xmlns:c16r2="http://schemas.microsoft.com/office/drawing/2015/06/chart">
            <c:ext xmlns:c16="http://schemas.microsoft.com/office/drawing/2014/chart" uri="{C3380CC4-5D6E-409C-BE32-E72D297353CC}">
              <c16:uniqueId val="{00000000-BBDB-4BAF-8A65-51FEB36B0ED3}"/>
            </c:ext>
          </c:extLst>
        </c:ser>
        <c:ser>
          <c:idx val="1"/>
          <c:order val="1"/>
          <c:tx>
            <c:strRef>
              <c:f>'404 Chart'!$D$4:$D$5</c:f>
              <c:strCache>
                <c:ptCount val="2"/>
                <c:pt idx="0">
                  <c:v>Projected Cost Alternate Maintenance Practices, $253,816</c:v>
                </c:pt>
              </c:strCache>
            </c:strRef>
          </c:tx>
          <c:spPr>
            <a:ln w="22225" cap="rnd">
              <a:solidFill>
                <a:schemeClr val="accent2"/>
              </a:solidFill>
            </a:ln>
            <a:effectLst>
              <a:glow rad="139700">
                <a:schemeClr val="accent2">
                  <a:satMod val="175000"/>
                  <a:alpha val="14000"/>
                </a:schemeClr>
              </a:glow>
            </a:effectLst>
          </c:spPr>
          <c:marker>
            <c:symbol val="none"/>
          </c:marker>
          <c:cat>
            <c:numRef>
              <c:f>'404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'404 Chart'!$D$6:$D$17</c:f>
              <c:numCache>
                <c:formatCode>_("$"* #,##0_);_("$"* \(#,##0\);_("$"* "-"??_);_(@_)</c:formatCode>
                <c:ptCount val="12"/>
                <c:pt idx="0">
                  <c:v>2827</c:v>
                </c:pt>
                <c:pt idx="1">
                  <c:v>2499</c:v>
                </c:pt>
                <c:pt idx="2">
                  <c:v>3530.5</c:v>
                </c:pt>
                <c:pt idx="3">
                  <c:v>125</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BBDB-4BAF-8A65-51FEB36B0ED3}"/>
            </c:ext>
          </c:extLst>
        </c:ser>
        <c:dLbls>
          <c:showLegendKey val="0"/>
          <c:showVal val="0"/>
          <c:showCatName val="0"/>
          <c:showSerName val="0"/>
          <c:showPercent val="0"/>
          <c:showBubbleSize val="0"/>
        </c:dLbls>
        <c:smooth val="0"/>
        <c:axId val="698421016"/>
        <c:axId val="698421408"/>
      </c:lineChart>
      <c:catAx>
        <c:axId val="698421016"/>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98421408"/>
        <c:crosses val="autoZero"/>
        <c:auto val="1"/>
        <c:lblAlgn val="ctr"/>
        <c:lblOffset val="100"/>
        <c:tickLblSkip val="1"/>
        <c:tickMarkSkip val="1"/>
        <c:noMultiLvlLbl val="0"/>
      </c:catAx>
      <c:valAx>
        <c:axId val="69842140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9842101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alignWithMargins="0"/>
    <c:pageMargins b="1" l="0.75" r="0.75"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501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'Bus 501 summary'!$C$18:$P$18</c15:sqref>
                  </c15:fullRef>
                </c:ext>
              </c:extLst>
              <c:f>'Bus 501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501 summary'!$C$19:$P$19</c15:sqref>
                  </c15:fullRef>
                </c:ext>
              </c:extLst>
              <c:f>'Bus 501 summary'!$C$19:$N$19</c:f>
              <c:numCache>
                <c:formatCode>#,##0.00</c:formatCode>
                <c:ptCount val="12"/>
              </c:numCache>
            </c:numRef>
          </c:val>
          <c:extLst xmlns:c16r2="http://schemas.microsoft.com/office/drawing/2015/06/chart">
            <c:ext xmlns:c16="http://schemas.microsoft.com/office/drawing/2014/chart" uri="{C3380CC4-5D6E-409C-BE32-E72D297353CC}">
              <c16:uniqueId val="{00000000-AF56-41D6-A3B7-F358D250ED15}"/>
            </c:ext>
          </c:extLst>
        </c:ser>
        <c:ser>
          <c:idx val="1"/>
          <c:order val="1"/>
          <c:tx>
            <c:strRef>
              <c:f>'Bus 501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'Bus 501 summary'!$C$18:$P$18</c15:sqref>
                  </c15:fullRef>
                </c:ext>
              </c:extLst>
              <c:f>'Bus 501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501 summary'!$C$20:$P$20</c15:sqref>
                  </c15:fullRef>
                </c:ext>
              </c:extLst>
              <c:f>'Bus 501 summary'!$C$20:$N$20</c:f>
              <c:numCache>
                <c:formatCode>#,##0.00</c:formatCode>
                <c:ptCount val="12"/>
              </c:numCache>
            </c:numRef>
          </c:val>
          <c:extLst xmlns:c16r2="http://schemas.microsoft.com/office/drawing/2015/06/chart">
            <c:ext xmlns:c16="http://schemas.microsoft.com/office/drawing/2014/chart" uri="{C3380CC4-5D6E-409C-BE32-E72D297353CC}">
              <c16:uniqueId val="{00000001-AF56-41D6-A3B7-F358D250ED15}"/>
            </c:ext>
          </c:extLst>
        </c:ser>
        <c:ser>
          <c:idx val="2"/>
          <c:order val="2"/>
          <c:tx>
            <c:strRef>
              <c:f>'Bus 501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'Bus 501 summary'!$C$18:$P$18</c15:sqref>
                  </c15:fullRef>
                </c:ext>
              </c:extLst>
              <c:f>'Bus 501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501 summary'!$C$21:$P$21</c15:sqref>
                  </c15:fullRef>
                </c:ext>
              </c:extLst>
              <c:f>'Bus 501 summary'!$C$21:$N$21</c:f>
              <c:numCache>
                <c:formatCode>#,##0.00</c:formatCode>
                <c:ptCount val="12"/>
              </c:numCache>
            </c:numRef>
          </c:val>
          <c:extLst xmlns:c16r2="http://schemas.microsoft.com/office/drawing/2015/06/chart">
            <c:ext xmlns:c16="http://schemas.microsoft.com/office/drawing/2014/chart" uri="{C3380CC4-5D6E-409C-BE32-E72D297353CC}">
              <c16:uniqueId val="{00000002-AF56-41D6-A3B7-F358D250ED15}"/>
            </c:ext>
          </c:extLst>
        </c:ser>
        <c:ser>
          <c:idx val="3"/>
          <c:order val="3"/>
          <c:tx>
            <c:strRef>
              <c:f>'Bus 501 summary'!$B$22</c:f>
              <c:strCache>
                <c:ptCount val="1"/>
                <c:pt idx="0">
                  <c:v>CALIPERS</c:v>
                </c:pt>
              </c:strCache>
            </c:strRef>
          </c:tx>
          <c:spPr>
            <a:solidFill>
              <a:schemeClr val="accent4"/>
            </a:solidFill>
            <a:ln>
              <a:noFill/>
            </a:ln>
            <a:effectLst/>
          </c:spPr>
          <c:invertIfNegative val="0"/>
          <c:cat>
            <c:strRef>
              <c:extLst>
                <c:ext xmlns:c15="http://schemas.microsoft.com/office/drawing/2012/chart" uri="{02D57815-91ED-43cb-92C2-25804820EDAC}">
                  <c15:fullRef>
                    <c15:sqref>'Bus 501 summary'!$C$18:$P$18</c15:sqref>
                  </c15:fullRef>
                </c:ext>
              </c:extLst>
              <c:f>'Bus 501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501 summary'!$C$22:$P$22</c15:sqref>
                  </c15:fullRef>
                </c:ext>
              </c:extLst>
              <c:f>'Bus 501 summary'!$C$22:$N$22</c:f>
              <c:numCache>
                <c:formatCode>#,##0.00</c:formatCode>
                <c:ptCount val="12"/>
              </c:numCache>
            </c:numRef>
          </c:val>
          <c:extLst xmlns:c16r2="http://schemas.microsoft.com/office/drawing/2015/06/chart">
            <c:ext xmlns:c16="http://schemas.microsoft.com/office/drawing/2014/chart" uri="{C3380CC4-5D6E-409C-BE32-E72D297353CC}">
              <c16:uniqueId val="{00000003-AF56-41D6-A3B7-F358D250ED15}"/>
            </c:ext>
          </c:extLst>
        </c:ser>
        <c:ser>
          <c:idx val="4"/>
          <c:order val="4"/>
          <c:tx>
            <c:strRef>
              <c:f>'Bus 501 summary'!$B$23</c:f>
              <c:strCache>
                <c:ptCount val="1"/>
                <c:pt idx="0">
                  <c:v>STARTERS</c:v>
                </c:pt>
              </c:strCache>
            </c:strRef>
          </c:tx>
          <c:spPr>
            <a:solidFill>
              <a:schemeClr val="accent5"/>
            </a:solidFill>
            <a:ln>
              <a:noFill/>
            </a:ln>
            <a:effectLst/>
          </c:spPr>
          <c:invertIfNegative val="0"/>
          <c:cat>
            <c:strRef>
              <c:extLst>
                <c:ext xmlns:c15="http://schemas.microsoft.com/office/drawing/2012/chart" uri="{02D57815-91ED-43cb-92C2-25804820EDAC}">
                  <c15:fullRef>
                    <c15:sqref>'Bus 501 summary'!$C$18:$P$18</c15:sqref>
                  </c15:fullRef>
                </c:ext>
              </c:extLst>
              <c:f>'Bus 501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501 summary'!$C$23:$P$23</c15:sqref>
                  </c15:fullRef>
                </c:ext>
              </c:extLst>
              <c:f>'Bus 501 summary'!$C$23:$N$23</c:f>
              <c:numCache>
                <c:formatCode>#,##0.00</c:formatCode>
                <c:ptCount val="12"/>
              </c:numCache>
            </c:numRef>
          </c:val>
          <c:extLst xmlns:c16r2="http://schemas.microsoft.com/office/drawing/2015/06/chart">
            <c:ext xmlns:c16="http://schemas.microsoft.com/office/drawing/2014/chart" uri="{C3380CC4-5D6E-409C-BE32-E72D297353CC}">
              <c16:uniqueId val="{00000004-AF56-41D6-A3B7-F358D250ED15}"/>
            </c:ext>
          </c:extLst>
        </c:ser>
        <c:ser>
          <c:idx val="5"/>
          <c:order val="5"/>
          <c:tx>
            <c:strRef>
              <c:f>'Bus 501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'Bus 501 summary'!$C$18:$P$18</c15:sqref>
                  </c15:fullRef>
                </c:ext>
              </c:extLst>
              <c:f>'Bus 501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501 summary'!$C$24:$P$24</c15:sqref>
                  </c15:fullRef>
                </c:ext>
              </c:extLst>
              <c:f>'Bus 501 summary'!$C$24:$N$24</c:f>
              <c:numCache>
                <c:formatCode>#,##0.00</c:formatCode>
                <c:ptCount val="12"/>
              </c:numCache>
            </c:numRef>
          </c:val>
          <c:extLst xmlns:c16r2="http://schemas.microsoft.com/office/drawing/2015/06/chart">
            <c:ext xmlns:c16="http://schemas.microsoft.com/office/drawing/2014/chart" uri="{C3380CC4-5D6E-409C-BE32-E72D297353CC}">
              <c16:uniqueId val="{00000005-AF56-41D6-A3B7-F358D250ED15}"/>
            </c:ext>
          </c:extLst>
        </c:ser>
        <c:ser>
          <c:idx val="6"/>
          <c:order val="6"/>
          <c:tx>
            <c:strRef>
              <c:f>'Bus 501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'Bus 501 summary'!$C$18:$P$18</c15:sqref>
                  </c15:fullRef>
                </c:ext>
              </c:extLst>
              <c:f>'Bus 501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501 summary'!$C$25:$P$25</c15:sqref>
                  </c15:fullRef>
                </c:ext>
              </c:extLst>
              <c:f>'Bus 501 summary'!$C$25:$N$25</c:f>
              <c:numCache>
                <c:formatCode>#,##0.00</c:formatCode>
                <c:ptCount val="12"/>
              </c:numCache>
            </c:numRef>
          </c:val>
          <c:extLst xmlns:c16r2="http://schemas.microsoft.com/office/drawing/2015/06/chart">
            <c:ext xmlns:c16="http://schemas.microsoft.com/office/drawing/2014/chart" uri="{C3380CC4-5D6E-409C-BE32-E72D297353CC}">
              <c16:uniqueId val="{00000006-AF56-41D6-A3B7-F358D250ED15}"/>
            </c:ext>
          </c:extLst>
        </c:ser>
        <c:ser>
          <c:idx val="7"/>
          <c:order val="7"/>
          <c:tx>
            <c:strRef>
              <c:f>'Bus 501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'Bus 501 summary'!$C$18:$P$18</c15:sqref>
                  </c15:fullRef>
                </c:ext>
              </c:extLst>
              <c:f>'Bus 501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501 summary'!$C$26:$P$26</c15:sqref>
                  </c15:fullRef>
                </c:ext>
              </c:extLst>
              <c:f>'Bus 501 summary'!$C$26:$N$26</c:f>
              <c:numCache>
                <c:formatCode>#,##0.00</c:formatCode>
                <c:ptCount val="12"/>
              </c:numCache>
            </c:numRef>
          </c:val>
          <c:extLst xmlns:c16r2="http://schemas.microsoft.com/office/drawing/2015/06/chart">
            <c:ext xmlns:c16="http://schemas.microsoft.com/office/drawing/2014/chart" uri="{C3380CC4-5D6E-409C-BE32-E72D297353CC}">
              <c16:uniqueId val="{00000007-AF56-41D6-A3B7-F358D250ED15}"/>
            </c:ext>
          </c:extLst>
        </c:ser>
        <c:ser>
          <c:idx val="8"/>
          <c:order val="8"/>
          <c:tx>
            <c:strRef>
              <c:f>'Bus 501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'Bus 501 summary'!$C$18:$P$18</c15:sqref>
                  </c15:fullRef>
                </c:ext>
              </c:extLst>
              <c:f>'Bus 501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501 summary'!$C$27:$P$27</c15:sqref>
                  </c15:fullRef>
                </c:ext>
              </c:extLst>
              <c:f>'Bus 501 summary'!$C$27:$N$27</c:f>
              <c:numCache>
                <c:formatCode>#,##0.00</c:formatCode>
                <c:ptCount val="12"/>
              </c:numCache>
            </c:numRef>
          </c:val>
          <c:extLst xmlns:c16r2="http://schemas.microsoft.com/office/drawing/2015/06/chart">
            <c:ext xmlns:c16="http://schemas.microsoft.com/office/drawing/2014/chart" uri="{C3380CC4-5D6E-409C-BE32-E72D297353CC}">
              <c16:uniqueId val="{00000008-AF56-41D6-A3B7-F358D250ED15}"/>
            </c:ext>
          </c:extLst>
        </c:ser>
        <c:ser>
          <c:idx val="9"/>
          <c:order val="9"/>
          <c:tx>
            <c:strRef>
              <c:f>'Bus 404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404 summary'!$C$28:$P$28</c15:sqref>
                  </c15:fullRef>
                </c:ext>
              </c:extLst>
              <c:f>'Bus 404 summary'!$C$28:$N$28</c:f>
            </c:numRef>
          </c:val>
          <c:extLst xmlns:c16r2="http://schemas.microsoft.com/office/drawing/2015/06/chart">
            <c:ext xmlns:c16="http://schemas.microsoft.com/office/drawing/2014/chart" uri="{C3380CC4-5D6E-409C-BE32-E72D297353CC}">
              <c16:uniqueId val="{00000009-AF56-41D6-A3B7-F358D250ED15}"/>
            </c:ext>
          </c:extLst>
        </c:ser>
        <c:ser>
          <c:idx val="10"/>
          <c:order val="10"/>
          <c:tx>
            <c:strRef>
              <c:f>'Bus 404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404 summary'!$C$29:$P$29</c15:sqref>
                  </c15:fullRef>
                </c:ext>
              </c:extLst>
              <c:f>'Bus 404 summary'!$C$29:$N$29</c:f>
            </c:numRef>
          </c:val>
          <c:extLst xmlns:c16r2="http://schemas.microsoft.com/office/drawing/2015/06/chart">
            <c:ext xmlns:c16="http://schemas.microsoft.com/office/drawing/2014/chart" uri="{C3380CC4-5D6E-409C-BE32-E72D297353CC}">
              <c16:uniqueId val="{0000000A-AF56-41D6-A3B7-F358D250ED15}"/>
            </c:ext>
          </c:extLst>
        </c:ser>
        <c:ser>
          <c:idx val="11"/>
          <c:order val="11"/>
          <c:tx>
            <c:strRef>
              <c:f>'Bus 404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404 summary'!$C$30:$P$30</c15:sqref>
                  </c15:fullRef>
                </c:ext>
              </c:extLst>
              <c:f>'Bus 404 summary'!$C$30:$N$30</c:f>
            </c:numRef>
          </c:val>
          <c:extLst xmlns:c16r2="http://schemas.microsoft.com/office/drawing/2015/06/chart">
            <c:ext xmlns:c16="http://schemas.microsoft.com/office/drawing/2014/chart" uri="{C3380CC4-5D6E-409C-BE32-E72D297353CC}">
              <c16:uniqueId val="{0000000B-AF56-41D6-A3B7-F358D250ED15}"/>
            </c:ext>
          </c:extLst>
        </c:ser>
        <c:ser>
          <c:idx val="12"/>
          <c:order val="12"/>
          <c:tx>
            <c:strRef>
              <c:f>'Bus 404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404 summary'!$C$31:$P$31</c15:sqref>
                  </c15:fullRef>
                </c:ext>
              </c:extLst>
              <c:f>'Bus 404 summary'!$C$31:$N$31</c:f>
            </c:numRef>
          </c:val>
          <c:extLst xmlns:c16r2="http://schemas.microsoft.com/office/drawing/2015/06/chart">
            <c:ext xmlns:c16="http://schemas.microsoft.com/office/drawing/2014/chart" uri="{C3380CC4-5D6E-409C-BE32-E72D297353CC}">
              <c16:uniqueId val="{0000000C-AF56-41D6-A3B7-F358D250ED15}"/>
            </c:ext>
          </c:extLst>
        </c:ser>
        <c:ser>
          <c:idx val="13"/>
          <c:order val="13"/>
          <c:tx>
            <c:strRef>
              <c:f>'Bus 501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'Bus 501 summary'!$C$18:$P$18</c15:sqref>
                  </c15:fullRef>
                </c:ext>
              </c:extLst>
              <c:f>'Bus 501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501 summary'!$C$32:$P$32</c15:sqref>
                  </c15:fullRef>
                </c:ext>
              </c:extLst>
              <c:f>'Bus 501 summary'!$C$32:$N$32</c:f>
              <c:numCache>
                <c:formatCode>#,##0.00</c:formatCode>
                <c:ptCount val="12"/>
              </c:numCache>
            </c:numRef>
          </c:val>
          <c:extLst xmlns:c16r2="http://schemas.microsoft.com/office/drawing/2015/06/chart">
            <c:ext xmlns:c16="http://schemas.microsoft.com/office/drawing/2014/chart" uri="{C3380CC4-5D6E-409C-BE32-E72D297353CC}">
              <c16:uniqueId val="{0000000D-AF56-41D6-A3B7-F358D250ED15}"/>
            </c:ext>
          </c:extLst>
        </c:ser>
        <c:ser>
          <c:idx val="14"/>
          <c:order val="14"/>
          <c:tx>
            <c:strRef>
              <c:f>'Bus 501 summary'!$B$33</c:f>
              <c:strCache>
                <c:ptCount val="1"/>
                <c:pt idx="0">
                  <c:v>WARRANTY</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'Bus 501 summary'!$C$18:$P$18</c15:sqref>
                  </c15:fullRef>
                </c:ext>
              </c:extLst>
              <c:f>'Bus 501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501 summary'!$C$33:$P$33</c15:sqref>
                  </c15:fullRef>
                </c:ext>
              </c:extLst>
              <c:f>'Bus 501 summary'!$C$33:$N$33</c:f>
              <c:numCache>
                <c:formatCode>#,##0.00</c:formatCode>
                <c:ptCount val="12"/>
              </c:numCache>
            </c:numRef>
          </c:val>
          <c:extLst xmlns:c16r2="http://schemas.microsoft.com/office/drawing/2015/06/chart">
            <c:ext xmlns:c16="http://schemas.microsoft.com/office/drawing/2014/chart" uri="{C3380CC4-5D6E-409C-BE32-E72D297353CC}">
              <c16:uniqueId val="{0000000E-AF56-41D6-A3B7-F358D250ED15}"/>
            </c:ext>
          </c:extLst>
        </c:ser>
        <c:ser>
          <c:idx val="15"/>
          <c:order val="15"/>
          <c:tx>
            <c:strRef>
              <c:f>'Bus 501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'Bus 501 summary'!$C$18:$P$18</c15:sqref>
                  </c15:fullRef>
                </c:ext>
              </c:extLst>
              <c:f>'Bus 501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501 summary'!$C$34:$P$34</c15:sqref>
                  </c15:fullRef>
                </c:ext>
              </c:extLst>
              <c:f>'Bus 501 summary'!$C$34:$N$34</c:f>
              <c:numCache>
                <c:formatCode>#,##0.00</c:formatCode>
                <c:ptCount val="12"/>
              </c:numCache>
            </c:numRef>
          </c:val>
          <c:extLst xmlns:c16r2="http://schemas.microsoft.com/office/drawing/2015/06/chart">
            <c:ext xmlns:c16="http://schemas.microsoft.com/office/drawing/2014/chart" uri="{C3380CC4-5D6E-409C-BE32-E72D297353CC}">
              <c16:uniqueId val="{0000000F-AF56-41D6-A3B7-F358D250ED15}"/>
            </c:ext>
          </c:extLst>
        </c:ser>
        <c:ser>
          <c:idx val="16"/>
          <c:order val="16"/>
          <c:tx>
            <c:strRef>
              <c:f>'Bus 501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'Bus 501 summary'!$C$18:$P$18</c15:sqref>
                  </c15:fullRef>
                </c:ext>
              </c:extLst>
              <c:f>'Bus 501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501 summary'!$C$35:$P$35</c15:sqref>
                  </c15:fullRef>
                </c:ext>
              </c:extLst>
              <c:f>'Bus 501 summary'!$C$35:$N$35</c:f>
              <c:numCache>
                <c:formatCode>#,##0.00</c:formatCode>
                <c:ptCount val="12"/>
              </c:numCache>
            </c:numRef>
          </c:val>
          <c:extLst xmlns:c16r2="http://schemas.microsoft.com/office/drawing/2015/06/chart">
            <c:ext xmlns:c16="http://schemas.microsoft.com/office/drawing/2014/chart" uri="{C3380CC4-5D6E-409C-BE32-E72D297353CC}">
              <c16:uniqueId val="{00000010-AF56-41D6-A3B7-F358D250ED15}"/>
            </c:ext>
          </c:extLst>
        </c:ser>
        <c:ser>
          <c:idx val="17"/>
          <c:order val="17"/>
          <c:tx>
            <c:strRef>
              <c:f>'Bus 501 summary'!$B$36</c:f>
              <c:strCache>
                <c:ptCount val="1"/>
                <c:pt idx="0">
                  <c:v>OIL /OTHER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'Bus 501 summary'!$C$18:$P$18</c15:sqref>
                  </c15:fullRef>
                </c:ext>
              </c:extLst>
              <c:f>'Bus 501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501 summary'!$C$36:$P$36</c15:sqref>
                  </c15:fullRef>
                </c:ext>
              </c:extLst>
              <c:f>'Bus 501 summary'!$C$36:$N$36</c:f>
              <c:numCache>
                <c:formatCode>#,##0.00</c:formatCode>
                <c:ptCount val="12"/>
              </c:numCache>
            </c:numRef>
          </c:val>
          <c:extLst xmlns:c16r2="http://schemas.microsoft.com/office/drawing/2015/06/chart">
            <c:ext xmlns:c16="http://schemas.microsoft.com/office/drawing/2014/chart" uri="{C3380CC4-5D6E-409C-BE32-E72D297353CC}">
              <c16:uniqueId val="{00000011-AF56-41D6-A3B7-F358D250ED15}"/>
            </c:ext>
          </c:extLst>
        </c:ser>
        <c:ser>
          <c:idx val="18"/>
          <c:order val="18"/>
          <c:tx>
            <c:strRef>
              <c:f>'Bus 501 summary'!$B$37</c:f>
              <c:strCache>
                <c:ptCount val="1"/>
                <c:pt idx="0">
                  <c:v>DEF&amp;LABOR</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'Bus 501 summary'!$C$18:$P$18</c15:sqref>
                  </c15:fullRef>
                </c:ext>
              </c:extLst>
              <c:f>'Bus 501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501 summary'!$C$37:$P$37</c15:sqref>
                  </c15:fullRef>
                </c:ext>
              </c:extLst>
              <c:f>'Bus 501 summary'!$C$37:$N$37</c:f>
              <c:numCache>
                <c:formatCode>#,##0.00</c:formatCode>
                <c:ptCount val="12"/>
              </c:numCache>
            </c:numRef>
          </c:val>
          <c:extLst xmlns:c16r2="http://schemas.microsoft.com/office/drawing/2015/06/chart">
            <c:ext xmlns:c16="http://schemas.microsoft.com/office/drawing/2014/chart" uri="{C3380CC4-5D6E-409C-BE32-E72D297353CC}">
              <c16:uniqueId val="{00000012-AF56-41D6-A3B7-F358D250ED15}"/>
            </c:ext>
          </c:extLst>
        </c:ser>
        <c:ser>
          <c:idx val="19"/>
          <c:order val="19"/>
          <c:tx>
            <c:strRef>
              <c:f>'Bus 501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'Bus 501 summary'!$C$18:$P$18</c15:sqref>
                  </c15:fullRef>
                </c:ext>
              </c:extLst>
              <c:f>'Bus 501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501 summary'!$C$38:$P$38</c15:sqref>
                  </c15:fullRef>
                </c:ext>
              </c:extLst>
              <c:f>'Bus 501 summary'!$C$38:$N$38</c:f>
              <c:numCache>
                <c:formatCode>#,##0.00</c:formatCode>
                <c:ptCount val="12"/>
              </c:numCache>
            </c:numRef>
          </c:val>
          <c:extLst xmlns:c16r2="http://schemas.microsoft.com/office/drawing/2015/06/chart">
            <c:ext xmlns:c16="http://schemas.microsoft.com/office/drawing/2014/chart" uri="{C3380CC4-5D6E-409C-BE32-E72D297353CC}">
              <c16:uniqueId val="{00000013-AF56-41D6-A3B7-F358D250ED15}"/>
            </c:ext>
          </c:extLst>
        </c:ser>
        <c:ser>
          <c:idx val="20"/>
          <c:order val="20"/>
          <c:tx>
            <c:strRef>
              <c:f>'Bus 501 summary'!$B$39</c:f>
              <c:strCache>
                <c:ptCount val="1"/>
                <c:pt idx="0">
                  <c:v>OTHER PARTS</c:v>
                </c:pt>
              </c:strCache>
            </c:strRef>
          </c:tx>
          <c:spPr>
            <a:solidFill>
              <a:schemeClr val="accent3">
                <a:lumMod val="80000"/>
              </a:schemeClr>
            </a:solidFill>
            <a:ln>
              <a:noFill/>
            </a:ln>
            <a:effectLst/>
          </c:spPr>
          <c:invertIfNegative val="0"/>
          <c:cat>
            <c:strRef>
              <c:extLst>
                <c:ext xmlns:c15="http://schemas.microsoft.com/office/drawing/2012/chart" uri="{02D57815-91ED-43cb-92C2-25804820EDAC}">
                  <c15:fullRef>
                    <c15:sqref>'Bus 501 summary'!$C$18:$P$18</c15:sqref>
                  </c15:fullRef>
                </c:ext>
              </c:extLst>
              <c:f>'Bus 501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501 summary'!$C$39:$P$39</c15:sqref>
                  </c15:fullRef>
                </c:ext>
              </c:extLst>
              <c:f>'Bus 501 summary'!$C$39:$N$39</c:f>
              <c:numCache>
                <c:formatCode>#,##0.00</c:formatCode>
                <c:ptCount val="12"/>
              </c:numCache>
            </c:numRef>
          </c:val>
          <c:extLst xmlns:c16r2="http://schemas.microsoft.com/office/drawing/2015/06/chart">
            <c:ext xmlns:c16="http://schemas.microsoft.com/office/drawing/2014/chart" uri="{C3380CC4-5D6E-409C-BE32-E72D297353CC}">
              <c16:uniqueId val="{00000014-AF56-41D6-A3B7-F358D250ED15}"/>
            </c:ext>
          </c:extLst>
        </c:ser>
        <c:dLbls>
          <c:showLegendKey val="0"/>
          <c:showVal val="0"/>
          <c:showCatName val="0"/>
          <c:showSerName val="0"/>
          <c:showPercent val="0"/>
          <c:showBubbleSize val="0"/>
        </c:dLbls>
        <c:gapWidth val="150"/>
        <c:axId val="698465912"/>
        <c:axId val="698466304"/>
      </c:barChart>
      <c:catAx>
        <c:axId val="698465912"/>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98466304"/>
        <c:crosses val="autoZero"/>
        <c:auto val="1"/>
        <c:lblAlgn val="ctr"/>
        <c:lblOffset val="100"/>
        <c:noMultiLvlLbl val="0"/>
      </c:catAx>
      <c:valAx>
        <c:axId val="698466304"/>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98465912"/>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166148168808599"/>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'501 Chart'!$C$4:$C$5</c:f>
              <c:strCache>
                <c:ptCount val="2"/>
                <c:pt idx="0">
                  <c:v>Projected Cost-Current Maintenance Practices, $109,252  </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'501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'501 Chart'!$C$6:$C$17</c:f>
              <c:numCache>
                <c:formatCode>_("$"* #,##0_);_("$"* \(#,##0\);_("$"* "-"??_);_(@_)</c:formatCode>
                <c:ptCount val="12"/>
                <c:pt idx="0">
                  <c:v>4913</c:v>
                </c:pt>
                <c:pt idx="1">
                  <c:v>4913</c:v>
                </c:pt>
                <c:pt idx="2">
                  <c:v>4913</c:v>
                </c:pt>
                <c:pt idx="3">
                  <c:v>4913</c:v>
                </c:pt>
                <c:pt idx="4">
                  <c:v>17239.669999999998</c:v>
                </c:pt>
                <c:pt idx="5">
                  <c:v>4913</c:v>
                </c:pt>
                <c:pt idx="6">
                  <c:v>4913</c:v>
                </c:pt>
                <c:pt idx="7">
                  <c:v>4913</c:v>
                </c:pt>
                <c:pt idx="8">
                  <c:v>4913</c:v>
                </c:pt>
                <c:pt idx="9">
                  <c:v>4913</c:v>
                </c:pt>
                <c:pt idx="10">
                  <c:v>4913</c:v>
                </c:pt>
                <c:pt idx="11">
                  <c:v>4913</c:v>
                </c:pt>
              </c:numCache>
            </c:numRef>
          </c:val>
          <c:smooth val="0"/>
          <c:extLst xmlns:c16r2="http://schemas.microsoft.com/office/drawing/2015/06/chart">
            <c:ext xmlns:c16="http://schemas.microsoft.com/office/drawing/2014/chart" uri="{C3380CC4-5D6E-409C-BE32-E72D297353CC}">
              <c16:uniqueId val="{00000000-B300-49D8-AAED-CCA27A2CBBE9}"/>
            </c:ext>
          </c:extLst>
        </c:ser>
        <c:ser>
          <c:idx val="1"/>
          <c:order val="1"/>
          <c:tx>
            <c:strRef>
              <c:f>'501 Chart'!$D$4:$D$5</c:f>
              <c:strCache>
                <c:ptCount val="2"/>
                <c:pt idx="0">
                  <c:v>Projected Cost Alternate Maintenance Practices, $253,816</c:v>
                </c:pt>
              </c:strCache>
            </c:strRef>
          </c:tx>
          <c:spPr>
            <a:ln w="22225" cap="rnd">
              <a:solidFill>
                <a:schemeClr val="accent2"/>
              </a:solidFill>
            </a:ln>
            <a:effectLst>
              <a:glow rad="139700">
                <a:schemeClr val="accent2">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'501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'501 Chart'!$D$6:$D$17</c:f>
              <c:numCache>
                <c:formatCode>_("$"* #,##0_);_("$"* \(#,##0\);_("$"* "-"??_);_(@_)</c:formatCode>
                <c:ptCount val="12"/>
                <c:pt idx="0">
                  <c:v>2827</c:v>
                </c:pt>
                <c:pt idx="1">
                  <c:v>2499</c:v>
                </c:pt>
                <c:pt idx="2">
                  <c:v>3530.5</c:v>
                </c:pt>
                <c:pt idx="3">
                  <c:v>125</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B300-49D8-AAED-CCA27A2CBBE9}"/>
            </c:ext>
          </c:extLst>
        </c:ser>
        <c:dLbls>
          <c:showLegendKey val="0"/>
          <c:showVal val="0"/>
          <c:showCatName val="0"/>
          <c:showSerName val="0"/>
          <c:showPercent val="0"/>
          <c:showBubbleSize val="0"/>
        </c:dLbls>
        <c:smooth val="0"/>
        <c:axId val="698467088"/>
        <c:axId val="698467480"/>
      </c:lineChart>
      <c:catAx>
        <c:axId val="698467088"/>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98467480"/>
        <c:crosses val="autoZero"/>
        <c:auto val="1"/>
        <c:lblAlgn val="ctr"/>
        <c:lblOffset val="100"/>
        <c:tickLblSkip val="1"/>
        <c:tickMarkSkip val="1"/>
        <c:noMultiLvlLbl val="0"/>
      </c:catAx>
      <c:valAx>
        <c:axId val="698467480"/>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9846708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alignWithMargins="0"/>
    <c:pageMargins b="1" l="0.75" r="0.75"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31 summary '!$B$19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'Bus 31 summary '!$C$18:$P$18</c15:sqref>
                  </c15:fullRef>
                </c:ext>
              </c:extLst>
              <c:f>'Bus 31 summary '!$C$18:$N$18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 summary '!$C$19:$P$19</c15:sqref>
                  </c15:fullRef>
                </c:ext>
              </c:extLst>
              <c:f>'Bus 31 summary '!$C$19:$N$19</c:f>
              <c:numCache>
                <c:formatCode>#,##0.00</c:formatCode>
                <c:ptCount val="12"/>
              </c:numCache>
            </c:numRef>
          </c:val>
          <c:extLst xmlns:c16r2="http://schemas.microsoft.com/office/drawing/2015/06/chart">
            <c:ext xmlns:c16="http://schemas.microsoft.com/office/drawing/2014/chart" uri="{C3380CC4-5D6E-409C-BE32-E72D297353CC}">
              <c16:uniqueId val="{00000000-7514-45DC-A8D0-8B05C70A5BFD}"/>
            </c:ext>
          </c:extLst>
        </c:ser>
        <c:ser>
          <c:idx val="1"/>
          <c:order val="1"/>
          <c:tx>
            <c:strRef>
              <c:f>'Bus 31 summary '!$B$20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'Bus 31 summary '!$C$18:$P$18</c15:sqref>
                  </c15:fullRef>
                </c:ext>
              </c:extLst>
              <c:f>'Bus 31 summary '!$C$18:$N$18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 summary '!$C$20:$P$20</c15:sqref>
                  </c15:fullRef>
                </c:ext>
              </c:extLst>
              <c:f>'Bus 31 summary '!$C$20:$N$20</c:f>
              <c:numCache>
                <c:formatCode>#,##0.00</c:formatCode>
                <c:ptCount val="12"/>
              </c:numCache>
            </c:numRef>
          </c:val>
          <c:extLst xmlns:c16r2="http://schemas.microsoft.com/office/drawing/2015/06/chart">
            <c:ext xmlns:c16="http://schemas.microsoft.com/office/drawing/2014/chart" uri="{C3380CC4-5D6E-409C-BE32-E72D297353CC}">
              <c16:uniqueId val="{00000001-7514-45DC-A8D0-8B05C70A5BFD}"/>
            </c:ext>
          </c:extLst>
        </c:ser>
        <c:ser>
          <c:idx val="2"/>
          <c:order val="2"/>
          <c:tx>
            <c:strRef>
              <c:f>'Bus 31 summary '!$B$21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'Bus 31 summary '!$C$18:$P$18</c15:sqref>
                  </c15:fullRef>
                </c:ext>
              </c:extLst>
              <c:f>'Bus 31 summary '!$C$18:$N$18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 summary '!$C$21:$P$21</c15:sqref>
                  </c15:fullRef>
                </c:ext>
              </c:extLst>
              <c:f>'Bus 31 summary '!$C$21:$N$21</c:f>
              <c:numCache>
                <c:formatCode>#,##0.00</c:formatCode>
                <c:ptCount val="12"/>
              </c:numCache>
            </c:numRef>
          </c:val>
          <c:extLst xmlns:c16r2="http://schemas.microsoft.com/office/drawing/2015/06/chart">
            <c:ext xmlns:c16="http://schemas.microsoft.com/office/drawing/2014/chart" uri="{C3380CC4-5D6E-409C-BE32-E72D297353CC}">
              <c16:uniqueId val="{00000002-7514-45DC-A8D0-8B05C70A5BFD}"/>
            </c:ext>
          </c:extLst>
        </c:ser>
        <c:ser>
          <c:idx val="3"/>
          <c:order val="3"/>
          <c:tx>
            <c:strRef>
              <c:f>'Bus 31 summary '!$B$22</c:f>
              <c:strCache>
                <c:ptCount val="1"/>
                <c:pt idx="0">
                  <c:v>CALIPERS</c:v>
                </c:pt>
              </c:strCache>
            </c:strRef>
          </c:tx>
          <c:spPr>
            <a:solidFill>
              <a:schemeClr val="accent4"/>
            </a:solidFill>
            <a:ln>
              <a:noFill/>
            </a:ln>
            <a:effectLst/>
          </c:spPr>
          <c:invertIfNegative val="0"/>
          <c:cat>
            <c:strRef>
              <c:extLst>
                <c:ext xmlns:c15="http://schemas.microsoft.com/office/drawing/2012/chart" uri="{02D57815-91ED-43cb-92C2-25804820EDAC}">
                  <c15:fullRef>
                    <c15:sqref>'Bus 31 summary '!$C$18:$P$18</c15:sqref>
                  </c15:fullRef>
                </c:ext>
              </c:extLst>
              <c:f>'Bus 31 summary '!$C$18:$N$18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 summary '!$C$22:$P$22</c15:sqref>
                  </c15:fullRef>
                </c:ext>
              </c:extLst>
              <c:f>'Bus 31 summary '!$C$22:$N$22</c:f>
              <c:numCache>
                <c:formatCode>#,##0.00</c:formatCode>
                <c:ptCount val="12"/>
              </c:numCache>
            </c:numRef>
          </c:val>
          <c:extLst xmlns:c16r2="http://schemas.microsoft.com/office/drawing/2015/06/chart">
            <c:ext xmlns:c16="http://schemas.microsoft.com/office/drawing/2014/chart" uri="{C3380CC4-5D6E-409C-BE32-E72D297353CC}">
              <c16:uniqueId val="{00000003-7514-45DC-A8D0-8B05C70A5BFD}"/>
            </c:ext>
          </c:extLst>
        </c:ser>
        <c:ser>
          <c:idx val="4"/>
          <c:order val="4"/>
          <c:tx>
            <c:strRef>
              <c:f>'Bus 31 summary '!$B$23</c:f>
              <c:strCache>
                <c:ptCount val="1"/>
                <c:pt idx="0">
                  <c:v>STARTERS</c:v>
                </c:pt>
              </c:strCache>
            </c:strRef>
          </c:tx>
          <c:spPr>
            <a:solidFill>
              <a:schemeClr val="accent5"/>
            </a:solidFill>
            <a:ln>
              <a:noFill/>
            </a:ln>
            <a:effectLst/>
          </c:spPr>
          <c:invertIfNegative val="0"/>
          <c:cat>
            <c:strRef>
              <c:extLst>
                <c:ext xmlns:c15="http://schemas.microsoft.com/office/drawing/2012/chart" uri="{02D57815-91ED-43cb-92C2-25804820EDAC}">
                  <c15:fullRef>
                    <c15:sqref>'Bus 31 summary '!$C$18:$P$18</c15:sqref>
                  </c15:fullRef>
                </c:ext>
              </c:extLst>
              <c:f>'Bus 31 summary '!$C$18:$N$18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 summary '!$C$23:$P$23</c15:sqref>
                  </c15:fullRef>
                </c:ext>
              </c:extLst>
              <c:f>'Bus 31 summary '!$C$23:$N$23</c:f>
              <c:numCache>
                <c:formatCode>#,##0.00</c:formatCode>
                <c:ptCount val="12"/>
              </c:numCache>
            </c:numRef>
          </c:val>
          <c:extLst xmlns:c16r2="http://schemas.microsoft.com/office/drawing/2015/06/chart">
            <c:ext xmlns:c16="http://schemas.microsoft.com/office/drawing/2014/chart" uri="{C3380CC4-5D6E-409C-BE32-E72D297353CC}">
              <c16:uniqueId val="{00000004-7514-45DC-A8D0-8B05C70A5BFD}"/>
            </c:ext>
          </c:extLst>
        </c:ser>
        <c:ser>
          <c:idx val="5"/>
          <c:order val="5"/>
          <c:tx>
            <c:strRef>
              <c:f>'Bus 31 summary '!$B$24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'Bus 31 summary '!$C$18:$P$18</c15:sqref>
                  </c15:fullRef>
                </c:ext>
              </c:extLst>
              <c:f>'Bus 31 summary '!$C$18:$N$18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 summary '!$C$24:$P$24</c15:sqref>
                  </c15:fullRef>
                </c:ext>
              </c:extLst>
              <c:f>'Bus 31 summary '!$C$24:$N$24</c:f>
              <c:numCache>
                <c:formatCode>#,##0.00</c:formatCode>
                <c:ptCount val="12"/>
              </c:numCache>
            </c:numRef>
          </c:val>
          <c:extLst xmlns:c16r2="http://schemas.microsoft.com/office/drawing/2015/06/chart">
            <c:ext xmlns:c16="http://schemas.microsoft.com/office/drawing/2014/chart" uri="{C3380CC4-5D6E-409C-BE32-E72D297353CC}">
              <c16:uniqueId val="{00000005-7514-45DC-A8D0-8B05C70A5BFD}"/>
            </c:ext>
          </c:extLst>
        </c:ser>
        <c:ser>
          <c:idx val="6"/>
          <c:order val="6"/>
          <c:tx>
            <c:strRef>
              <c:f>'Bus 31 summary '!$B$25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'Bus 31 summary '!$C$18:$P$18</c15:sqref>
                  </c15:fullRef>
                </c:ext>
              </c:extLst>
              <c:f>'Bus 31 summary '!$C$18:$N$18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 summary '!$C$25:$P$25</c15:sqref>
                  </c15:fullRef>
                </c:ext>
              </c:extLst>
              <c:f>'Bus 31 summary '!$C$25:$N$25</c:f>
              <c:numCache>
                <c:formatCode>#,##0.00</c:formatCode>
                <c:ptCount val="12"/>
              </c:numCache>
            </c:numRef>
          </c:val>
          <c:extLst xmlns:c16r2="http://schemas.microsoft.com/office/drawing/2015/06/chart">
            <c:ext xmlns:c16="http://schemas.microsoft.com/office/drawing/2014/chart" uri="{C3380CC4-5D6E-409C-BE32-E72D297353CC}">
              <c16:uniqueId val="{00000006-7514-45DC-A8D0-8B05C70A5BFD}"/>
            </c:ext>
          </c:extLst>
        </c:ser>
        <c:ser>
          <c:idx val="7"/>
          <c:order val="7"/>
          <c:tx>
            <c:strRef>
              <c:f>'Bus 31 summary '!$B$26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'Bus 31 summary '!$C$18:$P$18</c15:sqref>
                  </c15:fullRef>
                </c:ext>
              </c:extLst>
              <c:f>'Bus 31 summary '!$C$18:$N$18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 summary '!$C$26:$P$26</c15:sqref>
                  </c15:fullRef>
                </c:ext>
              </c:extLst>
              <c:f>'Bus 31 summary '!$C$26:$N$26</c:f>
              <c:numCache>
                <c:formatCode>#,##0.00</c:formatCode>
                <c:ptCount val="12"/>
              </c:numCache>
            </c:numRef>
          </c:val>
          <c:extLst xmlns:c16r2="http://schemas.microsoft.com/office/drawing/2015/06/chart">
            <c:ext xmlns:c16="http://schemas.microsoft.com/office/drawing/2014/chart" uri="{C3380CC4-5D6E-409C-BE32-E72D297353CC}">
              <c16:uniqueId val="{00000007-7514-45DC-A8D0-8B05C70A5BFD}"/>
            </c:ext>
          </c:extLst>
        </c:ser>
        <c:ser>
          <c:idx val="8"/>
          <c:order val="8"/>
          <c:tx>
            <c:strRef>
              <c:f>'Bus 31 summary '!$B$27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'Bus 31 summary '!$C$18:$P$18</c15:sqref>
                  </c15:fullRef>
                </c:ext>
              </c:extLst>
              <c:f>'Bus 31 summary '!$C$18:$N$18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 summary '!$C$27:$P$27</c15:sqref>
                  </c15:fullRef>
                </c:ext>
              </c:extLst>
              <c:f>'Bus 31 summary '!$C$27:$N$27</c:f>
              <c:numCache>
                <c:formatCode>#,##0.00</c:formatCode>
                <c:ptCount val="12"/>
              </c:numCache>
            </c:numRef>
          </c:val>
          <c:extLst xmlns:c16r2="http://schemas.microsoft.com/office/drawing/2015/06/chart">
            <c:ext xmlns:c16="http://schemas.microsoft.com/office/drawing/2014/chart" uri="{C3380CC4-5D6E-409C-BE32-E72D297353CC}">
              <c16:uniqueId val="{00000008-7514-45DC-A8D0-8B05C70A5BFD}"/>
            </c:ext>
          </c:extLst>
        </c:ser>
        <c:ser>
          <c:idx val="9"/>
          <c:order val="9"/>
          <c:tx>
            <c:strRef>
              <c:f>'Bus 404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404 summary'!$C$28:$P$28</c15:sqref>
                  </c15:fullRef>
                </c:ext>
              </c:extLst>
              <c:f>'Bus 404 summary'!$C$28:$N$28</c:f>
            </c:numRef>
          </c:val>
          <c:extLst xmlns:c16r2="http://schemas.microsoft.com/office/drawing/2015/06/chart">
            <c:ext xmlns:c16="http://schemas.microsoft.com/office/drawing/2014/chart" uri="{C3380CC4-5D6E-409C-BE32-E72D297353CC}">
              <c16:uniqueId val="{00000009-7514-45DC-A8D0-8B05C70A5BFD}"/>
            </c:ext>
          </c:extLst>
        </c:ser>
        <c:ser>
          <c:idx val="10"/>
          <c:order val="10"/>
          <c:tx>
            <c:strRef>
              <c:f>'Bus 404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404 summary'!$C$29:$P$29</c15:sqref>
                  </c15:fullRef>
                </c:ext>
              </c:extLst>
              <c:f>'Bus 404 summary'!$C$29:$N$29</c:f>
            </c:numRef>
          </c:val>
          <c:extLst xmlns:c16r2="http://schemas.microsoft.com/office/drawing/2015/06/chart">
            <c:ext xmlns:c16="http://schemas.microsoft.com/office/drawing/2014/chart" uri="{C3380CC4-5D6E-409C-BE32-E72D297353CC}">
              <c16:uniqueId val="{0000000A-7514-45DC-A8D0-8B05C70A5BFD}"/>
            </c:ext>
          </c:extLst>
        </c:ser>
        <c:ser>
          <c:idx val="11"/>
          <c:order val="11"/>
          <c:tx>
            <c:strRef>
              <c:f>'Bus 404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404 summary'!$C$30:$P$30</c15:sqref>
                  </c15:fullRef>
                </c:ext>
              </c:extLst>
              <c:f>'Bus 404 summary'!$C$30:$N$30</c:f>
            </c:numRef>
          </c:val>
          <c:extLst xmlns:c16r2="http://schemas.microsoft.com/office/drawing/2015/06/chart">
            <c:ext xmlns:c16="http://schemas.microsoft.com/office/drawing/2014/chart" uri="{C3380CC4-5D6E-409C-BE32-E72D297353CC}">
              <c16:uniqueId val="{0000000B-7514-45DC-A8D0-8B05C70A5BFD}"/>
            </c:ext>
          </c:extLst>
        </c:ser>
        <c:ser>
          <c:idx val="12"/>
          <c:order val="12"/>
          <c:tx>
            <c:strRef>
              <c:f>'Bus 404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404 summary'!$C$31:$P$31</c15:sqref>
                  </c15:fullRef>
                </c:ext>
              </c:extLst>
              <c:f>'Bus 404 summary'!$C$31:$N$31</c:f>
            </c:numRef>
          </c:val>
          <c:extLst xmlns:c16r2="http://schemas.microsoft.com/office/drawing/2015/06/chart">
            <c:ext xmlns:c16="http://schemas.microsoft.com/office/drawing/2014/chart" uri="{C3380CC4-5D6E-409C-BE32-E72D297353CC}">
              <c16:uniqueId val="{0000000C-7514-45DC-A8D0-8B05C70A5BFD}"/>
            </c:ext>
          </c:extLst>
        </c:ser>
        <c:ser>
          <c:idx val="13"/>
          <c:order val="13"/>
          <c:tx>
            <c:strRef>
              <c:f>'Bus 31 summary '!$B$32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'Bus 31 summary '!$C$18:$P$18</c15:sqref>
                  </c15:fullRef>
                </c:ext>
              </c:extLst>
              <c:f>'Bus 31 summary '!$C$18:$N$18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 summary '!$C$32:$P$32</c15:sqref>
                  </c15:fullRef>
                </c:ext>
              </c:extLst>
              <c:f>'Bus 31 summary '!$C$32:$N$32</c:f>
              <c:numCache>
                <c:formatCode>#,##0.00</c:formatCode>
                <c:ptCount val="12"/>
              </c:numCache>
            </c:numRef>
          </c:val>
          <c:extLst xmlns:c16r2="http://schemas.microsoft.com/office/drawing/2015/06/chart">
            <c:ext xmlns:c16="http://schemas.microsoft.com/office/drawing/2014/chart" uri="{C3380CC4-5D6E-409C-BE32-E72D297353CC}">
              <c16:uniqueId val="{0000000D-7514-45DC-A8D0-8B05C70A5BFD}"/>
            </c:ext>
          </c:extLst>
        </c:ser>
        <c:ser>
          <c:idx val="14"/>
          <c:order val="14"/>
          <c:tx>
            <c:strRef>
              <c:f>'Bus 31 summary '!$B$33</c:f>
              <c:strCache>
                <c:ptCount val="1"/>
                <c:pt idx="0">
                  <c:v>WARRANTY</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'Bus 31 summary '!$C$18:$P$18</c15:sqref>
                  </c15:fullRef>
                </c:ext>
              </c:extLst>
              <c:f>'Bus 31 summary '!$C$18:$N$18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 summary '!$C$33:$P$33</c15:sqref>
                  </c15:fullRef>
                </c:ext>
              </c:extLst>
              <c:f>'Bus 31 summary '!$C$33:$N$33</c:f>
              <c:numCache>
                <c:formatCode>#,##0.00</c:formatCode>
                <c:ptCount val="12"/>
              </c:numCache>
            </c:numRef>
          </c:val>
          <c:extLst xmlns:c16r2="http://schemas.microsoft.com/office/drawing/2015/06/chart">
            <c:ext xmlns:c16="http://schemas.microsoft.com/office/drawing/2014/chart" uri="{C3380CC4-5D6E-409C-BE32-E72D297353CC}">
              <c16:uniqueId val="{0000000E-7514-45DC-A8D0-8B05C70A5BFD}"/>
            </c:ext>
          </c:extLst>
        </c:ser>
        <c:ser>
          <c:idx val="15"/>
          <c:order val="15"/>
          <c:tx>
            <c:strRef>
              <c:f>'Bus 31 summary '!$B$34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'Bus 31 summary '!$C$18:$P$18</c15:sqref>
                  </c15:fullRef>
                </c:ext>
              </c:extLst>
              <c:f>'Bus 31 summary '!$C$18:$N$18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 summary '!$C$34:$P$34</c15:sqref>
                  </c15:fullRef>
                </c:ext>
              </c:extLst>
              <c:f>'Bus 31 summary '!$C$34:$N$34</c:f>
              <c:numCache>
                <c:formatCode>#,##0.00</c:formatCode>
                <c:ptCount val="12"/>
              </c:numCache>
            </c:numRef>
          </c:val>
          <c:extLst xmlns:c16r2="http://schemas.microsoft.com/office/drawing/2015/06/chart">
            <c:ext xmlns:c16="http://schemas.microsoft.com/office/drawing/2014/chart" uri="{C3380CC4-5D6E-409C-BE32-E72D297353CC}">
              <c16:uniqueId val="{0000000F-7514-45DC-A8D0-8B05C70A5BFD}"/>
            </c:ext>
          </c:extLst>
        </c:ser>
        <c:ser>
          <c:idx val="16"/>
          <c:order val="16"/>
          <c:tx>
            <c:strRef>
              <c:f>'Bus 31 summary '!$B$35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'Bus 31 summary '!$C$18:$P$18</c15:sqref>
                  </c15:fullRef>
                </c:ext>
              </c:extLst>
              <c:f>'Bus 31 summary '!$C$18:$N$18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 summary '!$C$35:$P$35</c15:sqref>
                  </c15:fullRef>
                </c:ext>
              </c:extLst>
              <c:f>'Bus 31 summary '!$C$35:$N$35</c:f>
              <c:numCache>
                <c:formatCode>#,##0.00</c:formatCode>
                <c:ptCount val="12"/>
              </c:numCache>
            </c:numRef>
          </c:val>
          <c:extLst xmlns:c16r2="http://schemas.microsoft.com/office/drawing/2015/06/chart">
            <c:ext xmlns:c16="http://schemas.microsoft.com/office/drawing/2014/chart" uri="{C3380CC4-5D6E-409C-BE32-E72D297353CC}">
              <c16:uniqueId val="{00000010-7514-45DC-A8D0-8B05C70A5BFD}"/>
            </c:ext>
          </c:extLst>
        </c:ser>
        <c:ser>
          <c:idx val="17"/>
          <c:order val="17"/>
          <c:tx>
            <c:strRef>
              <c:f>'Bus 31 summary '!$B$36</c:f>
              <c:strCache>
                <c:ptCount val="1"/>
                <c:pt idx="0">
                  <c:v>OIL /OTHER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'Bus 31 summary '!$C$18:$P$18</c15:sqref>
                  </c15:fullRef>
                </c:ext>
              </c:extLst>
              <c:f>'Bus 31 summary '!$C$18:$N$18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 summary '!$C$36:$P$36</c15:sqref>
                  </c15:fullRef>
                </c:ext>
              </c:extLst>
              <c:f>'Bus 31 summary '!$C$36:$N$36</c:f>
              <c:numCache>
                <c:formatCode>#,##0.00</c:formatCode>
                <c:ptCount val="12"/>
              </c:numCache>
            </c:numRef>
          </c:val>
          <c:extLst xmlns:c16r2="http://schemas.microsoft.com/office/drawing/2015/06/chart">
            <c:ext xmlns:c16="http://schemas.microsoft.com/office/drawing/2014/chart" uri="{C3380CC4-5D6E-409C-BE32-E72D297353CC}">
              <c16:uniqueId val="{00000011-7514-45DC-A8D0-8B05C70A5BFD}"/>
            </c:ext>
          </c:extLst>
        </c:ser>
        <c:ser>
          <c:idx val="18"/>
          <c:order val="18"/>
          <c:tx>
            <c:strRef>
              <c:f>'Bus 31 summary '!$B$37</c:f>
              <c:strCache>
                <c:ptCount val="1"/>
                <c:pt idx="0">
                  <c:v>DEF&amp;LABOR</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'Bus 31 summary '!$C$18:$P$18</c15:sqref>
                  </c15:fullRef>
                </c:ext>
              </c:extLst>
              <c:f>'Bus 31 summary '!$C$18:$N$18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 summary '!$C$37:$P$37</c15:sqref>
                  </c15:fullRef>
                </c:ext>
              </c:extLst>
              <c:f>'Bus 31 summary '!$C$37:$N$37</c:f>
              <c:numCache>
                <c:formatCode>#,##0.00</c:formatCode>
                <c:ptCount val="12"/>
              </c:numCache>
            </c:numRef>
          </c:val>
          <c:extLst xmlns:c16r2="http://schemas.microsoft.com/office/drawing/2015/06/chart">
            <c:ext xmlns:c16="http://schemas.microsoft.com/office/drawing/2014/chart" uri="{C3380CC4-5D6E-409C-BE32-E72D297353CC}">
              <c16:uniqueId val="{00000012-7514-45DC-A8D0-8B05C70A5BFD}"/>
            </c:ext>
          </c:extLst>
        </c:ser>
        <c:ser>
          <c:idx val="19"/>
          <c:order val="19"/>
          <c:tx>
            <c:strRef>
              <c:f>'Bus 31 summary '!$B$38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'Bus 31 summary '!$C$18:$P$18</c15:sqref>
                  </c15:fullRef>
                </c:ext>
              </c:extLst>
              <c:f>'Bus 31 summary '!$C$18:$N$18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 summary '!$C$38:$P$38</c15:sqref>
                  </c15:fullRef>
                </c:ext>
              </c:extLst>
              <c:f>'Bus 31 summary '!$C$38:$N$38</c:f>
              <c:numCache>
                <c:formatCode>#,##0.00</c:formatCode>
                <c:ptCount val="12"/>
              </c:numCache>
            </c:numRef>
          </c:val>
          <c:extLst xmlns:c16r2="http://schemas.microsoft.com/office/drawing/2015/06/chart">
            <c:ext xmlns:c16="http://schemas.microsoft.com/office/drawing/2014/chart" uri="{C3380CC4-5D6E-409C-BE32-E72D297353CC}">
              <c16:uniqueId val="{00000013-7514-45DC-A8D0-8B05C70A5BFD}"/>
            </c:ext>
          </c:extLst>
        </c:ser>
        <c:ser>
          <c:idx val="20"/>
          <c:order val="20"/>
          <c:tx>
            <c:strRef>
              <c:f>'Bus 31 summary '!$B$39</c:f>
              <c:strCache>
                <c:ptCount val="1"/>
                <c:pt idx="0">
                  <c:v>OTHER PARTS</c:v>
                </c:pt>
              </c:strCache>
            </c:strRef>
          </c:tx>
          <c:spPr>
            <a:solidFill>
              <a:schemeClr val="accent3">
                <a:lumMod val="80000"/>
              </a:schemeClr>
            </a:solidFill>
            <a:ln>
              <a:noFill/>
            </a:ln>
            <a:effectLst/>
          </c:spPr>
          <c:invertIfNegative val="0"/>
          <c:cat>
            <c:strRef>
              <c:extLst>
                <c:ext xmlns:c15="http://schemas.microsoft.com/office/drawing/2012/chart" uri="{02D57815-91ED-43cb-92C2-25804820EDAC}">
                  <c15:fullRef>
                    <c15:sqref>'Bus 31 summary '!$C$18:$P$18</c15:sqref>
                  </c15:fullRef>
                </c:ext>
              </c:extLst>
              <c:f>'Bus 31 summary '!$C$18:$N$18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31 summary '!$C$39:$P$39</c15:sqref>
                  </c15:fullRef>
                </c:ext>
              </c:extLst>
              <c:f>'Bus 31 summary '!$C$39:$N$39</c:f>
              <c:numCache>
                <c:formatCode>#,##0.00</c:formatCode>
                <c:ptCount val="12"/>
              </c:numCache>
            </c:numRef>
          </c:val>
          <c:extLst xmlns:c16r2="http://schemas.microsoft.com/office/drawing/2015/06/chart">
            <c:ext xmlns:c16="http://schemas.microsoft.com/office/drawing/2014/chart" uri="{C3380CC4-5D6E-409C-BE32-E72D297353CC}">
              <c16:uniqueId val="{00000014-7514-45DC-A8D0-8B05C70A5BFD}"/>
            </c:ext>
          </c:extLst>
        </c:ser>
        <c:dLbls>
          <c:showLegendKey val="0"/>
          <c:showVal val="0"/>
          <c:showCatName val="0"/>
          <c:showSerName val="0"/>
          <c:showPercent val="0"/>
          <c:showBubbleSize val="0"/>
        </c:dLbls>
        <c:gapWidth val="150"/>
        <c:axId val="698468264"/>
        <c:axId val="698468656"/>
      </c:barChart>
      <c:catAx>
        <c:axId val="698468264"/>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98468656"/>
        <c:crosses val="autoZero"/>
        <c:auto val="1"/>
        <c:lblAlgn val="ctr"/>
        <c:lblOffset val="100"/>
        <c:noMultiLvlLbl val="0"/>
      </c:catAx>
      <c:valAx>
        <c:axId val="698468656"/>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98468264"/>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166148168808599"/>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'202 Chart'!$C$4:$C$5</c:f>
              <c:strCache>
                <c:ptCount val="2"/>
                <c:pt idx="0">
                  <c:v>Projected Cost-Current Maintenance Practices, $109,252  </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'202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'202 Chart'!$C$6:$C$17</c:f>
              <c:numCache>
                <c:formatCode>_("$"* #,##0_);_("$"* \(#,##0\);_("$"* "-"??_);_(@_)</c:formatCode>
                <c:ptCount val="12"/>
                <c:pt idx="0">
                  <c:v>3863</c:v>
                </c:pt>
                <c:pt idx="1">
                  <c:v>3863</c:v>
                </c:pt>
                <c:pt idx="2">
                  <c:v>3863</c:v>
                </c:pt>
                <c:pt idx="3">
                  <c:v>3863</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E937-45ED-A84B-2095518486DA}"/>
            </c:ext>
          </c:extLst>
        </c:ser>
        <c:ser>
          <c:idx val="1"/>
          <c:order val="1"/>
          <c:tx>
            <c:strRef>
              <c:f>'202 Chart'!$D$4:$D$5</c:f>
              <c:strCache>
                <c:ptCount val="2"/>
                <c:pt idx="0">
                  <c:v>Projected Cost Alternate Maintenance Practices, $253,816</c:v>
                </c:pt>
              </c:strCache>
            </c:strRef>
          </c:tx>
          <c:spPr>
            <a:ln w="22225" cap="rnd">
              <a:solidFill>
                <a:schemeClr val="accent2"/>
              </a:solidFill>
            </a:ln>
            <a:effectLst>
              <a:glow rad="139700">
                <a:schemeClr val="accent2">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'202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'202 Chart'!$D$6:$D$17</c:f>
              <c:numCache>
                <c:formatCode>_("$"* #,##0_);_("$"* \(#,##0\);_("$"* "-"??_);_(@_)</c:formatCode>
                <c:ptCount val="12"/>
                <c:pt idx="0">
                  <c:v>1456</c:v>
                </c:pt>
                <c:pt idx="1">
                  <c:v>4035</c:v>
                </c:pt>
                <c:pt idx="2">
                  <c:v>2202.5</c:v>
                </c:pt>
                <c:pt idx="3">
                  <c:v>1964.5</c:v>
                </c:pt>
                <c:pt idx="4">
                  <c:v>3800</c:v>
                </c:pt>
                <c:pt idx="5">
                  <c:v>1618</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E937-45ED-A84B-2095518486DA}"/>
            </c:ext>
          </c:extLst>
        </c:ser>
        <c:dLbls>
          <c:showLegendKey val="0"/>
          <c:showVal val="0"/>
          <c:showCatName val="0"/>
          <c:showSerName val="0"/>
          <c:showPercent val="0"/>
          <c:showBubbleSize val="0"/>
        </c:dLbls>
        <c:smooth val="0"/>
        <c:axId val="543528544"/>
        <c:axId val="543528936"/>
      </c:lineChart>
      <c:catAx>
        <c:axId val="543528544"/>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543528936"/>
        <c:crosses val="autoZero"/>
        <c:auto val="1"/>
        <c:lblAlgn val="ctr"/>
        <c:lblOffset val="100"/>
        <c:tickLblSkip val="1"/>
        <c:tickMarkSkip val="1"/>
        <c:noMultiLvlLbl val="0"/>
      </c:catAx>
      <c:valAx>
        <c:axId val="54352893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54352854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alignWithMargins="0"/>
    <c:pageMargins b="1" l="0.75" r="0.75" t="1" header="0.5" footer="0.5"/>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'31 Chart'!$C$4:$C$5</c:f>
              <c:strCache>
                <c:ptCount val="2"/>
                <c:pt idx="0">
                  <c:v>Projected Cost-Current Maintenance Practices, $109,252  </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'31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'31 Chart'!$C$6:$C$17</c:f>
              <c:numCache>
                <c:formatCode>_("$"* #,##0_);_("$"* \(#,##0\);_("$"* "-"??_);_(@_)</c:formatCode>
                <c:ptCount val="12"/>
                <c:pt idx="0">
                  <c:v>4913</c:v>
                </c:pt>
                <c:pt idx="1">
                  <c:v>4913</c:v>
                </c:pt>
                <c:pt idx="2">
                  <c:v>4913</c:v>
                </c:pt>
                <c:pt idx="3">
                  <c:v>4913</c:v>
                </c:pt>
                <c:pt idx="4">
                  <c:v>17239.669999999998</c:v>
                </c:pt>
                <c:pt idx="5">
                  <c:v>4913</c:v>
                </c:pt>
                <c:pt idx="6">
                  <c:v>4913</c:v>
                </c:pt>
                <c:pt idx="7">
                  <c:v>4913</c:v>
                </c:pt>
                <c:pt idx="8">
                  <c:v>4913</c:v>
                </c:pt>
                <c:pt idx="9">
                  <c:v>4913</c:v>
                </c:pt>
                <c:pt idx="10">
                  <c:v>4913</c:v>
                </c:pt>
                <c:pt idx="11">
                  <c:v>4913</c:v>
                </c:pt>
              </c:numCache>
            </c:numRef>
          </c:val>
          <c:smooth val="0"/>
          <c:extLst xmlns:c16r2="http://schemas.microsoft.com/office/drawing/2015/06/chart">
            <c:ext xmlns:c16="http://schemas.microsoft.com/office/drawing/2014/chart" uri="{C3380CC4-5D6E-409C-BE32-E72D297353CC}">
              <c16:uniqueId val="{00000000-A467-4FBB-9CE0-23B619534DBB}"/>
            </c:ext>
          </c:extLst>
        </c:ser>
        <c:ser>
          <c:idx val="1"/>
          <c:order val="1"/>
          <c:tx>
            <c:strRef>
              <c:f>'31 Chart'!$D$4:$D$5</c:f>
              <c:strCache>
                <c:ptCount val="2"/>
                <c:pt idx="0">
                  <c:v>Projected Cost Alternate Maintenance Practices, $253,816</c:v>
                </c:pt>
              </c:strCache>
            </c:strRef>
          </c:tx>
          <c:spPr>
            <a:ln w="22225" cap="rnd">
              <a:solidFill>
                <a:schemeClr val="accent2"/>
              </a:solidFill>
            </a:ln>
            <a:effectLst>
              <a:glow rad="139700">
                <a:schemeClr val="accent2">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'31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'31 Chart'!$D$6:$D$17</c:f>
              <c:numCache>
                <c:formatCode>_("$"* #,##0_);_("$"* \(#,##0\);_("$"* "-"??_);_(@_)</c:formatCode>
                <c:ptCount val="12"/>
                <c:pt idx="0">
                  <c:v>2827</c:v>
                </c:pt>
                <c:pt idx="1">
                  <c:v>2499</c:v>
                </c:pt>
                <c:pt idx="2">
                  <c:v>3530.5</c:v>
                </c:pt>
                <c:pt idx="3">
                  <c:v>125</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A467-4FBB-9CE0-23B619534DBB}"/>
            </c:ext>
          </c:extLst>
        </c:ser>
        <c:dLbls>
          <c:showLegendKey val="0"/>
          <c:showVal val="0"/>
          <c:showCatName val="0"/>
          <c:showSerName val="0"/>
          <c:showPercent val="0"/>
          <c:showBubbleSize val="0"/>
        </c:dLbls>
        <c:smooth val="0"/>
        <c:axId val="700037264"/>
        <c:axId val="700037656"/>
      </c:lineChart>
      <c:catAx>
        <c:axId val="700037264"/>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700037656"/>
        <c:crosses val="autoZero"/>
        <c:auto val="1"/>
        <c:lblAlgn val="ctr"/>
        <c:lblOffset val="100"/>
        <c:tickLblSkip val="1"/>
        <c:tickMarkSkip val="1"/>
        <c:noMultiLvlLbl val="0"/>
      </c:catAx>
      <c:valAx>
        <c:axId val="70003765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70003726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alignWithMargins="0"/>
    <c:pageMargins b="1" l="0.75" r="0.75" t="1" header="0.5" footer="0.5"/>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'M-Van 32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'M-Van 32 summary'!$C$18:$P$18</c15:sqref>
                  </c15:fullRef>
                </c:ext>
              </c:extLst>
              <c:f>'M-Van 32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'M-Van 32 summary'!$C$19:$P$19</c15:sqref>
                  </c15:fullRef>
                </c:ext>
              </c:extLst>
              <c:f>'M-Van 32 summary'!$C$19:$N$19</c:f>
              <c:numCache>
                <c:formatCode>#,##0.00</c:formatCode>
                <c:ptCount val="12"/>
              </c:numCache>
            </c:numRef>
          </c:val>
          <c:extLst xmlns:c16r2="http://schemas.microsoft.com/office/drawing/2015/06/chart">
            <c:ext xmlns:c16="http://schemas.microsoft.com/office/drawing/2014/chart" uri="{C3380CC4-5D6E-409C-BE32-E72D297353CC}">
              <c16:uniqueId val="{00000000-BC02-4B9D-B759-A54E642E7557}"/>
            </c:ext>
          </c:extLst>
        </c:ser>
        <c:ser>
          <c:idx val="1"/>
          <c:order val="1"/>
          <c:tx>
            <c:strRef>
              <c:f>'M-Van 32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'M-Van 32 summary'!$C$18:$P$18</c15:sqref>
                  </c15:fullRef>
                </c:ext>
              </c:extLst>
              <c:f>'M-Van 32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'M-Van 32 summary'!$C$20:$P$20</c15:sqref>
                  </c15:fullRef>
                </c:ext>
              </c:extLst>
              <c:f>'M-Van 32 summary'!$C$20:$N$20</c:f>
              <c:numCache>
                <c:formatCode>#,##0.00</c:formatCode>
                <c:ptCount val="12"/>
              </c:numCache>
            </c:numRef>
          </c:val>
          <c:extLst xmlns:c16r2="http://schemas.microsoft.com/office/drawing/2015/06/chart">
            <c:ext xmlns:c16="http://schemas.microsoft.com/office/drawing/2014/chart" uri="{C3380CC4-5D6E-409C-BE32-E72D297353CC}">
              <c16:uniqueId val="{00000001-BC02-4B9D-B759-A54E642E7557}"/>
            </c:ext>
          </c:extLst>
        </c:ser>
        <c:ser>
          <c:idx val="2"/>
          <c:order val="2"/>
          <c:tx>
            <c:strRef>
              <c:f>'M-Van 32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'M-Van 32 summary'!$C$18:$P$18</c15:sqref>
                  </c15:fullRef>
                </c:ext>
              </c:extLst>
              <c:f>'M-Van 32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'M-Van 32 summary'!$C$21:$P$21</c15:sqref>
                  </c15:fullRef>
                </c:ext>
              </c:extLst>
              <c:f>'M-Van 32 summary'!$C$21:$N$21</c:f>
              <c:numCache>
                <c:formatCode>#,##0.00</c:formatCode>
                <c:ptCount val="12"/>
              </c:numCache>
            </c:numRef>
          </c:val>
          <c:extLst xmlns:c16r2="http://schemas.microsoft.com/office/drawing/2015/06/chart">
            <c:ext xmlns:c16="http://schemas.microsoft.com/office/drawing/2014/chart" uri="{C3380CC4-5D6E-409C-BE32-E72D297353CC}">
              <c16:uniqueId val="{00000002-BC02-4B9D-B759-A54E642E7557}"/>
            </c:ext>
          </c:extLst>
        </c:ser>
        <c:ser>
          <c:idx val="3"/>
          <c:order val="3"/>
          <c:tx>
            <c:strRef>
              <c:f>'M-Van 32 summary'!$B$22</c:f>
              <c:strCache>
                <c:ptCount val="1"/>
                <c:pt idx="0">
                  <c:v>CALIPERS</c:v>
                </c:pt>
              </c:strCache>
            </c:strRef>
          </c:tx>
          <c:spPr>
            <a:solidFill>
              <a:schemeClr val="accent4"/>
            </a:solidFill>
            <a:ln>
              <a:noFill/>
            </a:ln>
            <a:effectLst/>
          </c:spPr>
          <c:invertIfNegative val="0"/>
          <c:cat>
            <c:strRef>
              <c:extLst>
                <c:ext xmlns:c15="http://schemas.microsoft.com/office/drawing/2012/chart" uri="{02D57815-91ED-43cb-92C2-25804820EDAC}">
                  <c15:fullRef>
                    <c15:sqref>'M-Van 32 summary'!$C$18:$P$18</c15:sqref>
                  </c15:fullRef>
                </c:ext>
              </c:extLst>
              <c:f>'M-Van 32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'M-Van 32 summary'!$C$22:$P$22</c15:sqref>
                  </c15:fullRef>
                </c:ext>
              </c:extLst>
              <c:f>'M-Van 32 summary'!$C$22:$N$22</c:f>
              <c:numCache>
                <c:formatCode>#,##0.00</c:formatCode>
                <c:ptCount val="12"/>
              </c:numCache>
            </c:numRef>
          </c:val>
          <c:extLst xmlns:c16r2="http://schemas.microsoft.com/office/drawing/2015/06/chart">
            <c:ext xmlns:c16="http://schemas.microsoft.com/office/drawing/2014/chart" uri="{C3380CC4-5D6E-409C-BE32-E72D297353CC}">
              <c16:uniqueId val="{00000003-BC02-4B9D-B759-A54E642E7557}"/>
            </c:ext>
          </c:extLst>
        </c:ser>
        <c:ser>
          <c:idx val="4"/>
          <c:order val="4"/>
          <c:tx>
            <c:strRef>
              <c:f>'M-Van 32 summary'!$B$23</c:f>
              <c:strCache>
                <c:ptCount val="1"/>
                <c:pt idx="0">
                  <c:v>STARTERS</c:v>
                </c:pt>
              </c:strCache>
            </c:strRef>
          </c:tx>
          <c:spPr>
            <a:solidFill>
              <a:schemeClr val="accent5"/>
            </a:solidFill>
            <a:ln>
              <a:noFill/>
            </a:ln>
            <a:effectLst/>
          </c:spPr>
          <c:invertIfNegative val="0"/>
          <c:cat>
            <c:strRef>
              <c:extLst>
                <c:ext xmlns:c15="http://schemas.microsoft.com/office/drawing/2012/chart" uri="{02D57815-91ED-43cb-92C2-25804820EDAC}">
                  <c15:fullRef>
                    <c15:sqref>'M-Van 32 summary'!$C$18:$P$18</c15:sqref>
                  </c15:fullRef>
                </c:ext>
              </c:extLst>
              <c:f>'M-Van 32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'M-Van 32 summary'!$C$23:$P$23</c15:sqref>
                  </c15:fullRef>
                </c:ext>
              </c:extLst>
              <c:f>'M-Van 32 summary'!$C$23:$N$23</c:f>
              <c:numCache>
                <c:formatCode>#,##0.00</c:formatCode>
                <c:ptCount val="12"/>
              </c:numCache>
            </c:numRef>
          </c:val>
          <c:extLst xmlns:c16r2="http://schemas.microsoft.com/office/drawing/2015/06/chart">
            <c:ext xmlns:c16="http://schemas.microsoft.com/office/drawing/2014/chart" uri="{C3380CC4-5D6E-409C-BE32-E72D297353CC}">
              <c16:uniqueId val="{00000004-BC02-4B9D-B759-A54E642E7557}"/>
            </c:ext>
          </c:extLst>
        </c:ser>
        <c:ser>
          <c:idx val="5"/>
          <c:order val="5"/>
          <c:tx>
            <c:strRef>
              <c:f>'M-Van 32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'M-Van 32 summary'!$C$18:$P$18</c15:sqref>
                  </c15:fullRef>
                </c:ext>
              </c:extLst>
              <c:f>'M-Van 32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'M-Van 32 summary'!$C$24:$P$24</c15:sqref>
                  </c15:fullRef>
                </c:ext>
              </c:extLst>
              <c:f>'M-Van 32 summary'!$C$24:$N$24</c:f>
              <c:numCache>
                <c:formatCode>#,##0.00</c:formatCode>
                <c:ptCount val="12"/>
              </c:numCache>
            </c:numRef>
          </c:val>
          <c:extLst xmlns:c16r2="http://schemas.microsoft.com/office/drawing/2015/06/chart">
            <c:ext xmlns:c16="http://schemas.microsoft.com/office/drawing/2014/chart" uri="{C3380CC4-5D6E-409C-BE32-E72D297353CC}">
              <c16:uniqueId val="{00000005-BC02-4B9D-B759-A54E642E7557}"/>
            </c:ext>
          </c:extLst>
        </c:ser>
        <c:ser>
          <c:idx val="6"/>
          <c:order val="6"/>
          <c:tx>
            <c:strRef>
              <c:f>'M-Van 32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'M-Van 32 summary'!$C$18:$P$18</c15:sqref>
                  </c15:fullRef>
                </c:ext>
              </c:extLst>
              <c:f>'M-Van 32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'M-Van 32 summary'!$C$25:$P$25</c15:sqref>
                  </c15:fullRef>
                </c:ext>
              </c:extLst>
              <c:f>'M-Van 32 summary'!$C$25:$N$25</c:f>
              <c:numCache>
                <c:formatCode>#,##0.00</c:formatCode>
                <c:ptCount val="12"/>
              </c:numCache>
            </c:numRef>
          </c:val>
          <c:extLst xmlns:c16r2="http://schemas.microsoft.com/office/drawing/2015/06/chart">
            <c:ext xmlns:c16="http://schemas.microsoft.com/office/drawing/2014/chart" uri="{C3380CC4-5D6E-409C-BE32-E72D297353CC}">
              <c16:uniqueId val="{00000006-BC02-4B9D-B759-A54E642E7557}"/>
            </c:ext>
          </c:extLst>
        </c:ser>
        <c:ser>
          <c:idx val="7"/>
          <c:order val="7"/>
          <c:tx>
            <c:strRef>
              <c:f>'M-Van 32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'M-Van 32 summary'!$C$18:$P$18</c15:sqref>
                  </c15:fullRef>
                </c:ext>
              </c:extLst>
              <c:f>'M-Van 32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'M-Van 32 summary'!$C$26:$P$26</c15:sqref>
                  </c15:fullRef>
                </c:ext>
              </c:extLst>
              <c:f>'M-Van 32 summary'!$C$26:$N$26</c:f>
              <c:numCache>
                <c:formatCode>#,##0.00</c:formatCode>
                <c:ptCount val="12"/>
              </c:numCache>
            </c:numRef>
          </c:val>
          <c:extLst xmlns:c16r2="http://schemas.microsoft.com/office/drawing/2015/06/chart">
            <c:ext xmlns:c16="http://schemas.microsoft.com/office/drawing/2014/chart" uri="{C3380CC4-5D6E-409C-BE32-E72D297353CC}">
              <c16:uniqueId val="{00000007-BC02-4B9D-B759-A54E642E7557}"/>
            </c:ext>
          </c:extLst>
        </c:ser>
        <c:ser>
          <c:idx val="8"/>
          <c:order val="8"/>
          <c:tx>
            <c:strRef>
              <c:f>'M-Van 32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'M-Van 32 summary'!$C$18:$P$18</c15:sqref>
                  </c15:fullRef>
                </c:ext>
              </c:extLst>
              <c:f>'M-Van 32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'M-Van 32 summary'!$C$27:$P$27</c15:sqref>
                  </c15:fullRef>
                </c:ext>
              </c:extLst>
              <c:f>'M-Van 32 summary'!$C$27:$N$27</c:f>
              <c:numCache>
                <c:formatCode>#,##0.00</c:formatCode>
                <c:ptCount val="12"/>
              </c:numCache>
            </c:numRef>
          </c:val>
          <c:extLst xmlns:c16r2="http://schemas.microsoft.com/office/drawing/2015/06/chart">
            <c:ext xmlns:c16="http://schemas.microsoft.com/office/drawing/2014/chart" uri="{C3380CC4-5D6E-409C-BE32-E72D297353CC}">
              <c16:uniqueId val="{00000008-BC02-4B9D-B759-A54E642E7557}"/>
            </c:ext>
          </c:extLst>
        </c:ser>
        <c:ser>
          <c:idx val="9"/>
          <c:order val="9"/>
          <c:tx>
            <c:strRef>
              <c:f>'Bus 404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404 summary'!$C$28:$P$28</c15:sqref>
                  </c15:fullRef>
                </c:ext>
              </c:extLst>
              <c:f>'Bus 404 summary'!$C$28:$N$28</c:f>
            </c:numRef>
          </c:val>
          <c:extLst xmlns:c16r2="http://schemas.microsoft.com/office/drawing/2015/06/chart">
            <c:ext xmlns:c16="http://schemas.microsoft.com/office/drawing/2014/chart" uri="{C3380CC4-5D6E-409C-BE32-E72D297353CC}">
              <c16:uniqueId val="{00000009-BC02-4B9D-B759-A54E642E7557}"/>
            </c:ext>
          </c:extLst>
        </c:ser>
        <c:ser>
          <c:idx val="10"/>
          <c:order val="10"/>
          <c:tx>
            <c:strRef>
              <c:f>'Bus 404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404 summary'!$C$29:$P$29</c15:sqref>
                  </c15:fullRef>
                </c:ext>
              </c:extLst>
              <c:f>'Bus 404 summary'!$C$29:$N$29</c:f>
            </c:numRef>
          </c:val>
          <c:extLst xmlns:c16r2="http://schemas.microsoft.com/office/drawing/2015/06/chart">
            <c:ext xmlns:c16="http://schemas.microsoft.com/office/drawing/2014/chart" uri="{C3380CC4-5D6E-409C-BE32-E72D297353CC}">
              <c16:uniqueId val="{0000000A-BC02-4B9D-B759-A54E642E7557}"/>
            </c:ext>
          </c:extLst>
        </c:ser>
        <c:ser>
          <c:idx val="11"/>
          <c:order val="11"/>
          <c:tx>
            <c:strRef>
              <c:f>'Bus 404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404 summary'!$C$30:$P$30</c15:sqref>
                  </c15:fullRef>
                </c:ext>
              </c:extLst>
              <c:f>'Bus 404 summary'!$C$30:$N$30</c:f>
            </c:numRef>
          </c:val>
          <c:extLst xmlns:c16r2="http://schemas.microsoft.com/office/drawing/2015/06/chart">
            <c:ext xmlns:c16="http://schemas.microsoft.com/office/drawing/2014/chart" uri="{C3380CC4-5D6E-409C-BE32-E72D297353CC}">
              <c16:uniqueId val="{0000000B-BC02-4B9D-B759-A54E642E7557}"/>
            </c:ext>
          </c:extLst>
        </c:ser>
        <c:ser>
          <c:idx val="12"/>
          <c:order val="12"/>
          <c:tx>
            <c:strRef>
              <c:f>'Bus 404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404 summary'!$C$18:$P$18</c15:sqref>
                  </c15:fullRef>
                </c:ext>
              </c:extLst>
              <c:f>'Bus 404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404 summary'!$C$31:$P$31</c15:sqref>
                  </c15:fullRef>
                </c:ext>
              </c:extLst>
              <c:f>'Bus 404 summary'!$C$31:$N$31</c:f>
            </c:numRef>
          </c:val>
          <c:extLst xmlns:c16r2="http://schemas.microsoft.com/office/drawing/2015/06/chart">
            <c:ext xmlns:c16="http://schemas.microsoft.com/office/drawing/2014/chart" uri="{C3380CC4-5D6E-409C-BE32-E72D297353CC}">
              <c16:uniqueId val="{0000000C-BC02-4B9D-B759-A54E642E7557}"/>
            </c:ext>
          </c:extLst>
        </c:ser>
        <c:ser>
          <c:idx val="13"/>
          <c:order val="13"/>
          <c:tx>
            <c:strRef>
              <c:f>'M-Van 32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'M-Van 32 summary'!$C$18:$P$18</c15:sqref>
                  </c15:fullRef>
                </c:ext>
              </c:extLst>
              <c:f>'M-Van 32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'M-Van 32 summary'!$C$32:$P$32</c15:sqref>
                  </c15:fullRef>
                </c:ext>
              </c:extLst>
              <c:f>'M-Van 32 summary'!$C$32:$N$32</c:f>
              <c:numCache>
                <c:formatCode>#,##0.00</c:formatCode>
                <c:ptCount val="12"/>
              </c:numCache>
            </c:numRef>
          </c:val>
          <c:extLst xmlns:c16r2="http://schemas.microsoft.com/office/drawing/2015/06/chart">
            <c:ext xmlns:c16="http://schemas.microsoft.com/office/drawing/2014/chart" uri="{C3380CC4-5D6E-409C-BE32-E72D297353CC}">
              <c16:uniqueId val="{0000000D-BC02-4B9D-B759-A54E642E7557}"/>
            </c:ext>
          </c:extLst>
        </c:ser>
        <c:ser>
          <c:idx val="14"/>
          <c:order val="14"/>
          <c:tx>
            <c:strRef>
              <c:f>'M-Van 32 summary'!$B$33</c:f>
              <c:strCache>
                <c:ptCount val="1"/>
                <c:pt idx="0">
                  <c:v>WARRANTY</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'M-Van 32 summary'!$C$18:$P$18</c15:sqref>
                  </c15:fullRef>
                </c:ext>
              </c:extLst>
              <c:f>'M-Van 32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'M-Van 32 summary'!$C$33:$P$33</c15:sqref>
                  </c15:fullRef>
                </c:ext>
              </c:extLst>
              <c:f>'M-Van 32 summary'!$C$33:$N$33</c:f>
              <c:numCache>
                <c:formatCode>#,##0.00</c:formatCode>
                <c:ptCount val="12"/>
              </c:numCache>
            </c:numRef>
          </c:val>
          <c:extLst xmlns:c16r2="http://schemas.microsoft.com/office/drawing/2015/06/chart">
            <c:ext xmlns:c16="http://schemas.microsoft.com/office/drawing/2014/chart" uri="{C3380CC4-5D6E-409C-BE32-E72D297353CC}">
              <c16:uniqueId val="{0000000E-BC02-4B9D-B759-A54E642E7557}"/>
            </c:ext>
          </c:extLst>
        </c:ser>
        <c:ser>
          <c:idx val="15"/>
          <c:order val="15"/>
          <c:tx>
            <c:strRef>
              <c:f>'M-Van 32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'M-Van 32 summary'!$C$18:$P$18</c15:sqref>
                  </c15:fullRef>
                </c:ext>
              </c:extLst>
              <c:f>'M-Van 32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'M-Van 32 summary'!$C$34:$P$34</c15:sqref>
                  </c15:fullRef>
                </c:ext>
              </c:extLst>
              <c:f>'M-Van 32 summary'!$C$34:$N$34</c:f>
              <c:numCache>
                <c:formatCode>#,##0.00</c:formatCode>
                <c:ptCount val="12"/>
              </c:numCache>
            </c:numRef>
          </c:val>
          <c:extLst xmlns:c16r2="http://schemas.microsoft.com/office/drawing/2015/06/chart">
            <c:ext xmlns:c16="http://schemas.microsoft.com/office/drawing/2014/chart" uri="{C3380CC4-5D6E-409C-BE32-E72D297353CC}">
              <c16:uniqueId val="{0000000F-BC02-4B9D-B759-A54E642E7557}"/>
            </c:ext>
          </c:extLst>
        </c:ser>
        <c:ser>
          <c:idx val="16"/>
          <c:order val="16"/>
          <c:tx>
            <c:strRef>
              <c:f>'M-Van 32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'M-Van 32 summary'!$C$18:$P$18</c15:sqref>
                  </c15:fullRef>
                </c:ext>
              </c:extLst>
              <c:f>'M-Van 32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'M-Van 32 summary'!$C$35:$P$35</c15:sqref>
                  </c15:fullRef>
                </c:ext>
              </c:extLst>
              <c:f>'M-Van 32 summary'!$C$35:$N$35</c:f>
              <c:numCache>
                <c:formatCode>#,##0.00</c:formatCode>
                <c:ptCount val="12"/>
              </c:numCache>
            </c:numRef>
          </c:val>
          <c:extLst xmlns:c16r2="http://schemas.microsoft.com/office/drawing/2015/06/chart">
            <c:ext xmlns:c16="http://schemas.microsoft.com/office/drawing/2014/chart" uri="{C3380CC4-5D6E-409C-BE32-E72D297353CC}">
              <c16:uniqueId val="{00000010-BC02-4B9D-B759-A54E642E7557}"/>
            </c:ext>
          </c:extLst>
        </c:ser>
        <c:ser>
          <c:idx val="17"/>
          <c:order val="17"/>
          <c:tx>
            <c:strRef>
              <c:f>'M-Van 32 summary'!$B$36</c:f>
              <c:strCache>
                <c:ptCount val="1"/>
                <c:pt idx="0">
                  <c:v>OIL /OTHER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'M-Van 32 summary'!$C$18:$P$18</c15:sqref>
                  </c15:fullRef>
                </c:ext>
              </c:extLst>
              <c:f>'M-Van 32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'M-Van 32 summary'!$C$36:$P$36</c15:sqref>
                  </c15:fullRef>
                </c:ext>
              </c:extLst>
              <c:f>'M-Van 32 summary'!$C$36:$N$36</c:f>
              <c:numCache>
                <c:formatCode>#,##0.00</c:formatCode>
                <c:ptCount val="12"/>
              </c:numCache>
            </c:numRef>
          </c:val>
          <c:extLst xmlns:c16r2="http://schemas.microsoft.com/office/drawing/2015/06/chart">
            <c:ext xmlns:c16="http://schemas.microsoft.com/office/drawing/2014/chart" uri="{C3380CC4-5D6E-409C-BE32-E72D297353CC}">
              <c16:uniqueId val="{00000011-BC02-4B9D-B759-A54E642E7557}"/>
            </c:ext>
          </c:extLst>
        </c:ser>
        <c:ser>
          <c:idx val="18"/>
          <c:order val="18"/>
          <c:tx>
            <c:strRef>
              <c:f>'M-Van 32 summary'!$B$37</c:f>
              <c:strCache>
                <c:ptCount val="1"/>
                <c:pt idx="0">
                  <c:v>DEF&amp;LABOR</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'M-Van 32 summary'!$C$18:$P$18</c15:sqref>
                  </c15:fullRef>
                </c:ext>
              </c:extLst>
              <c:f>'M-Van 32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'M-Van 32 summary'!$C$37:$P$37</c15:sqref>
                  </c15:fullRef>
                </c:ext>
              </c:extLst>
              <c:f>'M-Van 32 summary'!$C$37:$N$37</c:f>
              <c:numCache>
                <c:formatCode>#,##0.00</c:formatCode>
                <c:ptCount val="12"/>
              </c:numCache>
            </c:numRef>
          </c:val>
          <c:extLst xmlns:c16r2="http://schemas.microsoft.com/office/drawing/2015/06/chart">
            <c:ext xmlns:c16="http://schemas.microsoft.com/office/drawing/2014/chart" uri="{C3380CC4-5D6E-409C-BE32-E72D297353CC}">
              <c16:uniqueId val="{00000012-BC02-4B9D-B759-A54E642E7557}"/>
            </c:ext>
          </c:extLst>
        </c:ser>
        <c:ser>
          <c:idx val="19"/>
          <c:order val="19"/>
          <c:tx>
            <c:strRef>
              <c:f>'M-Van 32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'M-Van 32 summary'!$C$18:$P$18</c15:sqref>
                  </c15:fullRef>
                </c:ext>
              </c:extLst>
              <c:f>'M-Van 32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'M-Van 32 summary'!$C$38:$P$38</c15:sqref>
                  </c15:fullRef>
                </c:ext>
              </c:extLst>
              <c:f>'M-Van 32 summary'!$C$38:$N$38</c:f>
              <c:numCache>
                <c:formatCode>#,##0.00</c:formatCode>
                <c:ptCount val="12"/>
              </c:numCache>
            </c:numRef>
          </c:val>
          <c:extLst xmlns:c16r2="http://schemas.microsoft.com/office/drawing/2015/06/chart">
            <c:ext xmlns:c16="http://schemas.microsoft.com/office/drawing/2014/chart" uri="{C3380CC4-5D6E-409C-BE32-E72D297353CC}">
              <c16:uniqueId val="{00000013-BC02-4B9D-B759-A54E642E7557}"/>
            </c:ext>
          </c:extLst>
        </c:ser>
        <c:ser>
          <c:idx val="20"/>
          <c:order val="20"/>
          <c:tx>
            <c:strRef>
              <c:f>'M-Van 32 summary'!$B$39</c:f>
              <c:strCache>
                <c:ptCount val="1"/>
                <c:pt idx="0">
                  <c:v>OTHER PARTS</c:v>
                </c:pt>
              </c:strCache>
            </c:strRef>
          </c:tx>
          <c:spPr>
            <a:solidFill>
              <a:schemeClr val="accent3">
                <a:lumMod val="80000"/>
              </a:schemeClr>
            </a:solidFill>
            <a:ln>
              <a:noFill/>
            </a:ln>
            <a:effectLst/>
          </c:spPr>
          <c:invertIfNegative val="0"/>
          <c:cat>
            <c:strRef>
              <c:extLst>
                <c:ext xmlns:c15="http://schemas.microsoft.com/office/drawing/2012/chart" uri="{02D57815-91ED-43cb-92C2-25804820EDAC}">
                  <c15:fullRef>
                    <c15:sqref>'M-Van 32 summary'!$C$18:$P$18</c15:sqref>
                  </c15:fullRef>
                </c:ext>
              </c:extLst>
              <c:f>'M-Van 32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'M-Van 32 summary'!$C$39:$P$39</c15:sqref>
                  </c15:fullRef>
                </c:ext>
              </c:extLst>
              <c:f>'M-Van 32 summary'!$C$39:$N$39</c:f>
              <c:numCache>
                <c:formatCode>#,##0.00</c:formatCode>
                <c:ptCount val="12"/>
              </c:numCache>
            </c:numRef>
          </c:val>
          <c:extLst xmlns:c16r2="http://schemas.microsoft.com/office/drawing/2015/06/chart">
            <c:ext xmlns:c16="http://schemas.microsoft.com/office/drawing/2014/chart" uri="{C3380CC4-5D6E-409C-BE32-E72D297353CC}">
              <c16:uniqueId val="{00000014-BC02-4B9D-B759-A54E642E7557}"/>
            </c:ext>
          </c:extLst>
        </c:ser>
        <c:dLbls>
          <c:showLegendKey val="0"/>
          <c:showVal val="0"/>
          <c:showCatName val="0"/>
          <c:showSerName val="0"/>
          <c:showPercent val="0"/>
          <c:showBubbleSize val="0"/>
        </c:dLbls>
        <c:gapWidth val="150"/>
        <c:axId val="700038440"/>
        <c:axId val="700038832"/>
      </c:barChart>
      <c:catAx>
        <c:axId val="700038440"/>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700038832"/>
        <c:crosses val="autoZero"/>
        <c:auto val="1"/>
        <c:lblAlgn val="ctr"/>
        <c:lblOffset val="100"/>
        <c:noMultiLvlLbl val="0"/>
      </c:catAx>
      <c:valAx>
        <c:axId val="700038832"/>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00038440"/>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166148168808599"/>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'32 Chart'!$C$4:$C$5</c:f>
              <c:strCache>
                <c:ptCount val="2"/>
                <c:pt idx="0">
                  <c:v>Projected Cost-Current Maintenance Practices, $109,252  </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'32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'32 Chart'!$C$6:$C$17</c:f>
              <c:numCache>
                <c:formatCode>_("$"* #,##0_);_("$"* \(#,##0\);_("$"* "-"??_);_(@_)</c:formatCode>
                <c:ptCount val="12"/>
                <c:pt idx="0">
                  <c:v>4913</c:v>
                </c:pt>
                <c:pt idx="1">
                  <c:v>4913</c:v>
                </c:pt>
                <c:pt idx="2">
                  <c:v>4913</c:v>
                </c:pt>
                <c:pt idx="3">
                  <c:v>4913</c:v>
                </c:pt>
                <c:pt idx="4">
                  <c:v>17239.669999999998</c:v>
                </c:pt>
                <c:pt idx="5">
                  <c:v>4913</c:v>
                </c:pt>
                <c:pt idx="6">
                  <c:v>4913</c:v>
                </c:pt>
                <c:pt idx="7">
                  <c:v>4913</c:v>
                </c:pt>
                <c:pt idx="8">
                  <c:v>4913</c:v>
                </c:pt>
                <c:pt idx="9">
                  <c:v>4913</c:v>
                </c:pt>
                <c:pt idx="10">
                  <c:v>4913</c:v>
                </c:pt>
                <c:pt idx="11">
                  <c:v>4913</c:v>
                </c:pt>
              </c:numCache>
            </c:numRef>
          </c:val>
          <c:smooth val="0"/>
          <c:extLst xmlns:c16r2="http://schemas.microsoft.com/office/drawing/2015/06/chart">
            <c:ext xmlns:c16="http://schemas.microsoft.com/office/drawing/2014/chart" uri="{C3380CC4-5D6E-409C-BE32-E72D297353CC}">
              <c16:uniqueId val="{00000000-025D-41CE-9D8E-27D56CF3EE6B}"/>
            </c:ext>
          </c:extLst>
        </c:ser>
        <c:ser>
          <c:idx val="1"/>
          <c:order val="1"/>
          <c:tx>
            <c:strRef>
              <c:f>'32 Chart'!$D$4:$D$5</c:f>
              <c:strCache>
                <c:ptCount val="2"/>
                <c:pt idx="0">
                  <c:v>Projected Cost Alternate Maintenance Practices, $253,816</c:v>
                </c:pt>
              </c:strCache>
            </c:strRef>
          </c:tx>
          <c:spPr>
            <a:ln w="22225" cap="rnd">
              <a:solidFill>
                <a:schemeClr val="accent2"/>
              </a:solidFill>
            </a:ln>
            <a:effectLst>
              <a:glow rad="139700">
                <a:schemeClr val="accent2">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'32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'32 Chart'!$D$6:$D$17</c:f>
              <c:numCache>
                <c:formatCode>_("$"* #,##0_);_("$"* \(#,##0\);_("$"* "-"??_);_(@_)</c:formatCode>
                <c:ptCount val="12"/>
                <c:pt idx="0">
                  <c:v>2827</c:v>
                </c:pt>
                <c:pt idx="1">
                  <c:v>2499</c:v>
                </c:pt>
                <c:pt idx="2">
                  <c:v>3530.5</c:v>
                </c:pt>
                <c:pt idx="3">
                  <c:v>125</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25D-41CE-9D8E-27D56CF3EE6B}"/>
            </c:ext>
          </c:extLst>
        </c:ser>
        <c:dLbls>
          <c:showLegendKey val="0"/>
          <c:showVal val="0"/>
          <c:showCatName val="0"/>
          <c:showSerName val="0"/>
          <c:showPercent val="0"/>
          <c:showBubbleSize val="0"/>
        </c:dLbls>
        <c:smooth val="0"/>
        <c:axId val="700039616"/>
        <c:axId val="700040008"/>
      </c:lineChart>
      <c:catAx>
        <c:axId val="700039616"/>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700040008"/>
        <c:crosses val="autoZero"/>
        <c:auto val="1"/>
        <c:lblAlgn val="ctr"/>
        <c:lblOffset val="100"/>
        <c:tickLblSkip val="1"/>
        <c:tickMarkSkip val="1"/>
        <c:noMultiLvlLbl val="0"/>
      </c:catAx>
      <c:valAx>
        <c:axId val="70004000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70003961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alignWithMargins="0"/>
    <c:pageMargins b="1" l="0.75" r="0.7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203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203 summary'!$C$19:$P$19</c15:sqref>
                  </c15:fullRef>
                </c:ext>
              </c:extLst>
              <c:f>'Bus 203 summary'!$C$19:$N$19</c:f>
              <c:numCache>
                <c:formatCode>#,##0.00</c:formatCode>
                <c:ptCount val="12"/>
                <c:pt idx="7">
                  <c:v>310.64999999999998</c:v>
                </c:pt>
                <c:pt idx="9">
                  <c:v>104.86</c:v>
                </c:pt>
              </c:numCache>
            </c:numRef>
          </c:val>
          <c:extLst xmlns:c16r2="http://schemas.microsoft.com/office/drawing/2015/06/chart">
            <c:ext xmlns:c16="http://schemas.microsoft.com/office/drawing/2014/chart" uri="{C3380CC4-5D6E-409C-BE32-E72D297353CC}">
              <c16:uniqueId val="{00000000-E118-4206-B7A3-92EDFFAFC46A}"/>
            </c:ext>
          </c:extLst>
        </c:ser>
        <c:ser>
          <c:idx val="1"/>
          <c:order val="1"/>
          <c:tx>
            <c:strRef>
              <c:f>'Bus 203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203 summary'!$C$20:$P$20</c15:sqref>
                  </c15:fullRef>
                </c:ext>
              </c:extLst>
              <c:f>'Bus 203 summary'!$C$20:$N$20</c:f>
              <c:numCache>
                <c:formatCode>#,##0.00</c:formatCode>
                <c:ptCount val="12"/>
              </c:numCache>
            </c:numRef>
          </c:val>
          <c:extLst xmlns:c16r2="http://schemas.microsoft.com/office/drawing/2015/06/chart">
            <c:ext xmlns:c16="http://schemas.microsoft.com/office/drawing/2014/chart" uri="{C3380CC4-5D6E-409C-BE32-E72D297353CC}">
              <c16:uniqueId val="{00000001-E118-4206-B7A3-92EDFFAFC46A}"/>
            </c:ext>
          </c:extLst>
        </c:ser>
        <c:ser>
          <c:idx val="2"/>
          <c:order val="2"/>
          <c:tx>
            <c:strRef>
              <c:f>'Bus 203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203 summary'!$C$21:$P$21</c15:sqref>
                  </c15:fullRef>
                </c:ext>
              </c:extLst>
              <c:f>'Bus 203 summary'!$C$21:$N$21</c:f>
              <c:numCache>
                <c:formatCode>#,##0.00</c:formatCode>
                <c:ptCount val="12"/>
                <c:pt idx="8">
                  <c:v>11.3</c:v>
                </c:pt>
              </c:numCache>
            </c:numRef>
          </c:val>
          <c:extLst xmlns:c16r2="http://schemas.microsoft.com/office/drawing/2015/06/chart">
            <c:ext xmlns:c16="http://schemas.microsoft.com/office/drawing/2014/chart" uri="{C3380CC4-5D6E-409C-BE32-E72D297353CC}">
              <c16:uniqueId val="{00000002-E118-4206-B7A3-92EDFFAFC46A}"/>
            </c:ext>
          </c:extLst>
        </c:ser>
        <c:ser>
          <c:idx val="3"/>
          <c:order val="3"/>
          <c:tx>
            <c:strRef>
              <c:f>'Bus 203 summary'!$B$22</c:f>
              <c:strCache>
                <c:ptCount val="1"/>
                <c:pt idx="0">
                  <c:v> CALIPERS</c:v>
                </c:pt>
              </c:strCache>
            </c:strRef>
          </c:tx>
          <c:spPr>
            <a:solidFill>
              <a:schemeClr val="accent4"/>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203 summary'!$C$22:$P$22</c15:sqref>
                  </c15:fullRef>
                </c:ext>
              </c:extLst>
              <c:f>'Bus 203 summary'!$C$22:$N$22</c:f>
              <c:numCache>
                <c:formatCode>#,##0.00</c:formatCode>
                <c:ptCount val="12"/>
              </c:numCache>
            </c:numRef>
          </c:val>
          <c:extLst xmlns:c16r2="http://schemas.microsoft.com/office/drawing/2015/06/chart">
            <c:ext xmlns:c16="http://schemas.microsoft.com/office/drawing/2014/chart" uri="{C3380CC4-5D6E-409C-BE32-E72D297353CC}">
              <c16:uniqueId val="{00000003-E118-4206-B7A3-92EDFFAFC46A}"/>
            </c:ext>
          </c:extLst>
        </c:ser>
        <c:ser>
          <c:idx val="4"/>
          <c:order val="4"/>
          <c:tx>
            <c:strRef>
              <c:f>'Bus 203 summary'!$B$23</c:f>
              <c:strCache>
                <c:ptCount val="1"/>
                <c:pt idx="0">
                  <c:v>STARTERS</c:v>
                </c:pt>
              </c:strCache>
            </c:strRef>
          </c:tx>
          <c:spPr>
            <a:solidFill>
              <a:schemeClr val="accent5"/>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203 summary'!$C$23:$P$23</c15:sqref>
                  </c15:fullRef>
                </c:ext>
              </c:extLst>
              <c:f>'Bus 203 summary'!$C$23:$N$23</c:f>
              <c:numCache>
                <c:formatCode>#,##0.00</c:formatCode>
                <c:ptCount val="12"/>
              </c:numCache>
            </c:numRef>
          </c:val>
          <c:extLst xmlns:c16r2="http://schemas.microsoft.com/office/drawing/2015/06/chart">
            <c:ext xmlns:c16="http://schemas.microsoft.com/office/drawing/2014/chart" uri="{C3380CC4-5D6E-409C-BE32-E72D297353CC}">
              <c16:uniqueId val="{00000004-E118-4206-B7A3-92EDFFAFC46A}"/>
            </c:ext>
          </c:extLst>
        </c:ser>
        <c:ser>
          <c:idx val="5"/>
          <c:order val="5"/>
          <c:tx>
            <c:strRef>
              <c:f>'Bus 203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203 summary'!$C$24:$P$24</c15:sqref>
                  </c15:fullRef>
                </c:ext>
              </c:extLst>
              <c:f>'Bus 203 summary'!$C$24:$N$24</c:f>
              <c:numCache>
                <c:formatCode>#,##0.00</c:formatCode>
                <c:ptCount val="12"/>
              </c:numCache>
            </c:numRef>
          </c:val>
          <c:extLst xmlns:c16r2="http://schemas.microsoft.com/office/drawing/2015/06/chart">
            <c:ext xmlns:c16="http://schemas.microsoft.com/office/drawing/2014/chart" uri="{C3380CC4-5D6E-409C-BE32-E72D297353CC}">
              <c16:uniqueId val="{00000005-E118-4206-B7A3-92EDFFAFC46A}"/>
            </c:ext>
          </c:extLst>
        </c:ser>
        <c:ser>
          <c:idx val="6"/>
          <c:order val="6"/>
          <c:tx>
            <c:strRef>
              <c:f>'Bus 203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203 summary'!$C$25:$P$25</c15:sqref>
                  </c15:fullRef>
                </c:ext>
              </c:extLst>
              <c:f>'Bus 203 summary'!$C$25:$N$25</c:f>
              <c:numCache>
                <c:formatCode>#,##0.00</c:formatCode>
                <c:ptCount val="12"/>
              </c:numCache>
            </c:numRef>
          </c:val>
          <c:extLst xmlns:c16r2="http://schemas.microsoft.com/office/drawing/2015/06/chart">
            <c:ext xmlns:c16="http://schemas.microsoft.com/office/drawing/2014/chart" uri="{C3380CC4-5D6E-409C-BE32-E72D297353CC}">
              <c16:uniqueId val="{00000006-E118-4206-B7A3-92EDFFAFC46A}"/>
            </c:ext>
          </c:extLst>
        </c:ser>
        <c:ser>
          <c:idx val="7"/>
          <c:order val="7"/>
          <c:tx>
            <c:strRef>
              <c:f>'Bus 203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203 summary'!$C$26:$P$26</c15:sqref>
                  </c15:fullRef>
                </c:ext>
              </c:extLst>
              <c:f>'Bus 203 summary'!$C$26:$N$26</c:f>
              <c:numCache>
                <c:formatCode>#,##0.00</c:formatCode>
                <c:ptCount val="12"/>
              </c:numCache>
            </c:numRef>
          </c:val>
          <c:extLst xmlns:c16r2="http://schemas.microsoft.com/office/drawing/2015/06/chart">
            <c:ext xmlns:c16="http://schemas.microsoft.com/office/drawing/2014/chart" uri="{C3380CC4-5D6E-409C-BE32-E72D297353CC}">
              <c16:uniqueId val="{00000007-E118-4206-B7A3-92EDFFAFC46A}"/>
            </c:ext>
          </c:extLst>
        </c:ser>
        <c:ser>
          <c:idx val="8"/>
          <c:order val="8"/>
          <c:tx>
            <c:strRef>
              <c:f>'Bus 203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203 summary'!$C$27:$P$27</c15:sqref>
                  </c15:fullRef>
                </c:ext>
              </c:extLst>
              <c:f>'Bus 203 summary'!$C$27:$N$27</c:f>
              <c:numCache>
                <c:formatCode>#,##0.00</c:formatCode>
                <c:ptCount val="12"/>
              </c:numCache>
            </c:numRef>
          </c:val>
          <c:extLst xmlns:c16r2="http://schemas.microsoft.com/office/drawing/2015/06/chart">
            <c:ext xmlns:c16="http://schemas.microsoft.com/office/drawing/2014/chart" uri="{C3380CC4-5D6E-409C-BE32-E72D297353CC}">
              <c16:uniqueId val="{00000008-E118-4206-B7A3-92EDFFAFC46A}"/>
            </c:ext>
          </c:extLst>
        </c:ser>
        <c:ser>
          <c:idx val="9"/>
          <c:order val="9"/>
          <c:tx>
            <c:strRef>
              <c:f>'Bus 203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203 summary'!$C$28:$P$28</c15:sqref>
                  </c15:fullRef>
                </c:ext>
              </c:extLst>
              <c:f>'Bus 203 summary'!$C$28:$N$28</c:f>
            </c:numRef>
          </c:val>
          <c:extLst xmlns:c16r2="http://schemas.microsoft.com/office/drawing/2015/06/chart">
            <c:ext xmlns:c16="http://schemas.microsoft.com/office/drawing/2014/chart" uri="{C3380CC4-5D6E-409C-BE32-E72D297353CC}">
              <c16:uniqueId val="{00000009-E118-4206-B7A3-92EDFFAFC46A}"/>
            </c:ext>
          </c:extLst>
        </c:ser>
        <c:ser>
          <c:idx val="10"/>
          <c:order val="10"/>
          <c:tx>
            <c:strRef>
              <c:f>'Bus 203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203 summary'!$C$29:$P$29</c15:sqref>
                  </c15:fullRef>
                </c:ext>
              </c:extLst>
              <c:f>'Bus 203 summary'!$C$29:$N$29</c:f>
            </c:numRef>
          </c:val>
          <c:extLst xmlns:c16r2="http://schemas.microsoft.com/office/drawing/2015/06/chart">
            <c:ext xmlns:c16="http://schemas.microsoft.com/office/drawing/2014/chart" uri="{C3380CC4-5D6E-409C-BE32-E72D297353CC}">
              <c16:uniqueId val="{0000000A-E118-4206-B7A3-92EDFFAFC46A}"/>
            </c:ext>
          </c:extLst>
        </c:ser>
        <c:ser>
          <c:idx val="11"/>
          <c:order val="11"/>
          <c:tx>
            <c:strRef>
              <c:f>'Bus 203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203 summary'!$C$30:$P$30</c15:sqref>
                  </c15:fullRef>
                </c:ext>
              </c:extLst>
              <c:f>'Bus 203 summary'!$C$30:$N$30</c:f>
            </c:numRef>
          </c:val>
          <c:extLst xmlns:c16r2="http://schemas.microsoft.com/office/drawing/2015/06/chart">
            <c:ext xmlns:c16="http://schemas.microsoft.com/office/drawing/2014/chart" uri="{C3380CC4-5D6E-409C-BE32-E72D297353CC}">
              <c16:uniqueId val="{0000000B-E118-4206-B7A3-92EDFFAFC46A}"/>
            </c:ext>
          </c:extLst>
        </c:ser>
        <c:ser>
          <c:idx val="12"/>
          <c:order val="12"/>
          <c:tx>
            <c:strRef>
              <c:f>'Bus 203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203 summary'!$C$31:$P$31</c15:sqref>
                  </c15:fullRef>
                </c:ext>
              </c:extLst>
              <c:f>'Bus 203 summary'!$C$31:$N$31</c:f>
            </c:numRef>
          </c:val>
          <c:extLst xmlns:c16r2="http://schemas.microsoft.com/office/drawing/2015/06/chart">
            <c:ext xmlns:c16="http://schemas.microsoft.com/office/drawing/2014/chart" uri="{C3380CC4-5D6E-409C-BE32-E72D297353CC}">
              <c16:uniqueId val="{0000000C-E118-4206-B7A3-92EDFFAFC46A}"/>
            </c:ext>
          </c:extLst>
        </c:ser>
        <c:ser>
          <c:idx val="13"/>
          <c:order val="13"/>
          <c:tx>
            <c:strRef>
              <c:f>'Bus 203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203 summary'!$C$32:$P$32</c15:sqref>
                  </c15:fullRef>
                </c:ext>
              </c:extLst>
              <c:f>'Bus 203 summary'!$C$32:$N$32</c:f>
              <c:numCache>
                <c:formatCode>#,##0.00</c:formatCode>
                <c:ptCount val="12"/>
              </c:numCache>
            </c:numRef>
          </c:val>
          <c:extLst xmlns:c16r2="http://schemas.microsoft.com/office/drawing/2015/06/chart">
            <c:ext xmlns:c16="http://schemas.microsoft.com/office/drawing/2014/chart" uri="{C3380CC4-5D6E-409C-BE32-E72D297353CC}">
              <c16:uniqueId val="{0000000D-E118-4206-B7A3-92EDFFAFC46A}"/>
            </c:ext>
          </c:extLst>
        </c:ser>
        <c:ser>
          <c:idx val="14"/>
          <c:order val="14"/>
          <c:tx>
            <c:strRef>
              <c:f>'Bus 203 summary'!$B$33</c:f>
              <c:strCache>
                <c:ptCount val="1"/>
                <c:pt idx="0">
                  <c:v>WARRANTY/LABOR</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203 summary'!$C$33:$P$33</c15:sqref>
                  </c15:fullRef>
                </c:ext>
              </c:extLst>
              <c:f>'Bus 203 summary'!$C$33:$N$33</c:f>
              <c:numCache>
                <c:formatCode>#,##0.00</c:formatCode>
                <c:ptCount val="12"/>
              </c:numCache>
            </c:numRef>
          </c:val>
          <c:extLst xmlns:c16r2="http://schemas.microsoft.com/office/drawing/2015/06/chart">
            <c:ext xmlns:c16="http://schemas.microsoft.com/office/drawing/2014/chart" uri="{C3380CC4-5D6E-409C-BE32-E72D297353CC}">
              <c16:uniqueId val="{0000000E-E118-4206-B7A3-92EDFFAFC46A}"/>
            </c:ext>
          </c:extLst>
        </c:ser>
        <c:ser>
          <c:idx val="15"/>
          <c:order val="15"/>
          <c:tx>
            <c:strRef>
              <c:f>'Bus 203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203 summary'!$C$34:$P$34</c15:sqref>
                  </c15:fullRef>
                </c:ext>
              </c:extLst>
              <c:f>'Bus 203 summary'!$C$34:$N$34</c:f>
              <c:numCache>
                <c:formatCode>#,##0.00</c:formatCode>
                <c:ptCount val="12"/>
              </c:numCache>
            </c:numRef>
          </c:val>
          <c:extLst xmlns:c16r2="http://schemas.microsoft.com/office/drawing/2015/06/chart">
            <c:ext xmlns:c16="http://schemas.microsoft.com/office/drawing/2014/chart" uri="{C3380CC4-5D6E-409C-BE32-E72D297353CC}">
              <c16:uniqueId val="{0000000F-E118-4206-B7A3-92EDFFAFC46A}"/>
            </c:ext>
          </c:extLst>
        </c:ser>
        <c:ser>
          <c:idx val="16"/>
          <c:order val="16"/>
          <c:tx>
            <c:strRef>
              <c:f>'Bus 203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203 summary'!$C$35:$P$35</c15:sqref>
                  </c15:fullRef>
                </c:ext>
              </c:extLst>
              <c:f>'Bus 203 summary'!$C$35:$N$35</c:f>
              <c:numCache>
                <c:formatCode>#,##0.00</c:formatCode>
                <c:ptCount val="12"/>
              </c:numCache>
            </c:numRef>
          </c:val>
          <c:extLst xmlns:c16r2="http://schemas.microsoft.com/office/drawing/2015/06/chart">
            <c:ext xmlns:c16="http://schemas.microsoft.com/office/drawing/2014/chart" uri="{C3380CC4-5D6E-409C-BE32-E72D297353CC}">
              <c16:uniqueId val="{00000010-E118-4206-B7A3-92EDFFAFC46A}"/>
            </c:ext>
          </c:extLst>
        </c:ser>
        <c:ser>
          <c:idx val="17"/>
          <c:order val="17"/>
          <c:tx>
            <c:strRef>
              <c:f>'Bus 203 summary'!$B$36</c:f>
              <c:strCache>
                <c:ptCount val="1"/>
                <c:pt idx="0">
                  <c:v>OIL /OTHER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203 summary'!$C$36:$P$36</c15:sqref>
                  </c15:fullRef>
                </c:ext>
              </c:extLst>
              <c:f>'Bus 203 summary'!$C$36:$N$36</c:f>
              <c:numCache>
                <c:formatCode>#,##0.00</c:formatCode>
                <c:ptCount val="12"/>
                <c:pt idx="6">
                  <c:v>2</c:v>
                </c:pt>
              </c:numCache>
            </c:numRef>
          </c:val>
          <c:extLst xmlns:c16r2="http://schemas.microsoft.com/office/drawing/2015/06/chart">
            <c:ext xmlns:c16="http://schemas.microsoft.com/office/drawing/2014/chart" uri="{C3380CC4-5D6E-409C-BE32-E72D297353CC}">
              <c16:uniqueId val="{00000011-E118-4206-B7A3-92EDFFAFC46A}"/>
            </c:ext>
          </c:extLst>
        </c:ser>
        <c:ser>
          <c:idx val="18"/>
          <c:order val="18"/>
          <c:tx>
            <c:strRef>
              <c:f>'Bus 203 summary'!$B$37</c:f>
              <c:strCache>
                <c:ptCount val="1"/>
                <c:pt idx="0">
                  <c:v>OTHER PARTS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203 summary'!$C$37:$P$37</c15:sqref>
                  </c15:fullRef>
                </c:ext>
              </c:extLst>
              <c:f>'Bus 203 summary'!$C$37:$N$37</c:f>
              <c:numCache>
                <c:formatCode>#,##0.00</c:formatCode>
                <c:ptCount val="12"/>
                <c:pt idx="7">
                  <c:v>27.6</c:v>
                </c:pt>
              </c:numCache>
            </c:numRef>
          </c:val>
          <c:extLst xmlns:c16r2="http://schemas.microsoft.com/office/drawing/2015/06/chart">
            <c:ext xmlns:c16="http://schemas.microsoft.com/office/drawing/2014/chart" uri="{C3380CC4-5D6E-409C-BE32-E72D297353CC}">
              <c16:uniqueId val="{00000012-E118-4206-B7A3-92EDFFAFC46A}"/>
            </c:ext>
          </c:extLst>
        </c:ser>
        <c:ser>
          <c:idx val="19"/>
          <c:order val="19"/>
          <c:tx>
            <c:strRef>
              <c:f>'Bus 203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'Bus 203 summary'!$C$18:$P$18</c15:sqref>
                  </c15:fullRef>
                </c:ext>
              </c:extLst>
              <c:f>'Bus 203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203 summary'!$C$38:$P$38</c15:sqref>
                  </c15:fullRef>
                </c:ext>
              </c:extLst>
              <c:f>'Bus 203 summary'!$C$38:$N$38</c:f>
              <c:numCache>
                <c:formatCode>#,##0.00</c:formatCode>
                <c:ptCount val="12"/>
                <c:pt idx="6">
                  <c:v>10</c:v>
                </c:pt>
                <c:pt idx="7">
                  <c:v>60</c:v>
                </c:pt>
                <c:pt idx="8">
                  <c:v>40</c:v>
                </c:pt>
              </c:numCache>
            </c:numRef>
          </c:val>
          <c:extLst xmlns:c16r2="http://schemas.microsoft.com/office/drawing/2015/06/chart">
            <c:ext xmlns:c16="http://schemas.microsoft.com/office/drawing/2014/chart" uri="{C3380CC4-5D6E-409C-BE32-E72D297353CC}">
              <c16:uniqueId val="{00000013-E118-4206-B7A3-92EDFFAFC46A}"/>
            </c:ext>
          </c:extLst>
        </c:ser>
        <c:dLbls>
          <c:showLegendKey val="0"/>
          <c:showVal val="0"/>
          <c:showCatName val="0"/>
          <c:showSerName val="0"/>
          <c:showPercent val="0"/>
          <c:showBubbleSize val="0"/>
        </c:dLbls>
        <c:gapWidth val="150"/>
        <c:axId val="663614848"/>
        <c:axId val="663615240"/>
      </c:barChart>
      <c:catAx>
        <c:axId val="663614848"/>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63615240"/>
        <c:crosses val="autoZero"/>
        <c:auto val="1"/>
        <c:lblAlgn val="ctr"/>
        <c:lblOffset val="100"/>
        <c:noMultiLvlLbl val="0"/>
      </c:catAx>
      <c:valAx>
        <c:axId val="663615240"/>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63614848"/>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866728171240174"/>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'203 Chart'!$C$4:$C$5</c:f>
              <c:strCache>
                <c:ptCount val="2"/>
                <c:pt idx="0">
                  <c:v>Projected Cost-Current Maintenance Practices, $109,252  </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'203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'203 Chart'!$C$6:$C$17</c:f>
              <c:numCache>
                <c:formatCode>_("$"* #,##0_);_("$"* \(#,##0\);_("$"* "-"??_);_(@_)</c:formatCode>
                <c:ptCount val="12"/>
                <c:pt idx="0">
                  <c:v>3864.33</c:v>
                </c:pt>
                <c:pt idx="1">
                  <c:v>3864.33</c:v>
                </c:pt>
                <c:pt idx="2">
                  <c:v>3864.33</c:v>
                </c:pt>
                <c:pt idx="3">
                  <c:v>3864.33</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881-4EE2-A1C7-BFDF49CF9E36}"/>
            </c:ext>
          </c:extLst>
        </c:ser>
        <c:ser>
          <c:idx val="1"/>
          <c:order val="1"/>
          <c:tx>
            <c:strRef>
              <c:f>'203 Chart'!$D$4:$D$5</c:f>
              <c:strCache>
                <c:ptCount val="2"/>
                <c:pt idx="0">
                  <c:v>Projected Cost Alternate Maintenance Practices, $253,816</c:v>
                </c:pt>
              </c:strCache>
            </c:strRef>
          </c:tx>
          <c:spPr>
            <a:ln w="22225" cap="rnd">
              <a:solidFill>
                <a:schemeClr val="accent2"/>
              </a:solidFill>
            </a:ln>
            <a:effectLst>
              <a:glow rad="139700">
                <a:schemeClr val="accent2">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'203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'203 Chart'!$D$6:$D$17</c:f>
              <c:numCache>
                <c:formatCode>_("$"* #,##0_);_("$"* \(#,##0\);_("$"* "-"??_);_(@_)</c:formatCode>
                <c:ptCount val="12"/>
                <c:pt idx="0">
                  <c:v>2273.5</c:v>
                </c:pt>
                <c:pt idx="1">
                  <c:v>7329.5</c:v>
                </c:pt>
                <c:pt idx="2">
                  <c:v>7426</c:v>
                </c:pt>
                <c:pt idx="3">
                  <c:v>699</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881-4EE2-A1C7-BFDF49CF9E36}"/>
            </c:ext>
          </c:extLst>
        </c:ser>
        <c:dLbls>
          <c:showLegendKey val="0"/>
          <c:showVal val="0"/>
          <c:showCatName val="0"/>
          <c:showSerName val="0"/>
          <c:showPercent val="0"/>
          <c:showBubbleSize val="0"/>
        </c:dLbls>
        <c:smooth val="0"/>
        <c:axId val="663615632"/>
        <c:axId val="663616024"/>
      </c:lineChart>
      <c:catAx>
        <c:axId val="66361563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63616024"/>
        <c:crosses val="autoZero"/>
        <c:auto val="1"/>
        <c:lblAlgn val="ctr"/>
        <c:lblOffset val="100"/>
        <c:tickLblSkip val="1"/>
        <c:tickMarkSkip val="1"/>
        <c:noMultiLvlLbl val="0"/>
      </c:catAx>
      <c:valAx>
        <c:axId val="663616024"/>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63615632"/>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alignWithMargins="0"/>
    <c:pageMargins b="1" l="0.75" r="0.7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'301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'301 summary'!$C$19:$P$19</c15:sqref>
                  </c15:fullRef>
                </c:ext>
              </c:extLst>
              <c:f>'301 summary'!$C$19:$N$19</c:f>
              <c:numCache>
                <c:formatCode>#,##0.00</c:formatCode>
                <c:ptCount val="12"/>
              </c:numCache>
            </c:numRef>
          </c:val>
          <c:extLst xmlns:c16r2="http://schemas.microsoft.com/office/drawing/2015/06/chart">
            <c:ext xmlns:c16="http://schemas.microsoft.com/office/drawing/2014/chart" uri="{C3380CC4-5D6E-409C-BE32-E72D297353CC}">
              <c16:uniqueId val="{00000000-EFD1-4B6F-91DC-64DC43309BAF}"/>
            </c:ext>
          </c:extLst>
        </c:ser>
        <c:ser>
          <c:idx val="1"/>
          <c:order val="1"/>
          <c:tx>
            <c:strRef>
              <c:f>'301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'301 summary'!$C$20:$P$20</c15:sqref>
                  </c15:fullRef>
                </c:ext>
              </c:extLst>
              <c:f>'301 summary'!$C$20:$N$20</c:f>
              <c:numCache>
                <c:formatCode>#,##0.00</c:formatCode>
                <c:ptCount val="12"/>
                <c:pt idx="8">
                  <c:v>418.88</c:v>
                </c:pt>
              </c:numCache>
            </c:numRef>
          </c:val>
          <c:extLst xmlns:c16r2="http://schemas.microsoft.com/office/drawing/2015/06/chart">
            <c:ext xmlns:c16="http://schemas.microsoft.com/office/drawing/2014/chart" uri="{C3380CC4-5D6E-409C-BE32-E72D297353CC}">
              <c16:uniqueId val="{00000001-EFD1-4B6F-91DC-64DC43309BAF}"/>
            </c:ext>
          </c:extLst>
        </c:ser>
        <c:ser>
          <c:idx val="2"/>
          <c:order val="2"/>
          <c:tx>
            <c:strRef>
              <c:f>'301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'301 summary'!$C$21:$P$21</c15:sqref>
                  </c15:fullRef>
                </c:ext>
              </c:extLst>
              <c:f>'301 summary'!$C$21:$N$21</c:f>
              <c:numCache>
                <c:formatCode>#,##0.00</c:formatCode>
                <c:ptCount val="12"/>
                <c:pt idx="8">
                  <c:v>11.3</c:v>
                </c:pt>
              </c:numCache>
            </c:numRef>
          </c:val>
          <c:extLst xmlns:c16r2="http://schemas.microsoft.com/office/drawing/2015/06/chart">
            <c:ext xmlns:c16="http://schemas.microsoft.com/office/drawing/2014/chart" uri="{C3380CC4-5D6E-409C-BE32-E72D297353CC}">
              <c16:uniqueId val="{00000002-EFD1-4B6F-91DC-64DC43309BAF}"/>
            </c:ext>
          </c:extLst>
        </c:ser>
        <c:ser>
          <c:idx val="3"/>
          <c:order val="3"/>
          <c:tx>
            <c:strRef>
              <c:f>'301 summary'!$B$22</c:f>
              <c:strCache>
                <c:ptCount val="1"/>
                <c:pt idx="0">
                  <c:v>CALIPERS</c:v>
                </c:pt>
              </c:strCache>
            </c:strRef>
          </c:tx>
          <c:spPr>
            <a:solidFill>
              <a:schemeClr val="accent4"/>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'301 summary'!$C$22:$P$22</c15:sqref>
                  </c15:fullRef>
                </c:ext>
              </c:extLst>
              <c:f>'301 summary'!$C$22:$N$22</c:f>
              <c:numCache>
                <c:formatCode>#,##0.00</c:formatCode>
                <c:ptCount val="12"/>
              </c:numCache>
            </c:numRef>
          </c:val>
          <c:extLst xmlns:c16r2="http://schemas.microsoft.com/office/drawing/2015/06/chart">
            <c:ext xmlns:c16="http://schemas.microsoft.com/office/drawing/2014/chart" uri="{C3380CC4-5D6E-409C-BE32-E72D297353CC}">
              <c16:uniqueId val="{00000003-EFD1-4B6F-91DC-64DC43309BAF}"/>
            </c:ext>
          </c:extLst>
        </c:ser>
        <c:ser>
          <c:idx val="4"/>
          <c:order val="4"/>
          <c:tx>
            <c:strRef>
              <c:f>'301 summary'!$B$23</c:f>
              <c:strCache>
                <c:ptCount val="1"/>
                <c:pt idx="0">
                  <c:v>STARTERS</c:v>
                </c:pt>
              </c:strCache>
            </c:strRef>
          </c:tx>
          <c:spPr>
            <a:solidFill>
              <a:schemeClr val="accent5"/>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'301 summary'!$C$23:$P$23</c15:sqref>
                  </c15:fullRef>
                </c:ext>
              </c:extLst>
              <c:f>'301 summary'!$C$23:$N$23</c:f>
              <c:numCache>
                <c:formatCode>#,##0.00</c:formatCode>
                <c:ptCount val="12"/>
              </c:numCache>
            </c:numRef>
          </c:val>
          <c:extLst xmlns:c16r2="http://schemas.microsoft.com/office/drawing/2015/06/chart">
            <c:ext xmlns:c16="http://schemas.microsoft.com/office/drawing/2014/chart" uri="{C3380CC4-5D6E-409C-BE32-E72D297353CC}">
              <c16:uniqueId val="{00000004-EFD1-4B6F-91DC-64DC43309BAF}"/>
            </c:ext>
          </c:extLst>
        </c:ser>
        <c:ser>
          <c:idx val="5"/>
          <c:order val="5"/>
          <c:tx>
            <c:strRef>
              <c:f>'301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'301 summary'!$C$24:$P$24</c15:sqref>
                  </c15:fullRef>
                </c:ext>
              </c:extLst>
              <c:f>'301 summary'!$C$24:$N$24</c:f>
              <c:numCache>
                <c:formatCode>#,##0.00</c:formatCode>
                <c:ptCount val="12"/>
              </c:numCache>
            </c:numRef>
          </c:val>
          <c:extLst xmlns:c16r2="http://schemas.microsoft.com/office/drawing/2015/06/chart">
            <c:ext xmlns:c16="http://schemas.microsoft.com/office/drawing/2014/chart" uri="{C3380CC4-5D6E-409C-BE32-E72D297353CC}">
              <c16:uniqueId val="{00000005-EFD1-4B6F-91DC-64DC43309BAF}"/>
            </c:ext>
          </c:extLst>
        </c:ser>
        <c:ser>
          <c:idx val="6"/>
          <c:order val="6"/>
          <c:tx>
            <c:strRef>
              <c:f>'301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'301 summary'!$C$25:$P$25</c15:sqref>
                  </c15:fullRef>
                </c:ext>
              </c:extLst>
              <c:f>'301 summary'!$C$25:$N$25</c:f>
              <c:numCache>
                <c:formatCode>#,##0.00</c:formatCode>
                <c:ptCount val="12"/>
              </c:numCache>
            </c:numRef>
          </c:val>
          <c:extLst xmlns:c16r2="http://schemas.microsoft.com/office/drawing/2015/06/chart">
            <c:ext xmlns:c16="http://schemas.microsoft.com/office/drawing/2014/chart" uri="{C3380CC4-5D6E-409C-BE32-E72D297353CC}">
              <c16:uniqueId val="{00000006-EFD1-4B6F-91DC-64DC43309BAF}"/>
            </c:ext>
          </c:extLst>
        </c:ser>
        <c:ser>
          <c:idx val="7"/>
          <c:order val="7"/>
          <c:tx>
            <c:strRef>
              <c:f>'301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'301 summary'!$C$26:$P$26</c15:sqref>
                  </c15:fullRef>
                </c:ext>
              </c:extLst>
              <c:f>'301 summary'!$C$26:$N$26</c:f>
              <c:numCache>
                <c:formatCode>#,##0.00</c:formatCode>
                <c:ptCount val="12"/>
              </c:numCache>
            </c:numRef>
          </c:val>
          <c:extLst xmlns:c16r2="http://schemas.microsoft.com/office/drawing/2015/06/chart">
            <c:ext xmlns:c16="http://schemas.microsoft.com/office/drawing/2014/chart" uri="{C3380CC4-5D6E-409C-BE32-E72D297353CC}">
              <c16:uniqueId val="{00000007-EFD1-4B6F-91DC-64DC43309BAF}"/>
            </c:ext>
          </c:extLst>
        </c:ser>
        <c:ser>
          <c:idx val="8"/>
          <c:order val="8"/>
          <c:tx>
            <c:strRef>
              <c:f>'301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'301 summary'!$C$27:$P$27</c15:sqref>
                  </c15:fullRef>
                </c:ext>
              </c:extLst>
              <c:f>'301 summary'!$C$27:$N$27</c:f>
              <c:numCache>
                <c:formatCode>#,##0.00</c:formatCode>
                <c:ptCount val="12"/>
                <c:pt idx="8">
                  <c:v>101.7</c:v>
                </c:pt>
              </c:numCache>
            </c:numRef>
          </c:val>
          <c:extLst xmlns:c16r2="http://schemas.microsoft.com/office/drawing/2015/06/chart">
            <c:ext xmlns:c16="http://schemas.microsoft.com/office/drawing/2014/chart" uri="{C3380CC4-5D6E-409C-BE32-E72D297353CC}">
              <c16:uniqueId val="{00000008-EFD1-4B6F-91DC-64DC43309BAF}"/>
            </c:ext>
          </c:extLst>
        </c:ser>
        <c:ser>
          <c:idx val="9"/>
          <c:order val="9"/>
          <c:tx>
            <c:strRef>
              <c:f>'301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'301 summary'!$C$28:$P$28</c15:sqref>
                  </c15:fullRef>
                </c:ext>
              </c:extLst>
              <c:f>'301 summary'!$C$28:$N$28</c:f>
            </c:numRef>
          </c:val>
          <c:extLst xmlns:c16r2="http://schemas.microsoft.com/office/drawing/2015/06/chart">
            <c:ext xmlns:c16="http://schemas.microsoft.com/office/drawing/2014/chart" uri="{C3380CC4-5D6E-409C-BE32-E72D297353CC}">
              <c16:uniqueId val="{00000009-EFD1-4B6F-91DC-64DC43309BAF}"/>
            </c:ext>
          </c:extLst>
        </c:ser>
        <c:ser>
          <c:idx val="10"/>
          <c:order val="10"/>
          <c:tx>
            <c:strRef>
              <c:f>'301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'301 summary'!$C$29:$P$29</c15:sqref>
                  </c15:fullRef>
                </c:ext>
              </c:extLst>
              <c:f>'301 summary'!$C$29:$N$29</c:f>
            </c:numRef>
          </c:val>
          <c:extLst xmlns:c16r2="http://schemas.microsoft.com/office/drawing/2015/06/chart">
            <c:ext xmlns:c16="http://schemas.microsoft.com/office/drawing/2014/chart" uri="{C3380CC4-5D6E-409C-BE32-E72D297353CC}">
              <c16:uniqueId val="{0000000A-EFD1-4B6F-91DC-64DC43309BAF}"/>
            </c:ext>
          </c:extLst>
        </c:ser>
        <c:ser>
          <c:idx val="11"/>
          <c:order val="11"/>
          <c:tx>
            <c:strRef>
              <c:f>'301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'301 summary'!$C$30:$P$30</c15:sqref>
                  </c15:fullRef>
                </c:ext>
              </c:extLst>
              <c:f>'301 summary'!$C$30:$N$30</c:f>
            </c:numRef>
          </c:val>
          <c:extLst xmlns:c16r2="http://schemas.microsoft.com/office/drawing/2015/06/chart">
            <c:ext xmlns:c16="http://schemas.microsoft.com/office/drawing/2014/chart" uri="{C3380CC4-5D6E-409C-BE32-E72D297353CC}">
              <c16:uniqueId val="{0000000B-EFD1-4B6F-91DC-64DC43309BAF}"/>
            </c:ext>
          </c:extLst>
        </c:ser>
        <c:ser>
          <c:idx val="12"/>
          <c:order val="12"/>
          <c:tx>
            <c:strRef>
              <c:f>'301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'301 summary'!$C$31:$P$31</c15:sqref>
                  </c15:fullRef>
                </c:ext>
              </c:extLst>
              <c:f>'301 summary'!$C$31:$N$31</c:f>
            </c:numRef>
          </c:val>
          <c:extLst xmlns:c16r2="http://schemas.microsoft.com/office/drawing/2015/06/chart">
            <c:ext xmlns:c16="http://schemas.microsoft.com/office/drawing/2014/chart" uri="{C3380CC4-5D6E-409C-BE32-E72D297353CC}">
              <c16:uniqueId val="{0000000C-EFD1-4B6F-91DC-64DC43309BAF}"/>
            </c:ext>
          </c:extLst>
        </c:ser>
        <c:ser>
          <c:idx val="13"/>
          <c:order val="13"/>
          <c:tx>
            <c:strRef>
              <c:f>'301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'301 summary'!$C$32:$P$32</c15:sqref>
                  </c15:fullRef>
                </c:ext>
              </c:extLst>
              <c:f>'301 summary'!$C$32:$N$32</c:f>
              <c:numCache>
                <c:formatCode>#,##0.00</c:formatCode>
                <c:ptCount val="12"/>
              </c:numCache>
            </c:numRef>
          </c:val>
          <c:extLst xmlns:c16r2="http://schemas.microsoft.com/office/drawing/2015/06/chart">
            <c:ext xmlns:c16="http://schemas.microsoft.com/office/drawing/2014/chart" uri="{C3380CC4-5D6E-409C-BE32-E72D297353CC}">
              <c16:uniqueId val="{0000000D-EFD1-4B6F-91DC-64DC43309BAF}"/>
            </c:ext>
          </c:extLst>
        </c:ser>
        <c:ser>
          <c:idx val="14"/>
          <c:order val="14"/>
          <c:tx>
            <c:strRef>
              <c:f>'301 summary'!$B$33</c:f>
              <c:strCache>
                <c:ptCount val="1"/>
                <c:pt idx="0">
                  <c:v>WARRANTY/LABOR</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'301 summary'!$C$33:$P$33</c15:sqref>
                  </c15:fullRef>
                </c:ext>
              </c:extLst>
              <c:f>'301 summary'!$C$33:$N$33</c:f>
              <c:numCache>
                <c:formatCode>#,##0.00</c:formatCode>
                <c:ptCount val="12"/>
              </c:numCache>
            </c:numRef>
          </c:val>
          <c:extLst xmlns:c16r2="http://schemas.microsoft.com/office/drawing/2015/06/chart">
            <c:ext xmlns:c16="http://schemas.microsoft.com/office/drawing/2014/chart" uri="{C3380CC4-5D6E-409C-BE32-E72D297353CC}">
              <c16:uniqueId val="{0000000E-EFD1-4B6F-91DC-64DC43309BAF}"/>
            </c:ext>
          </c:extLst>
        </c:ser>
        <c:ser>
          <c:idx val="15"/>
          <c:order val="15"/>
          <c:tx>
            <c:strRef>
              <c:f>'301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'301 summary'!$C$34:$P$34</c15:sqref>
                  </c15:fullRef>
                </c:ext>
              </c:extLst>
              <c:f>'301 summary'!$C$34:$N$34</c:f>
              <c:numCache>
                <c:formatCode>#,##0.00</c:formatCode>
                <c:ptCount val="12"/>
              </c:numCache>
            </c:numRef>
          </c:val>
          <c:extLst xmlns:c16r2="http://schemas.microsoft.com/office/drawing/2015/06/chart">
            <c:ext xmlns:c16="http://schemas.microsoft.com/office/drawing/2014/chart" uri="{C3380CC4-5D6E-409C-BE32-E72D297353CC}">
              <c16:uniqueId val="{0000000F-EFD1-4B6F-91DC-64DC43309BAF}"/>
            </c:ext>
          </c:extLst>
        </c:ser>
        <c:ser>
          <c:idx val="16"/>
          <c:order val="16"/>
          <c:tx>
            <c:strRef>
              <c:f>'301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'301 summary'!$C$35:$P$35</c15:sqref>
                  </c15:fullRef>
                </c:ext>
              </c:extLst>
              <c:f>'301 summary'!$C$35:$N$35</c:f>
              <c:numCache>
                <c:formatCode>#,##0.00</c:formatCode>
                <c:ptCount val="12"/>
                <c:pt idx="8">
                  <c:v>7.83</c:v>
                </c:pt>
              </c:numCache>
            </c:numRef>
          </c:val>
          <c:extLst xmlns:c16r2="http://schemas.microsoft.com/office/drawing/2015/06/chart">
            <c:ext xmlns:c16="http://schemas.microsoft.com/office/drawing/2014/chart" uri="{C3380CC4-5D6E-409C-BE32-E72D297353CC}">
              <c16:uniqueId val="{00000010-EFD1-4B6F-91DC-64DC43309BAF}"/>
            </c:ext>
          </c:extLst>
        </c:ser>
        <c:ser>
          <c:idx val="17"/>
          <c:order val="17"/>
          <c:tx>
            <c:strRef>
              <c:f>'301 summary'!$B$36</c:f>
              <c:strCache>
                <c:ptCount val="1"/>
                <c:pt idx="0">
                  <c:v>OIL/OTHER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'301 summary'!$C$36:$P$36</c15:sqref>
                  </c15:fullRef>
                </c:ext>
              </c:extLst>
              <c:f>'301 summary'!$C$36:$N$36</c:f>
              <c:numCache>
                <c:formatCode>#,##0.00</c:formatCode>
                <c:ptCount val="12"/>
                <c:pt idx="8">
                  <c:v>20.95</c:v>
                </c:pt>
              </c:numCache>
            </c:numRef>
          </c:val>
          <c:extLst xmlns:c16r2="http://schemas.microsoft.com/office/drawing/2015/06/chart">
            <c:ext xmlns:c16="http://schemas.microsoft.com/office/drawing/2014/chart" uri="{C3380CC4-5D6E-409C-BE32-E72D297353CC}">
              <c16:uniqueId val="{00000011-EFD1-4B6F-91DC-64DC43309BAF}"/>
            </c:ext>
          </c:extLst>
        </c:ser>
        <c:ser>
          <c:idx val="18"/>
          <c:order val="18"/>
          <c:tx>
            <c:strRef>
              <c:f>'301 summary'!$B$37</c:f>
              <c:strCache>
                <c:ptCount val="1"/>
                <c:pt idx="0">
                  <c:v>OTHER PARTS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'301 summary'!$C$37:$P$37</c15:sqref>
                  </c15:fullRef>
                </c:ext>
              </c:extLst>
              <c:f>'301 summary'!$C$37:$N$37</c:f>
              <c:numCache>
                <c:formatCode>#,##0.00</c:formatCode>
                <c:ptCount val="12"/>
                <c:pt idx="8">
                  <c:v>186.61</c:v>
                </c:pt>
              </c:numCache>
            </c:numRef>
          </c:val>
          <c:extLst xmlns:c16r2="http://schemas.microsoft.com/office/drawing/2015/06/chart">
            <c:ext xmlns:c16="http://schemas.microsoft.com/office/drawing/2014/chart" uri="{C3380CC4-5D6E-409C-BE32-E72D297353CC}">
              <c16:uniqueId val="{00000012-EFD1-4B6F-91DC-64DC43309BAF}"/>
            </c:ext>
          </c:extLst>
        </c:ser>
        <c:ser>
          <c:idx val="19"/>
          <c:order val="19"/>
          <c:tx>
            <c:strRef>
              <c:f>'301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'301 summary'!$C$18:$P$18</c15:sqref>
                  </c15:fullRef>
                </c:ext>
              </c:extLst>
              <c:f>'301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'301 summary'!$C$38:$P$38</c15:sqref>
                  </c15:fullRef>
                </c:ext>
              </c:extLst>
              <c:f>'301 summary'!$C$38:$N$38</c:f>
              <c:numCache>
                <c:formatCode>#,##0.00</c:formatCode>
                <c:ptCount val="12"/>
                <c:pt idx="8">
                  <c:v>180</c:v>
                </c:pt>
              </c:numCache>
            </c:numRef>
          </c:val>
          <c:extLst xmlns:c16r2="http://schemas.microsoft.com/office/drawing/2015/06/chart">
            <c:ext xmlns:c16="http://schemas.microsoft.com/office/drawing/2014/chart" uri="{C3380CC4-5D6E-409C-BE32-E72D297353CC}">
              <c16:uniqueId val="{00000013-EFD1-4B6F-91DC-64DC43309BAF}"/>
            </c:ext>
          </c:extLst>
        </c:ser>
        <c:dLbls>
          <c:showLegendKey val="0"/>
          <c:showVal val="0"/>
          <c:showCatName val="0"/>
          <c:showSerName val="0"/>
          <c:showPercent val="0"/>
          <c:showBubbleSize val="0"/>
        </c:dLbls>
        <c:gapWidth val="150"/>
        <c:axId val="668631928"/>
        <c:axId val="668632320"/>
      </c:barChart>
      <c:catAx>
        <c:axId val="668631928"/>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68632320"/>
        <c:crosses val="autoZero"/>
        <c:auto val="1"/>
        <c:lblAlgn val="ctr"/>
        <c:lblOffset val="100"/>
        <c:noMultiLvlLbl val="0"/>
      </c:catAx>
      <c:valAx>
        <c:axId val="668632320"/>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68631928"/>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866728171240174"/>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Life Cycle Cost Analysis Chart</a:t>
            </a:r>
          </a:p>
        </c:rich>
      </c:tx>
      <c:layout>
        <c:manualLayout>
          <c:xMode val="edge"/>
          <c:yMode val="edge"/>
          <c:x val="0.38258016535143691"/>
          <c:y val="2.7027027027027029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manualLayout>
          <c:layoutTarget val="inner"/>
          <c:xMode val="edge"/>
          <c:yMode val="edge"/>
          <c:x val="6.3947112705817113E-2"/>
          <c:y val="0.10810826662834704"/>
          <c:w val="0.90407986928913853"/>
          <c:h val="0.67567666642716906"/>
        </c:manualLayout>
      </c:layout>
      <c:lineChart>
        <c:grouping val="standard"/>
        <c:varyColors val="0"/>
        <c:ser>
          <c:idx val="0"/>
          <c:order val="0"/>
          <c:tx>
            <c:strRef>
              <c:f>'301 Chart'!$C$4:$C$5</c:f>
              <c:strCache>
                <c:ptCount val="2"/>
                <c:pt idx="0">
                  <c:v>Projected Cost-Current Maintenance Practices, $109,252  </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'301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'301 Chart'!$C$6:$C$17</c:f>
              <c:numCache>
                <c:formatCode>_("$"* #,##0_);_("$"* \(#,##0\);_("$"* "-"??_);_(@_)</c:formatCode>
                <c:ptCount val="12"/>
                <c:pt idx="0">
                  <c:v>5237</c:v>
                </c:pt>
                <c:pt idx="1">
                  <c:v>5237</c:v>
                </c:pt>
                <c:pt idx="2">
                  <c:v>5237</c:v>
                </c:pt>
                <c:pt idx="3">
                  <c:v>5237</c:v>
                </c:pt>
                <c:pt idx="4">
                  <c:v>15604</c:v>
                </c:pt>
                <c:pt idx="5">
                  <c:v>5237</c:v>
                </c:pt>
                <c:pt idx="6">
                  <c:v>5237</c:v>
                </c:pt>
                <c:pt idx="7">
                  <c:v>5237</c:v>
                </c:pt>
                <c:pt idx="8">
                  <c:v>5237</c:v>
                </c:pt>
                <c:pt idx="9">
                  <c:v>5237</c:v>
                </c:pt>
                <c:pt idx="10">
                  <c:v>5237</c:v>
                </c:pt>
                <c:pt idx="11">
                  <c:v>5237</c:v>
                </c:pt>
              </c:numCache>
            </c:numRef>
          </c:val>
          <c:smooth val="0"/>
          <c:extLst xmlns:c16r2="http://schemas.microsoft.com/office/drawing/2015/06/chart">
            <c:ext xmlns:c16="http://schemas.microsoft.com/office/drawing/2014/chart" uri="{C3380CC4-5D6E-409C-BE32-E72D297353CC}">
              <c16:uniqueId val="{00000000-36DD-4EF7-8065-C3764AB5A441}"/>
            </c:ext>
          </c:extLst>
        </c:ser>
        <c:ser>
          <c:idx val="1"/>
          <c:order val="1"/>
          <c:tx>
            <c:strRef>
              <c:f>'301 Chart'!$D$4:$D$5</c:f>
              <c:strCache>
                <c:ptCount val="2"/>
                <c:pt idx="0">
                  <c:v>Projected Cost Alternate Maintenance Practices, $253,816</c:v>
                </c:pt>
              </c:strCache>
            </c:strRef>
          </c:tx>
          <c:spPr>
            <a:ln w="22225" cap="rnd">
              <a:solidFill>
                <a:schemeClr val="accent2"/>
              </a:solidFill>
            </a:ln>
            <a:effectLst>
              <a:glow rad="139700">
                <a:schemeClr val="accent2">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'301 Chart'!$B$6:$B$17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'301 Chart'!$D$6:$D$17</c:f>
              <c:numCache>
                <c:formatCode>_("$"* #,##0_);_("$"* \(#,##0\);_("$"* "-"??_);_(@_)</c:formatCode>
                <c:ptCount val="12"/>
                <c:pt idx="0">
                  <c:v>3022</c:v>
                </c:pt>
                <c:pt idx="1">
                  <c:v>2080.92</c:v>
                </c:pt>
                <c:pt idx="2">
                  <c:v>7410</c:v>
                </c:pt>
                <c:pt idx="3">
                  <c:v>1000</c:v>
                </c:pt>
                <c:pt idx="4">
                  <c:v>559</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36DD-4EF7-8065-C3764AB5A441}"/>
            </c:ext>
          </c:extLst>
        </c:ser>
        <c:dLbls>
          <c:dLblPos val="ctr"/>
          <c:showLegendKey val="0"/>
          <c:showVal val="1"/>
          <c:showCatName val="0"/>
          <c:showSerName val="0"/>
          <c:showPercent val="0"/>
          <c:showBubbleSize val="0"/>
        </c:dLbls>
        <c:smooth val="0"/>
        <c:axId val="668633104"/>
        <c:axId val="668633496"/>
      </c:lineChart>
      <c:catAx>
        <c:axId val="668633104"/>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68633496"/>
        <c:crosses val="autoZero"/>
        <c:auto val="1"/>
        <c:lblAlgn val="ctr"/>
        <c:lblOffset val="100"/>
        <c:tickLblSkip val="1"/>
        <c:tickMarkSkip val="1"/>
        <c:noMultiLvlLbl val="0"/>
      </c:catAx>
      <c:valAx>
        <c:axId val="66863349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_(&quot;$&quot;* #,##0_);_(&quot;$&quot;* \(#,##0\);_(&quot;$&quot;* &quot;-&quot;??_);_(@_)"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6863310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alignWithMargins="0"/>
    <c:pageMargins b="1" l="0.75" r="0.7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88753960250876E-2"/>
          <c:y val="4.2148715019455642E-2"/>
          <c:w val="0.74531757099844809"/>
          <c:h val="0.90796231828042451"/>
        </c:manualLayout>
      </c:layout>
      <c:barChart>
        <c:barDir val="col"/>
        <c:grouping val="clustered"/>
        <c:varyColors val="0"/>
        <c:ser>
          <c:idx val="0"/>
          <c:order val="0"/>
          <c:tx>
            <c:strRef>
              <c:f>'Bus 302 summary'!$B$19</c:f>
              <c:strCache>
                <c:ptCount val="1"/>
                <c:pt idx="0">
                  <c:v>PM</c:v>
                </c:pt>
              </c:strCache>
            </c:strRef>
          </c:tx>
          <c:spPr>
            <a:solidFill>
              <a:schemeClr val="accent1"/>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302 summary'!$C$19:$P$19</c15:sqref>
                  </c15:fullRef>
                </c:ext>
              </c:extLst>
              <c:f>'Bus 302 summary'!$C$19:$N$19</c:f>
              <c:numCache>
                <c:formatCode>#,##0.00</c:formatCode>
                <c:ptCount val="12"/>
                <c:pt idx="6">
                  <c:v>818.95</c:v>
                </c:pt>
                <c:pt idx="7">
                  <c:v>131.96</c:v>
                </c:pt>
                <c:pt idx="9">
                  <c:v>1187.53</c:v>
                </c:pt>
              </c:numCache>
            </c:numRef>
          </c:val>
          <c:extLst xmlns:c16r2="http://schemas.microsoft.com/office/drawing/2015/06/chart">
            <c:ext xmlns:c16="http://schemas.microsoft.com/office/drawing/2014/chart" uri="{C3380CC4-5D6E-409C-BE32-E72D297353CC}">
              <c16:uniqueId val="{00000000-292F-4EBE-88CD-DA0A9AA1DAF9}"/>
            </c:ext>
          </c:extLst>
        </c:ser>
        <c:ser>
          <c:idx val="1"/>
          <c:order val="1"/>
          <c:tx>
            <c:strRef>
              <c:f>'Bus 302 summary'!$B$20</c:f>
              <c:strCache>
                <c:ptCount val="1"/>
                <c:pt idx="0">
                  <c:v>TIRES</c:v>
                </c:pt>
              </c:strCache>
            </c:strRef>
          </c:tx>
          <c:spPr>
            <a:solidFill>
              <a:schemeClr val="accent2"/>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302 summary'!$C$20:$P$20</c15:sqref>
                  </c15:fullRef>
                </c:ext>
              </c:extLst>
              <c:f>'Bus 302 summary'!$C$20:$N$20</c:f>
              <c:numCache>
                <c:formatCode>#,##0.00</c:formatCode>
                <c:ptCount val="12"/>
              </c:numCache>
            </c:numRef>
          </c:val>
          <c:extLst xmlns:c16r2="http://schemas.microsoft.com/office/drawing/2015/06/chart">
            <c:ext xmlns:c16="http://schemas.microsoft.com/office/drawing/2014/chart" uri="{C3380CC4-5D6E-409C-BE32-E72D297353CC}">
              <c16:uniqueId val="{00000001-292F-4EBE-88CD-DA0A9AA1DAF9}"/>
            </c:ext>
          </c:extLst>
        </c:ser>
        <c:ser>
          <c:idx val="2"/>
          <c:order val="2"/>
          <c:tx>
            <c:strRef>
              <c:f>'Bus 302 summary'!$B$21</c:f>
              <c:strCache>
                <c:ptCount val="1"/>
                <c:pt idx="0">
                  <c:v>BRAKES</c:v>
                </c:pt>
              </c:strCache>
            </c:strRef>
          </c:tx>
          <c:spPr>
            <a:solidFill>
              <a:schemeClr val="accent3"/>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302 summary'!$C$21:$P$21</c15:sqref>
                  </c15:fullRef>
                </c:ext>
              </c:extLst>
              <c:f>'Bus 302 summary'!$C$21:$N$21</c:f>
              <c:numCache>
                <c:formatCode>#,##0.00</c:formatCode>
                <c:ptCount val="12"/>
                <c:pt idx="7">
                  <c:v>48.09</c:v>
                </c:pt>
              </c:numCache>
            </c:numRef>
          </c:val>
          <c:extLst xmlns:c16r2="http://schemas.microsoft.com/office/drawing/2015/06/chart">
            <c:ext xmlns:c16="http://schemas.microsoft.com/office/drawing/2014/chart" uri="{C3380CC4-5D6E-409C-BE32-E72D297353CC}">
              <c16:uniqueId val="{00000002-292F-4EBE-88CD-DA0A9AA1DAF9}"/>
            </c:ext>
          </c:extLst>
        </c:ser>
        <c:ser>
          <c:idx val="3"/>
          <c:order val="3"/>
          <c:tx>
            <c:strRef>
              <c:f>'Bus 302 summary'!$B$22</c:f>
              <c:strCache>
                <c:ptCount val="1"/>
                <c:pt idx="0">
                  <c:v>CALIPERS</c:v>
                </c:pt>
              </c:strCache>
            </c:strRef>
          </c:tx>
          <c:spPr>
            <a:solidFill>
              <a:schemeClr val="accent4"/>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302 summary'!$C$22:$P$22</c15:sqref>
                  </c15:fullRef>
                </c:ext>
              </c:extLst>
              <c:f>'Bus 302 summary'!$C$22:$N$22</c:f>
              <c:numCache>
                <c:formatCode>#,##0.00</c:formatCode>
                <c:ptCount val="12"/>
                <c:pt idx="7">
                  <c:v>42.889000000000003</c:v>
                </c:pt>
              </c:numCache>
            </c:numRef>
          </c:val>
          <c:extLst xmlns:c16r2="http://schemas.microsoft.com/office/drawing/2015/06/chart">
            <c:ext xmlns:c16="http://schemas.microsoft.com/office/drawing/2014/chart" uri="{C3380CC4-5D6E-409C-BE32-E72D297353CC}">
              <c16:uniqueId val="{00000003-292F-4EBE-88CD-DA0A9AA1DAF9}"/>
            </c:ext>
          </c:extLst>
        </c:ser>
        <c:ser>
          <c:idx val="4"/>
          <c:order val="4"/>
          <c:tx>
            <c:strRef>
              <c:f>'Bus 302 summary'!$B$23</c:f>
              <c:strCache>
                <c:ptCount val="1"/>
                <c:pt idx="0">
                  <c:v>STARTERS</c:v>
                </c:pt>
              </c:strCache>
            </c:strRef>
          </c:tx>
          <c:spPr>
            <a:solidFill>
              <a:schemeClr val="accent5"/>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302 summary'!$C$23:$P$23</c15:sqref>
                  </c15:fullRef>
                </c:ext>
              </c:extLst>
              <c:f>'Bus 302 summary'!$C$23:$N$23</c:f>
              <c:numCache>
                <c:formatCode>#,##0.00</c:formatCode>
                <c:ptCount val="12"/>
              </c:numCache>
            </c:numRef>
          </c:val>
          <c:extLst xmlns:c16r2="http://schemas.microsoft.com/office/drawing/2015/06/chart">
            <c:ext xmlns:c16="http://schemas.microsoft.com/office/drawing/2014/chart" uri="{C3380CC4-5D6E-409C-BE32-E72D297353CC}">
              <c16:uniqueId val="{00000004-292F-4EBE-88CD-DA0A9AA1DAF9}"/>
            </c:ext>
          </c:extLst>
        </c:ser>
        <c:ser>
          <c:idx val="5"/>
          <c:order val="5"/>
          <c:tx>
            <c:strRef>
              <c:f>'Bus 302 summary'!$B$24</c:f>
              <c:strCache>
                <c:ptCount val="1"/>
                <c:pt idx="0">
                  <c:v>A/C </c:v>
                </c:pt>
              </c:strCache>
            </c:strRef>
          </c:tx>
          <c:spPr>
            <a:solidFill>
              <a:schemeClr val="accent6"/>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302 summary'!$C$24:$P$24</c15:sqref>
                  </c15:fullRef>
                </c:ext>
              </c:extLst>
              <c:f>'Bus 302 summary'!$C$24:$N$24</c:f>
              <c:numCache>
                <c:formatCode>#,##0.00</c:formatCode>
                <c:ptCount val="12"/>
                <c:pt idx="7">
                  <c:v>28</c:v>
                </c:pt>
              </c:numCache>
            </c:numRef>
          </c:val>
          <c:extLst xmlns:c16r2="http://schemas.microsoft.com/office/drawing/2015/06/chart">
            <c:ext xmlns:c16="http://schemas.microsoft.com/office/drawing/2014/chart" uri="{C3380CC4-5D6E-409C-BE32-E72D297353CC}">
              <c16:uniqueId val="{00000005-292F-4EBE-88CD-DA0A9AA1DAF9}"/>
            </c:ext>
          </c:extLst>
        </c:ser>
        <c:ser>
          <c:idx val="6"/>
          <c:order val="6"/>
          <c:tx>
            <c:strRef>
              <c:f>'Bus 302 summary'!$B$25</c:f>
              <c:strCache>
                <c:ptCount val="1"/>
                <c:pt idx="0">
                  <c:v>CAMSHAFTS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302 summary'!$C$25:$P$25</c15:sqref>
                  </c15:fullRef>
                </c:ext>
              </c:extLst>
              <c:f>'Bus 302 summary'!$C$25:$N$25</c:f>
              <c:numCache>
                <c:formatCode>#,##0.00</c:formatCode>
                <c:ptCount val="12"/>
              </c:numCache>
            </c:numRef>
          </c:val>
          <c:extLst xmlns:c16r2="http://schemas.microsoft.com/office/drawing/2015/06/chart">
            <c:ext xmlns:c16="http://schemas.microsoft.com/office/drawing/2014/chart" uri="{C3380CC4-5D6E-409C-BE32-E72D297353CC}">
              <c16:uniqueId val="{00000006-292F-4EBE-88CD-DA0A9AA1DAF9}"/>
            </c:ext>
          </c:extLst>
        </c:ser>
        <c:ser>
          <c:idx val="7"/>
          <c:order val="7"/>
          <c:tx>
            <c:strRef>
              <c:f>'Bus 302 summary'!$B$26</c:f>
              <c:strCache>
                <c:ptCount val="1"/>
                <c:pt idx="0">
                  <c:v>ENGINE</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302 summary'!$C$26:$P$26</c15:sqref>
                  </c15:fullRef>
                </c:ext>
              </c:extLst>
              <c:f>'Bus 302 summary'!$C$26:$N$26</c:f>
              <c:numCache>
                <c:formatCode>#,##0.00</c:formatCode>
                <c:ptCount val="12"/>
              </c:numCache>
            </c:numRef>
          </c:val>
          <c:extLst xmlns:c16r2="http://schemas.microsoft.com/office/drawing/2015/06/chart">
            <c:ext xmlns:c16="http://schemas.microsoft.com/office/drawing/2014/chart" uri="{C3380CC4-5D6E-409C-BE32-E72D297353CC}">
              <c16:uniqueId val="{00000007-292F-4EBE-88CD-DA0A9AA1DAF9}"/>
            </c:ext>
          </c:extLst>
        </c:ser>
        <c:ser>
          <c:idx val="8"/>
          <c:order val="8"/>
          <c:tx>
            <c:strRef>
              <c:f>'Bus 302 summary'!$B$27</c:f>
              <c:strCache>
                <c:ptCount val="1"/>
                <c:pt idx="0">
                  <c:v>TRANSMISSION</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302 summary'!$C$27:$P$27</c15:sqref>
                  </c15:fullRef>
                </c:ext>
              </c:extLst>
              <c:f>'Bus 302 summary'!$C$27:$N$27</c:f>
              <c:numCache>
                <c:formatCode>#,##0.00</c:formatCode>
                <c:ptCount val="12"/>
              </c:numCache>
            </c:numRef>
          </c:val>
          <c:extLst xmlns:c16r2="http://schemas.microsoft.com/office/drawing/2015/06/chart">
            <c:ext xmlns:c16="http://schemas.microsoft.com/office/drawing/2014/chart" uri="{C3380CC4-5D6E-409C-BE32-E72D297353CC}">
              <c16:uniqueId val="{00000008-292F-4EBE-88CD-DA0A9AA1DAF9}"/>
            </c:ext>
          </c:extLst>
        </c:ser>
        <c:ser>
          <c:idx val="9"/>
          <c:order val="9"/>
          <c:tx>
            <c:strRef>
              <c:f>'Bus 302 summary'!$B$28</c:f>
              <c:strCache>
                <c:ptCount val="1"/>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302 summary'!$C$28:$P$28</c15:sqref>
                  </c15:fullRef>
                </c:ext>
              </c:extLst>
              <c:f>'Bus 302 summary'!$C$28:$N$28</c:f>
            </c:numRef>
          </c:val>
          <c:extLst xmlns:c16r2="http://schemas.microsoft.com/office/drawing/2015/06/chart">
            <c:ext xmlns:c16="http://schemas.microsoft.com/office/drawing/2014/chart" uri="{C3380CC4-5D6E-409C-BE32-E72D297353CC}">
              <c16:uniqueId val="{00000009-292F-4EBE-88CD-DA0A9AA1DAF9}"/>
            </c:ext>
          </c:extLst>
        </c:ser>
        <c:ser>
          <c:idx val="10"/>
          <c:order val="10"/>
          <c:tx>
            <c:strRef>
              <c:f>'Bus 302 summary'!$B$29</c:f>
              <c:strCache>
                <c:ptCount val="1"/>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302 summary'!$C$29:$P$29</c15:sqref>
                  </c15:fullRef>
                </c:ext>
              </c:extLst>
              <c:f>'Bus 302 summary'!$C$29:$N$29</c:f>
            </c:numRef>
          </c:val>
          <c:extLst xmlns:c16r2="http://schemas.microsoft.com/office/drawing/2015/06/chart">
            <c:ext xmlns:c16="http://schemas.microsoft.com/office/drawing/2014/chart" uri="{C3380CC4-5D6E-409C-BE32-E72D297353CC}">
              <c16:uniqueId val="{0000000A-292F-4EBE-88CD-DA0A9AA1DAF9}"/>
            </c:ext>
          </c:extLst>
        </c:ser>
        <c:ser>
          <c:idx val="11"/>
          <c:order val="11"/>
          <c:tx>
            <c:strRef>
              <c:f>'Bus 302 summary'!$B$30</c:f>
              <c:strCache>
                <c:ptCount val="1"/>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302 summary'!$C$30:$P$30</c15:sqref>
                  </c15:fullRef>
                </c:ext>
              </c:extLst>
              <c:f>'Bus 302 summary'!$C$30:$N$30</c:f>
            </c:numRef>
          </c:val>
          <c:extLst xmlns:c16r2="http://schemas.microsoft.com/office/drawing/2015/06/chart">
            <c:ext xmlns:c16="http://schemas.microsoft.com/office/drawing/2014/chart" uri="{C3380CC4-5D6E-409C-BE32-E72D297353CC}">
              <c16:uniqueId val="{0000000B-292F-4EBE-88CD-DA0A9AA1DAF9}"/>
            </c:ext>
          </c:extLst>
        </c:ser>
        <c:ser>
          <c:idx val="12"/>
          <c:order val="12"/>
          <c:tx>
            <c:strRef>
              <c:f>'Bus 302 summary'!$B$31</c:f>
              <c:strCache>
                <c:ptCount val="1"/>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pt idx="12">
                  <c:v>Total</c:v>
                </c:pt>
                <c:pt idx="13">
                  <c:v>Trend</c:v>
                </c:pt>
              </c:strCache>
            </c:strRef>
          </c:cat>
          <c:val>
            <c:numRef>
              <c:extLst>
                <c:ext xmlns:c15="http://schemas.microsoft.com/office/drawing/2012/chart" uri="{02D57815-91ED-43cb-92C2-25804820EDAC}">
                  <c15:fullRef>
                    <c15:sqref>'Bus 302 summary'!$C$31:$P$31</c15:sqref>
                  </c15:fullRef>
                </c:ext>
              </c:extLst>
              <c:f>'Bus 302 summary'!$C$31:$N$31</c:f>
            </c:numRef>
          </c:val>
          <c:extLst xmlns:c16r2="http://schemas.microsoft.com/office/drawing/2015/06/chart">
            <c:ext xmlns:c16="http://schemas.microsoft.com/office/drawing/2014/chart" uri="{C3380CC4-5D6E-409C-BE32-E72D297353CC}">
              <c16:uniqueId val="{0000000C-292F-4EBE-88CD-DA0A9AA1DAF9}"/>
            </c:ext>
          </c:extLst>
        </c:ser>
        <c:ser>
          <c:idx val="13"/>
          <c:order val="13"/>
          <c:tx>
            <c:strRef>
              <c:f>'Bus 302 summary'!$B$32</c:f>
              <c:strCache>
                <c:ptCount val="1"/>
                <c:pt idx="0">
                  <c:v>ACCIDENT REPAIR</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302 summary'!$C$32:$P$32</c15:sqref>
                  </c15:fullRef>
                </c:ext>
              </c:extLst>
              <c:f>'Bus 302 summary'!$C$32:$N$32</c:f>
              <c:numCache>
                <c:formatCode>#,##0.00</c:formatCode>
                <c:ptCount val="12"/>
              </c:numCache>
            </c:numRef>
          </c:val>
          <c:extLst xmlns:c16r2="http://schemas.microsoft.com/office/drawing/2015/06/chart">
            <c:ext xmlns:c16="http://schemas.microsoft.com/office/drawing/2014/chart" uri="{C3380CC4-5D6E-409C-BE32-E72D297353CC}">
              <c16:uniqueId val="{0000000D-292F-4EBE-88CD-DA0A9AA1DAF9}"/>
            </c:ext>
          </c:extLst>
        </c:ser>
        <c:ser>
          <c:idx val="14"/>
          <c:order val="14"/>
          <c:tx>
            <c:strRef>
              <c:f>'Bus 302 summary'!$B$33</c:f>
              <c:strCache>
                <c:ptCount val="1"/>
                <c:pt idx="0">
                  <c:v>WARRANTY/LABOR</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302 summary'!$C$33:$P$33</c15:sqref>
                  </c15:fullRef>
                </c:ext>
              </c:extLst>
              <c:f>'Bus 302 summary'!$C$33:$N$33</c:f>
              <c:numCache>
                <c:formatCode>#,##0.00</c:formatCode>
                <c:ptCount val="12"/>
              </c:numCache>
            </c:numRef>
          </c:val>
          <c:extLst xmlns:c16r2="http://schemas.microsoft.com/office/drawing/2015/06/chart">
            <c:ext xmlns:c16="http://schemas.microsoft.com/office/drawing/2014/chart" uri="{C3380CC4-5D6E-409C-BE32-E72D297353CC}">
              <c16:uniqueId val="{0000000E-292F-4EBE-88CD-DA0A9AA1DAF9}"/>
            </c:ext>
          </c:extLst>
        </c:ser>
        <c:ser>
          <c:idx val="15"/>
          <c:order val="15"/>
          <c:tx>
            <c:strRef>
              <c:f>'Bus 302 summary'!$B$34</c:f>
              <c:strCache>
                <c:ptCount val="1"/>
                <c:pt idx="0">
                  <c:v>ROAD CALLS</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302 summary'!$C$34:$P$34</c15:sqref>
                  </c15:fullRef>
                </c:ext>
              </c:extLst>
              <c:f>'Bus 302 summary'!$C$34:$N$34</c:f>
              <c:numCache>
                <c:formatCode>#,##0.00</c:formatCode>
                <c:ptCount val="12"/>
                <c:pt idx="8">
                  <c:v>121.95</c:v>
                </c:pt>
              </c:numCache>
            </c:numRef>
          </c:val>
          <c:extLst xmlns:c16r2="http://schemas.microsoft.com/office/drawing/2015/06/chart">
            <c:ext xmlns:c16="http://schemas.microsoft.com/office/drawing/2014/chart" uri="{C3380CC4-5D6E-409C-BE32-E72D297353CC}">
              <c16:uniqueId val="{0000000F-292F-4EBE-88CD-DA0A9AA1DAF9}"/>
            </c:ext>
          </c:extLst>
        </c:ser>
        <c:ser>
          <c:idx val="16"/>
          <c:order val="16"/>
          <c:tx>
            <c:strRef>
              <c:f>'Bus 302 summary'!$B$35</c:f>
              <c:strCache>
                <c:ptCount val="1"/>
                <c:pt idx="0">
                  <c:v>LIGHTS</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302 summary'!$C$35:$P$35</c15:sqref>
                  </c15:fullRef>
                </c:ext>
              </c:extLst>
              <c:f>'Bus 302 summary'!$C$35:$N$35</c:f>
              <c:numCache>
                <c:formatCode>#,##0.00</c:formatCode>
                <c:ptCount val="12"/>
                <c:pt idx="6">
                  <c:v>40.93</c:v>
                </c:pt>
                <c:pt idx="8">
                  <c:v>15.66</c:v>
                </c:pt>
              </c:numCache>
            </c:numRef>
          </c:val>
          <c:extLst xmlns:c16r2="http://schemas.microsoft.com/office/drawing/2015/06/chart">
            <c:ext xmlns:c16="http://schemas.microsoft.com/office/drawing/2014/chart" uri="{C3380CC4-5D6E-409C-BE32-E72D297353CC}">
              <c16:uniqueId val="{00000010-292F-4EBE-88CD-DA0A9AA1DAF9}"/>
            </c:ext>
          </c:extLst>
        </c:ser>
        <c:ser>
          <c:idx val="17"/>
          <c:order val="17"/>
          <c:tx>
            <c:strRef>
              <c:f>'Bus 302 summary'!$B$36</c:f>
              <c:strCache>
                <c:ptCount val="1"/>
                <c:pt idx="0">
                  <c:v>OIL /OTHER FLUIDS</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302 summary'!$C$36:$P$36</c15:sqref>
                  </c15:fullRef>
                </c:ext>
              </c:extLst>
              <c:f>'Bus 302 summary'!$C$36:$N$36</c:f>
              <c:numCache>
                <c:formatCode>#,##0.00</c:formatCode>
                <c:ptCount val="12"/>
              </c:numCache>
            </c:numRef>
          </c:val>
          <c:extLst xmlns:c16r2="http://schemas.microsoft.com/office/drawing/2015/06/chart">
            <c:ext xmlns:c16="http://schemas.microsoft.com/office/drawing/2014/chart" uri="{C3380CC4-5D6E-409C-BE32-E72D297353CC}">
              <c16:uniqueId val="{00000011-292F-4EBE-88CD-DA0A9AA1DAF9}"/>
            </c:ext>
          </c:extLst>
        </c:ser>
        <c:ser>
          <c:idx val="18"/>
          <c:order val="18"/>
          <c:tx>
            <c:strRef>
              <c:f>'Bus 302 summary'!$B$37</c:f>
              <c:strCache>
                <c:ptCount val="1"/>
                <c:pt idx="0">
                  <c:v>OTHER PARTS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302 summary'!$C$37:$P$37</c15:sqref>
                  </c15:fullRef>
                </c:ext>
              </c:extLst>
              <c:f>'Bus 302 summary'!$C$37:$N$37</c:f>
              <c:numCache>
                <c:formatCode>#,##0.00</c:formatCode>
                <c:ptCount val="12"/>
                <c:pt idx="7">
                  <c:v>54.14</c:v>
                </c:pt>
                <c:pt idx="8">
                  <c:v>5.75</c:v>
                </c:pt>
              </c:numCache>
            </c:numRef>
          </c:val>
          <c:extLst xmlns:c16r2="http://schemas.microsoft.com/office/drawing/2015/06/chart">
            <c:ext xmlns:c16="http://schemas.microsoft.com/office/drawing/2014/chart" uri="{C3380CC4-5D6E-409C-BE32-E72D297353CC}">
              <c16:uniqueId val="{00000012-292F-4EBE-88CD-DA0A9AA1DAF9}"/>
            </c:ext>
          </c:extLst>
        </c:ser>
        <c:ser>
          <c:idx val="19"/>
          <c:order val="19"/>
          <c:tx>
            <c:strRef>
              <c:f>'Bus 302 summary'!$B$38</c:f>
              <c:strCache>
                <c:ptCount val="1"/>
                <c:pt idx="0">
                  <c:v>LABOR</c:v>
                </c:pt>
              </c:strCache>
            </c:strRef>
          </c:tx>
          <c:spPr>
            <a:solidFill>
              <a:schemeClr val="accent2">
                <a:lumMod val="80000"/>
              </a:schemeClr>
            </a:solidFill>
            <a:ln>
              <a:noFill/>
            </a:ln>
            <a:effectLst/>
          </c:spPr>
          <c:invertIfNegative val="0"/>
          <c:cat>
            <c:strRef>
              <c:extLst>
                <c:ext xmlns:c15="http://schemas.microsoft.com/office/drawing/2012/chart" uri="{02D57815-91ED-43cb-92C2-25804820EDAC}">
                  <c15:fullRef>
                    <c15:sqref>'Bus 302 summary'!$C$18:$P$18</c15:sqref>
                  </c15:fullRef>
                </c:ext>
              </c:extLst>
              <c:f>'Bus 302 summary'!$C$18:$N$18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extLst>
                <c:ext xmlns:c15="http://schemas.microsoft.com/office/drawing/2012/chart" uri="{02D57815-91ED-43cb-92C2-25804820EDAC}">
                  <c15:fullRef>
                    <c15:sqref>'Bus 302 summary'!$C$38:$P$38</c15:sqref>
                  </c15:fullRef>
                </c:ext>
              </c:extLst>
              <c:f>'Bus 302 summary'!$C$38:$N$38</c:f>
              <c:numCache>
                <c:formatCode>#,##0.00</c:formatCode>
                <c:ptCount val="12"/>
                <c:pt idx="6">
                  <c:v>30</c:v>
                </c:pt>
                <c:pt idx="7">
                  <c:v>220</c:v>
                </c:pt>
                <c:pt idx="8">
                  <c:v>20</c:v>
                </c:pt>
              </c:numCache>
            </c:numRef>
          </c:val>
          <c:extLst xmlns:c16r2="http://schemas.microsoft.com/office/drawing/2015/06/chart">
            <c:ext xmlns:c16="http://schemas.microsoft.com/office/drawing/2014/chart" uri="{C3380CC4-5D6E-409C-BE32-E72D297353CC}">
              <c16:uniqueId val="{00000013-292F-4EBE-88CD-DA0A9AA1DAF9}"/>
            </c:ext>
          </c:extLst>
        </c:ser>
        <c:dLbls>
          <c:showLegendKey val="0"/>
          <c:showVal val="0"/>
          <c:showCatName val="0"/>
          <c:showSerName val="0"/>
          <c:showPercent val="0"/>
          <c:showBubbleSize val="0"/>
        </c:dLbls>
        <c:gapWidth val="150"/>
        <c:axId val="670104152"/>
        <c:axId val="670104544"/>
      </c:barChart>
      <c:catAx>
        <c:axId val="670104152"/>
        <c:scaling>
          <c:orientation val="minMax"/>
        </c:scaling>
        <c:delete val="1"/>
        <c:axPos val="b"/>
        <c:majorGridlines>
          <c:spPr>
            <a:ln w="9525" cap="flat" cmpd="sng" algn="ctr">
              <a:solidFill>
                <a:schemeClr val="bg1">
                  <a:lumMod val="85000"/>
                </a:schemeClr>
              </a:solidFill>
              <a:prstDash val="solid"/>
              <a:round/>
            </a:ln>
            <a:effectLst/>
          </c:spPr>
        </c:majorGridlines>
        <c:numFmt formatCode="General" sourceLinked="0"/>
        <c:majorTickMark val="out"/>
        <c:minorTickMark val="none"/>
        <c:tickLblPos val="nextTo"/>
        <c:crossAx val="670104544"/>
        <c:crosses val="autoZero"/>
        <c:auto val="1"/>
        <c:lblAlgn val="ctr"/>
        <c:lblOffset val="100"/>
        <c:noMultiLvlLbl val="0"/>
      </c:catAx>
      <c:valAx>
        <c:axId val="670104544"/>
        <c:scaling>
          <c:orientation val="minMax"/>
        </c:scaling>
        <c:delete val="0"/>
        <c:axPos val="l"/>
        <c:majorGridlines>
          <c:spPr>
            <a:ln w="9525" cap="flat" cmpd="sng" algn="ctr">
              <a:solidFill>
                <a:schemeClr val="bg1">
                  <a:lumMod val="85000"/>
                  <a:alpha val="30000"/>
                </a:schemeClr>
              </a:solidFill>
              <a:prstDash val="solid"/>
              <a:round/>
            </a:ln>
            <a:effectLst/>
          </c:spPr>
        </c:majorGridlines>
        <c:numFmt formatCode="#,##0;;" sourceLinked="0"/>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70104152"/>
        <c:crosses val="autoZero"/>
        <c:crossBetween val="between"/>
      </c:valAx>
      <c:spPr>
        <a:solidFill>
          <a:schemeClr val="tx1">
            <a:lumMod val="50000"/>
            <a:lumOff val="50000"/>
          </a:schemeClr>
        </a:solidFill>
        <a:ln>
          <a:solidFill>
            <a:schemeClr val="tx1">
              <a:lumMod val="50000"/>
              <a:lumOff val="50000"/>
            </a:schemeClr>
          </a:solidFill>
        </a:ln>
        <a:effectLst/>
      </c:spPr>
    </c:plotArea>
    <c:legend>
      <c:legendPos val="r"/>
      <c:layout>
        <c:manualLayout>
          <c:xMode val="edge"/>
          <c:yMode val="edge"/>
          <c:x val="0.86509549453379753"/>
          <c:y val="1.0835550036099787E-2"/>
          <c:w val="0.12866728171240174"/>
          <c:h val="0.97595762575770362"/>
        </c:manualLayout>
      </c:layout>
      <c:overlay val="0"/>
      <c:spPr>
        <a:noFill/>
        <a:ln>
          <a:noFill/>
        </a:ln>
        <a:effectLst/>
      </c:spPr>
      <c:txPr>
        <a:bodyPr rot="0" spcFirstLastPara="1" vertOverflow="ellipsis" vert="horz" wrap="square" anchor="ctr" anchorCtr="1"/>
        <a:lstStyle/>
        <a:p>
          <a:pPr>
            <a:defRPr sz="980" b="0" i="0" u="none" strike="noStrike" kern="0" spc="-10" baseline="0">
              <a:solidFill>
                <a:schemeClr val="tx1"/>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hyperlink" Target="#summary!A1"/></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7.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13.xml.rels><?xml version="1.0" encoding="UTF-8" standalone="yes"?>
<Relationships xmlns="http://schemas.openxmlformats.org/package/2006/relationships"><Relationship Id="rId1" Type="http://schemas.openxmlformats.org/officeDocument/2006/relationships/hyperlink" Target="#summary!A1"/></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9.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16.xml.rels><?xml version="1.0" encoding="UTF-8" standalone="yes"?>
<Relationships xmlns="http://schemas.openxmlformats.org/package/2006/relationships"><Relationship Id="rId1" Type="http://schemas.openxmlformats.org/officeDocument/2006/relationships/hyperlink" Target="#summary!A1"/></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11.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19.xml.rels><?xml version="1.0" encoding="UTF-8" standalone="yes"?>
<Relationships xmlns="http://schemas.openxmlformats.org/package/2006/relationships"><Relationship Id="rId1" Type="http://schemas.openxmlformats.org/officeDocument/2006/relationships/hyperlink" Target="#summary!A1"/></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13.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22.xml.rels><?xml version="1.0" encoding="UTF-8" standalone="yes"?>
<Relationships xmlns="http://schemas.openxmlformats.org/package/2006/relationships"><Relationship Id="rId1" Type="http://schemas.openxmlformats.org/officeDocument/2006/relationships/hyperlink" Target="#summary!A1"/></Relationships>
</file>

<file path=xl/drawings/_rels/drawing2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15.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25.xml.rels><?xml version="1.0" encoding="UTF-8" standalone="yes"?>
<Relationships xmlns="http://schemas.openxmlformats.org/package/2006/relationships"><Relationship Id="rId1" Type="http://schemas.openxmlformats.org/officeDocument/2006/relationships/hyperlink" Target="#summary!A1"/></Relationships>
</file>

<file path=xl/drawings/_rels/drawing2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7.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17.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28.xml.rels><?xml version="1.0" encoding="UTF-8" standalone="yes"?>
<Relationships xmlns="http://schemas.openxmlformats.org/package/2006/relationships"><Relationship Id="rId1" Type="http://schemas.openxmlformats.org/officeDocument/2006/relationships/hyperlink" Target="#summary!A1"/></Relationships>
</file>

<file path=xl/drawings/_rels/drawing2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6" Type="http://schemas.openxmlformats.org/officeDocument/2006/relationships/image" Target="../media/image3.svg"/><Relationship Id="rId1" Type="http://schemas.openxmlformats.org/officeDocument/2006/relationships/chart" Target="../charts/chart1.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5" Type="http://schemas.openxmlformats.org/officeDocument/2006/relationships/image" Target="../media/image2.png"/><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30.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19.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31.xml.rels><?xml version="1.0" encoding="UTF-8" standalone="yes"?>
<Relationships xmlns="http://schemas.openxmlformats.org/package/2006/relationships"><Relationship Id="rId1" Type="http://schemas.openxmlformats.org/officeDocument/2006/relationships/hyperlink" Target="#summary!A1"/></Relationships>
</file>

<file path=xl/drawings/_rels/drawing3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3.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21.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34.xml.rels><?xml version="1.0" encoding="UTF-8" standalone="yes"?>
<Relationships xmlns="http://schemas.openxmlformats.org/package/2006/relationships"><Relationship Id="rId1" Type="http://schemas.openxmlformats.org/officeDocument/2006/relationships/hyperlink" Target="#summary!A1"/></Relationships>
</file>

<file path=xl/drawings/_rels/drawing3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6.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23.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37.xml.rels><?xml version="1.0" encoding="UTF-8" standalone="yes"?>
<Relationships xmlns="http://schemas.openxmlformats.org/package/2006/relationships"><Relationship Id="rId1" Type="http://schemas.openxmlformats.org/officeDocument/2006/relationships/hyperlink" Target="#summary!A1"/></Relationships>
</file>

<file path=xl/drawings/_rels/drawing3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9.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25.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4.xml.rels><?xml version="1.0" encoding="UTF-8" standalone="yes"?>
<Relationships xmlns="http://schemas.openxmlformats.org/package/2006/relationships"><Relationship Id="rId1" Type="http://schemas.openxmlformats.org/officeDocument/2006/relationships/hyperlink" Target="#summary!A1"/></Relationships>
</file>

<file path=xl/drawings/_rels/drawing40.xml.rels><?xml version="1.0" encoding="UTF-8" standalone="yes"?>
<Relationships xmlns="http://schemas.openxmlformats.org/package/2006/relationships"><Relationship Id="rId1" Type="http://schemas.openxmlformats.org/officeDocument/2006/relationships/hyperlink" Target="#summary!A1"/></Relationships>
</file>

<file path=xl/drawings/_rels/drawing4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2.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27.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43.xml.rels><?xml version="1.0" encoding="UTF-8" standalone="yes"?>
<Relationships xmlns="http://schemas.openxmlformats.org/package/2006/relationships"><Relationship Id="rId1" Type="http://schemas.openxmlformats.org/officeDocument/2006/relationships/hyperlink" Target="#summary!A1"/></Relationships>
</file>

<file path=xl/drawings/_rels/drawing4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5.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29.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46.xml.rels><?xml version="1.0" encoding="UTF-8" standalone="yes"?>
<Relationships xmlns="http://schemas.openxmlformats.org/package/2006/relationships"><Relationship Id="rId1" Type="http://schemas.openxmlformats.org/officeDocument/2006/relationships/hyperlink" Target="#summary!A1"/></Relationships>
</file>

<file path=xl/drawings/_rels/drawing4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8.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31.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49.xml.rels><?xml version="1.0" encoding="UTF-8" standalone="yes"?>
<Relationships xmlns="http://schemas.openxmlformats.org/package/2006/relationships"><Relationship Id="rId1" Type="http://schemas.openxmlformats.org/officeDocument/2006/relationships/hyperlink" Target="#summary!A1"/></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1.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33.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52.xml.rels><?xml version="1.0" encoding="UTF-8" standalone="yes"?>
<Relationships xmlns="http://schemas.openxmlformats.org/package/2006/relationships"><Relationship Id="rId1" Type="http://schemas.openxmlformats.org/officeDocument/2006/relationships/hyperlink" Target="#summary!A1"/></Relationships>
</file>

<file path=xl/drawings/_rels/drawing5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4.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35.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55.xml.rels><?xml version="1.0" encoding="UTF-8" standalone="yes"?>
<Relationships xmlns="http://schemas.openxmlformats.org/package/2006/relationships"><Relationship Id="rId1" Type="http://schemas.openxmlformats.org/officeDocument/2006/relationships/hyperlink" Target="#summary!A1"/></Relationships>
</file>

<file path=xl/drawings/_rels/drawing5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7.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37.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58.xml.rels><?xml version="1.0" encoding="UTF-8" standalone="yes"?>
<Relationships xmlns="http://schemas.openxmlformats.org/package/2006/relationships"><Relationship Id="rId1" Type="http://schemas.openxmlformats.org/officeDocument/2006/relationships/hyperlink" Target="#summary!A1"/></Relationships>
</file>

<file path=xl/drawings/_rels/drawing5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3.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60.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39.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61.xml.rels><?xml version="1.0" encoding="UTF-8" standalone="yes"?>
<Relationships xmlns="http://schemas.openxmlformats.org/package/2006/relationships"><Relationship Id="rId1" Type="http://schemas.openxmlformats.org/officeDocument/2006/relationships/hyperlink" Target="#summary!A1"/></Relationships>
</file>

<file path=xl/drawings/_rels/drawing6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3.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41.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_rels/drawing64.xml.rels><?xml version="1.0" encoding="UTF-8" standalone="yes"?>
<Relationships xmlns="http://schemas.openxmlformats.org/package/2006/relationships"><Relationship Id="rId1" Type="http://schemas.openxmlformats.org/officeDocument/2006/relationships/hyperlink" Target="#summary!A1"/></Relationships>
</file>

<file path=xl/drawings/_rels/drawing6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1" Type="http://schemas.openxmlformats.org/officeDocument/2006/relationships/hyperlink" Target="#summary!A1"/></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8" Type="http://schemas.openxmlformats.org/officeDocument/2006/relationships/hyperlink" Target="#jul!A1"/><Relationship Id="rId13" Type="http://schemas.openxmlformats.org/officeDocument/2006/relationships/hyperlink" Target="#feb!A1"/><Relationship Id="rId3" Type="http://schemas.openxmlformats.org/officeDocument/2006/relationships/hyperlink" Target="#dec!A1"/><Relationship Id="rId7" Type="http://schemas.openxmlformats.org/officeDocument/2006/relationships/hyperlink" Target="#aug!A1"/><Relationship Id="rId12" Type="http://schemas.openxmlformats.org/officeDocument/2006/relationships/hyperlink" Target="#mar!A1"/><Relationship Id="rId2" Type="http://schemas.openxmlformats.org/officeDocument/2006/relationships/hyperlink" Target="#tips!A1"/><Relationship Id="rId1" Type="http://schemas.openxmlformats.org/officeDocument/2006/relationships/chart" Target="../charts/chart5.xml"/><Relationship Id="rId6" Type="http://schemas.openxmlformats.org/officeDocument/2006/relationships/hyperlink" Target="#sep!A1"/><Relationship Id="rId11" Type="http://schemas.openxmlformats.org/officeDocument/2006/relationships/hyperlink" Target="#apr!A1"/><Relationship Id="rId5" Type="http://schemas.openxmlformats.org/officeDocument/2006/relationships/hyperlink" Target="#oct!A1"/><Relationship Id="rId10" Type="http://schemas.openxmlformats.org/officeDocument/2006/relationships/hyperlink" Target="#may!A1"/><Relationship Id="rId4" Type="http://schemas.openxmlformats.org/officeDocument/2006/relationships/hyperlink" Target="#nov!A1"/><Relationship Id="rId9" Type="http://schemas.openxmlformats.org/officeDocument/2006/relationships/hyperlink" Target="#jun!A1"/><Relationship Id="rId14" Type="http://schemas.openxmlformats.org/officeDocument/2006/relationships/hyperlink" Target="#jan!A1"/></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2</xdr:row>
      <xdr:rowOff>0</xdr:rowOff>
    </xdr:from>
    <xdr:to>
      <xdr:col>4</xdr:col>
      <xdr:colOff>66675</xdr:colOff>
      <xdr:row>33</xdr:row>
      <xdr:rowOff>95250</xdr:rowOff>
    </xdr:to>
    <xdr:pic>
      <xdr:nvPicPr>
        <xdr:cNvPr id="9" name="Picture 8" title="Green monster">
          <a:extLst>
            <a:ext uri="{FF2B5EF4-FFF2-40B4-BE49-F238E27FC236}">
              <a16:creationId xmlns:a16="http://schemas.microsoft.com/office/drawing/2014/main" xmlns="" id="{46E8459A-5FFE-42B8-9781-FB7641D098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1676400"/>
          <a:ext cx="7639050" cy="6000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BA9CDB97-8B12-4B49-A55F-47A309A7E051}"/>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15</xdr:row>
      <xdr:rowOff>28575</xdr:rowOff>
    </xdr:from>
    <xdr:to>
      <xdr:col>7</xdr:col>
      <xdr:colOff>0</xdr:colOff>
      <xdr:row>15</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75587238-241D-452D-868D-36F6C879D7F6}"/>
            </a:ext>
          </a:extLst>
        </xdr:cNvPr>
        <xdr:cNvSpPr/>
      </xdr:nvSpPr>
      <xdr:spPr>
        <a:xfrm>
          <a:off x="79629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31</xdr:row>
      <xdr:rowOff>28575</xdr:rowOff>
    </xdr:from>
    <xdr:to>
      <xdr:col>7</xdr:col>
      <xdr:colOff>0</xdr:colOff>
      <xdr:row>31</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3D191F98-FA7D-4175-ACD1-B70AB9AE267C}"/>
            </a:ext>
          </a:extLst>
        </xdr:cNvPr>
        <xdr:cNvSpPr/>
      </xdr:nvSpPr>
      <xdr:spPr>
        <a:xfrm>
          <a:off x="78390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45</xdr:row>
      <xdr:rowOff>28575</xdr:rowOff>
    </xdr:from>
    <xdr:to>
      <xdr:col>7</xdr:col>
      <xdr:colOff>0</xdr:colOff>
      <xdr:row>45</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2B62AEB9-D225-49D4-8931-75B3C3D492D8}"/>
            </a:ext>
          </a:extLst>
        </xdr:cNvPr>
        <xdr:cNvSpPr/>
      </xdr:nvSpPr>
      <xdr:spPr>
        <a:xfrm>
          <a:off x="78105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61</xdr:row>
      <xdr:rowOff>28575</xdr:rowOff>
    </xdr:from>
    <xdr:to>
      <xdr:col>7</xdr:col>
      <xdr:colOff>0</xdr:colOff>
      <xdr:row>61</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4919D5E-F29D-4D2F-9CCA-CE9188B6B839}"/>
            </a:ext>
          </a:extLst>
        </xdr:cNvPr>
        <xdr:cNvSpPr/>
      </xdr:nvSpPr>
      <xdr:spPr>
        <a:xfrm>
          <a:off x="78771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76</xdr:row>
      <xdr:rowOff>28575</xdr:rowOff>
    </xdr:from>
    <xdr:to>
      <xdr:col>7</xdr:col>
      <xdr:colOff>0</xdr:colOff>
      <xdr:row>76</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3DD01294-A83A-4767-8F8F-18219D53CAD7}"/>
            </a:ext>
          </a:extLst>
        </xdr:cNvPr>
        <xdr:cNvSpPr/>
      </xdr:nvSpPr>
      <xdr:spPr>
        <a:xfrm>
          <a:off x="78676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89</xdr:row>
      <xdr:rowOff>28575</xdr:rowOff>
    </xdr:from>
    <xdr:to>
      <xdr:col>7</xdr:col>
      <xdr:colOff>0</xdr:colOff>
      <xdr:row>89</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6E04162F-1EF7-40C7-87F9-D915AF4746A8}"/>
            </a:ext>
          </a:extLst>
        </xdr:cNvPr>
        <xdr:cNvSpPr/>
      </xdr:nvSpPr>
      <xdr:spPr>
        <a:xfrm>
          <a:off x="78867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1485900</xdr:colOff>
      <xdr:row>104</xdr:row>
      <xdr:rowOff>28575</xdr:rowOff>
    </xdr:from>
    <xdr:to>
      <xdr:col>7</xdr:col>
      <xdr:colOff>0</xdr:colOff>
      <xdr:row>104</xdr:row>
      <xdr:rowOff>304800</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F357AB0-CBFC-40B3-AED0-1F2745E0D01B}"/>
            </a:ext>
          </a:extLst>
        </xdr:cNvPr>
        <xdr:cNvSpPr/>
      </xdr:nvSpPr>
      <xdr:spPr>
        <a:xfrm>
          <a:off x="78295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115</xdr:row>
      <xdr:rowOff>28575</xdr:rowOff>
    </xdr:from>
    <xdr:to>
      <xdr:col>7</xdr:col>
      <xdr:colOff>0</xdr:colOff>
      <xdr:row>115</xdr:row>
      <xdr:rowOff>304800</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01A4F818-1A01-4526-8731-B40BB5D32C3D}"/>
            </a:ext>
          </a:extLst>
        </xdr:cNvPr>
        <xdr:cNvSpPr/>
      </xdr:nvSpPr>
      <xdr:spPr>
        <a:xfrm>
          <a:off x="78486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129</xdr:row>
      <xdr:rowOff>28575</xdr:rowOff>
    </xdr:from>
    <xdr:to>
      <xdr:col>7</xdr:col>
      <xdr:colOff>0</xdr:colOff>
      <xdr:row>129</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A9588644-A272-43AE-A24D-3AA2D61323BC}"/>
            </a:ext>
          </a:extLst>
        </xdr:cNvPr>
        <xdr:cNvSpPr/>
      </xdr:nvSpPr>
      <xdr:spPr>
        <a:xfrm>
          <a:off x="81819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140</xdr:row>
      <xdr:rowOff>28575</xdr:rowOff>
    </xdr:from>
    <xdr:to>
      <xdr:col>7</xdr:col>
      <xdr:colOff>0</xdr:colOff>
      <xdr:row>140</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1D1C3AE-CEF7-4CB4-B78A-D1D0C7E02B5C}"/>
            </a:ext>
          </a:extLst>
        </xdr:cNvPr>
        <xdr:cNvSpPr/>
      </xdr:nvSpPr>
      <xdr:spPr>
        <a:xfrm>
          <a:off x="79152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152</xdr:row>
      <xdr:rowOff>28575</xdr:rowOff>
    </xdr:from>
    <xdr:to>
      <xdr:col>7</xdr:col>
      <xdr:colOff>0</xdr:colOff>
      <xdr:row>152</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E9B9A67-DB07-40A8-8D1A-80FB87F88780}"/>
            </a:ext>
          </a:extLst>
        </xdr:cNvPr>
        <xdr:cNvSpPr/>
      </xdr:nvSpPr>
      <xdr:spPr>
        <a:xfrm>
          <a:off x="80200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E6C9CAD9-92E5-4101-B274-A6DACA2B7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0A52A452-264F-4B53-A15D-8E6F9379E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016AF812-EF99-441F-8C63-3C7FEDF4C7F8}"/>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AE4E808B-FA60-4AB6-8BC4-D271632B9B23}"/>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3F37A8BE-9665-4056-8C23-FC03B9FC8F33}"/>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BFAD938B-B10C-4209-95F1-D302FAE5A8EC}"/>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A4FB2E77-5F4F-4A09-91A4-8B891922BECA}"/>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9F0D1B54-D762-41B2-AE86-041A1F3E9B24}"/>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DD00E947-1F76-4ABC-8D41-DFE64929DE4A}"/>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CD5EC5B3-3C82-4564-8E70-B4D43759F860}"/>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18EB9464-1FCA-421D-B9A0-5952C4D0A6DE}"/>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37963811-C6B5-487A-B7EE-7283BF7FF4A8}"/>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ECB01086-B6B9-4B40-B1C3-6D1CDA19236C}"/>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D8A1320C-4531-4D83-8642-C852953CE09B}"/>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AE0B4844-D68A-4D10-8B96-9F462DADAEFD}"/>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2110FD71-FFF8-4564-85F9-C03F27561D6B}"/>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18</xdr:row>
      <xdr:rowOff>28575</xdr:rowOff>
    </xdr:from>
    <xdr:to>
      <xdr:col>7</xdr:col>
      <xdr:colOff>0</xdr:colOff>
      <xdr:row>18</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4ABF5797-B900-4B5E-9DD8-2DDF7B698B6A}"/>
            </a:ext>
          </a:extLst>
        </xdr:cNvPr>
        <xdr:cNvSpPr/>
      </xdr:nvSpPr>
      <xdr:spPr>
        <a:xfrm>
          <a:off x="78676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34</xdr:row>
      <xdr:rowOff>28575</xdr:rowOff>
    </xdr:from>
    <xdr:to>
      <xdr:col>7</xdr:col>
      <xdr:colOff>0</xdr:colOff>
      <xdr:row>34</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C84F7367-2BD3-4DD0-B246-A587012007B3}"/>
            </a:ext>
          </a:extLst>
        </xdr:cNvPr>
        <xdr:cNvSpPr/>
      </xdr:nvSpPr>
      <xdr:spPr>
        <a:xfrm>
          <a:off x="79057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53</xdr:row>
      <xdr:rowOff>28575</xdr:rowOff>
    </xdr:from>
    <xdr:to>
      <xdr:col>7</xdr:col>
      <xdr:colOff>0</xdr:colOff>
      <xdr:row>53</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8BBEA0A-5044-4ACB-8AB1-6F57A2ECC189}"/>
            </a:ext>
          </a:extLst>
        </xdr:cNvPr>
        <xdr:cNvSpPr/>
      </xdr:nvSpPr>
      <xdr:spPr>
        <a:xfrm>
          <a:off x="78295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69</xdr:row>
      <xdr:rowOff>28575</xdr:rowOff>
    </xdr:from>
    <xdr:to>
      <xdr:col>7</xdr:col>
      <xdr:colOff>0</xdr:colOff>
      <xdr:row>69</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82E52D4-2FB9-4330-9412-1680FDE1F905}"/>
            </a:ext>
          </a:extLst>
        </xdr:cNvPr>
        <xdr:cNvSpPr/>
      </xdr:nvSpPr>
      <xdr:spPr>
        <a:xfrm>
          <a:off x="78295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85</xdr:row>
      <xdr:rowOff>28575</xdr:rowOff>
    </xdr:from>
    <xdr:to>
      <xdr:col>7</xdr:col>
      <xdr:colOff>0</xdr:colOff>
      <xdr:row>85</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F0168D0-C648-4CCC-986A-59A7926EE753}"/>
            </a:ext>
          </a:extLst>
        </xdr:cNvPr>
        <xdr:cNvSpPr/>
      </xdr:nvSpPr>
      <xdr:spPr>
        <a:xfrm>
          <a:off x="78200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100</xdr:row>
      <xdr:rowOff>28575</xdr:rowOff>
    </xdr:from>
    <xdr:to>
      <xdr:col>7</xdr:col>
      <xdr:colOff>0</xdr:colOff>
      <xdr:row>100</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9925D3F-2313-43F5-A04A-2CC461B55730}"/>
            </a:ext>
          </a:extLst>
        </xdr:cNvPr>
        <xdr:cNvSpPr/>
      </xdr:nvSpPr>
      <xdr:spPr>
        <a:xfrm>
          <a:off x="78200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1552161</xdr:colOff>
      <xdr:row>116</xdr:row>
      <xdr:rowOff>53422</xdr:rowOff>
    </xdr:from>
    <xdr:to>
      <xdr:col>6</xdr:col>
      <xdr:colOff>2840935</xdr:colOff>
      <xdr:row>117</xdr:row>
      <xdr:rowOff>14908</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2D88AB43-05B8-4A38-97C1-2F909FFD8AC8}"/>
            </a:ext>
          </a:extLst>
        </xdr:cNvPr>
        <xdr:cNvSpPr/>
      </xdr:nvSpPr>
      <xdr:spPr>
        <a:xfrm>
          <a:off x="8045726" y="25066900"/>
          <a:ext cx="1288774"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1577009</xdr:colOff>
      <xdr:row>129</xdr:row>
      <xdr:rowOff>36858</xdr:rowOff>
    </xdr:from>
    <xdr:to>
      <xdr:col>7</xdr:col>
      <xdr:colOff>8283</xdr:colOff>
      <xdr:row>129</xdr:row>
      <xdr:rowOff>313083</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069AADA0-E271-4E4C-8879-AB08C705647F}"/>
            </a:ext>
          </a:extLst>
        </xdr:cNvPr>
        <xdr:cNvSpPr/>
      </xdr:nvSpPr>
      <xdr:spPr>
        <a:xfrm>
          <a:off x="8070574" y="27849858"/>
          <a:ext cx="1288774"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147</xdr:row>
      <xdr:rowOff>28575</xdr:rowOff>
    </xdr:from>
    <xdr:to>
      <xdr:col>7</xdr:col>
      <xdr:colOff>0</xdr:colOff>
      <xdr:row>147</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326A1A16-E0A8-4C24-BB4F-7CF5CF1BF5BC}"/>
            </a:ext>
          </a:extLst>
        </xdr:cNvPr>
        <xdr:cNvSpPr/>
      </xdr:nvSpPr>
      <xdr:spPr>
        <a:xfrm>
          <a:off x="77533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168</xdr:row>
      <xdr:rowOff>28575</xdr:rowOff>
    </xdr:from>
    <xdr:to>
      <xdr:col>7</xdr:col>
      <xdr:colOff>0</xdr:colOff>
      <xdr:row>168</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35B5CC42-9097-4A68-8236-C874013BD554}"/>
            </a:ext>
          </a:extLst>
        </xdr:cNvPr>
        <xdr:cNvSpPr/>
      </xdr:nvSpPr>
      <xdr:spPr>
        <a:xfrm>
          <a:off x="80581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180</xdr:row>
      <xdr:rowOff>28575</xdr:rowOff>
    </xdr:from>
    <xdr:to>
      <xdr:col>7</xdr:col>
      <xdr:colOff>0</xdr:colOff>
      <xdr:row>180</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9CA3B834-6D1B-4751-9EE5-64E60B3EE9B2}"/>
            </a:ext>
          </a:extLst>
        </xdr:cNvPr>
        <xdr:cNvSpPr/>
      </xdr:nvSpPr>
      <xdr:spPr>
        <a:xfrm>
          <a:off x="80391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14</xdr:col>
      <xdr:colOff>508000</xdr:colOff>
      <xdr:row>33</xdr:row>
      <xdr:rowOff>88900</xdr:rowOff>
    </xdr:to>
    <xdr:graphicFrame macro="">
      <xdr:nvGraphicFramePr>
        <xdr:cNvPr id="2" name="Chart 1">
          <a:extLst>
            <a:ext uri="{FF2B5EF4-FFF2-40B4-BE49-F238E27FC236}">
              <a16:creationId xmlns:a16="http://schemas.microsoft.com/office/drawing/2014/main" xmlns="" id="{F3A0218B-B333-49BA-9BA9-DB7452D23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7A03E7AE-D8E0-4B88-8BB4-987EAA48B0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1F3210BF-0B1C-4835-868D-9B245045AEF9}"/>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3CE50037-FA0D-4A3D-93C9-CD55B37BC73F}"/>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D2A2A2A8-2232-4404-861A-55E1590F5B69}"/>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3A01E106-5393-40A3-93A8-505593644F1F}"/>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DB8D03FD-2573-4B74-B57C-5C8E1211621B}"/>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9C416FB1-15C5-4927-A879-47B1F57D18AA}"/>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C4E3F8BA-ECBD-46DA-8354-98B5550E50E6}"/>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8E0A950C-13BE-436C-8580-4661008C0133}"/>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5C98CF10-2233-4CF5-9391-1596550BC3B8}"/>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CB9DF324-B97E-47D0-A9BB-0D8863BCEBA1}"/>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14B423C5-7D9F-48F0-BE79-A1BE009798CC}"/>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07D0621F-8276-4619-8660-C74507696F9A}"/>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1E171C37-8991-4A43-BAFD-A242BDD672A1}"/>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735DDAD6-488B-468D-A980-50F0FA5DDBA1}"/>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19</xdr:row>
      <xdr:rowOff>28575</xdr:rowOff>
    </xdr:from>
    <xdr:to>
      <xdr:col>7</xdr:col>
      <xdr:colOff>0</xdr:colOff>
      <xdr:row>19</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9DE9A7EB-B24F-4226-AADF-6B5A24B2D91D}"/>
            </a:ext>
          </a:extLst>
        </xdr:cNvPr>
        <xdr:cNvSpPr/>
      </xdr:nvSpPr>
      <xdr:spPr>
        <a:xfrm>
          <a:off x="78676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41</xdr:row>
      <xdr:rowOff>28575</xdr:rowOff>
    </xdr:from>
    <xdr:to>
      <xdr:col>7</xdr:col>
      <xdr:colOff>0</xdr:colOff>
      <xdr:row>41</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2E1DF5C4-375F-49C3-B56F-684338D281D4}"/>
            </a:ext>
          </a:extLst>
        </xdr:cNvPr>
        <xdr:cNvSpPr/>
      </xdr:nvSpPr>
      <xdr:spPr>
        <a:xfrm>
          <a:off x="78486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55</xdr:row>
      <xdr:rowOff>28575</xdr:rowOff>
    </xdr:from>
    <xdr:to>
      <xdr:col>7</xdr:col>
      <xdr:colOff>0</xdr:colOff>
      <xdr:row>55</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8780E42-FEC5-4172-8C3E-B67D44BC8A45}"/>
            </a:ext>
          </a:extLst>
        </xdr:cNvPr>
        <xdr:cNvSpPr/>
      </xdr:nvSpPr>
      <xdr:spPr>
        <a:xfrm>
          <a:off x="78771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79</xdr:row>
      <xdr:rowOff>28575</xdr:rowOff>
    </xdr:from>
    <xdr:to>
      <xdr:col>7</xdr:col>
      <xdr:colOff>0</xdr:colOff>
      <xdr:row>79</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A16A7EE-9707-42F1-934E-F233A4539678}"/>
            </a:ext>
          </a:extLst>
        </xdr:cNvPr>
        <xdr:cNvSpPr/>
      </xdr:nvSpPr>
      <xdr:spPr>
        <a:xfrm>
          <a:off x="78581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94</xdr:row>
      <xdr:rowOff>28575</xdr:rowOff>
    </xdr:from>
    <xdr:to>
      <xdr:col>7</xdr:col>
      <xdr:colOff>0</xdr:colOff>
      <xdr:row>94</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E778A41-5910-4F31-93D4-CF5F6B4AB3D6}"/>
            </a:ext>
          </a:extLst>
        </xdr:cNvPr>
        <xdr:cNvSpPr/>
      </xdr:nvSpPr>
      <xdr:spPr>
        <a:xfrm>
          <a:off x="78486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105</xdr:row>
      <xdr:rowOff>28575</xdr:rowOff>
    </xdr:from>
    <xdr:to>
      <xdr:col>7</xdr:col>
      <xdr:colOff>0</xdr:colOff>
      <xdr:row>105</xdr:row>
      <xdr:rowOff>304800</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CAA24D9F-1E33-4465-88C3-8FAF62E24312}"/>
            </a:ext>
          </a:extLst>
        </xdr:cNvPr>
        <xdr:cNvSpPr/>
      </xdr:nvSpPr>
      <xdr:spPr>
        <a:xfrm>
          <a:off x="80105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1618422</xdr:colOff>
      <xdr:row>119</xdr:row>
      <xdr:rowOff>86554</xdr:rowOff>
    </xdr:from>
    <xdr:to>
      <xdr:col>7</xdr:col>
      <xdr:colOff>8283</xdr:colOff>
      <xdr:row>119</xdr:row>
      <xdr:rowOff>362779</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A6A19333-A158-4092-95E0-5AA8D0573882}"/>
            </a:ext>
          </a:extLst>
        </xdr:cNvPr>
        <xdr:cNvSpPr/>
      </xdr:nvSpPr>
      <xdr:spPr>
        <a:xfrm>
          <a:off x="8070574" y="25779206"/>
          <a:ext cx="1247361"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139</xdr:row>
      <xdr:rowOff>28575</xdr:rowOff>
    </xdr:from>
    <xdr:to>
      <xdr:col>7</xdr:col>
      <xdr:colOff>0</xdr:colOff>
      <xdr:row>139</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89A8356-AD51-41EA-990A-8DDEC314F18F}"/>
            </a:ext>
          </a:extLst>
        </xdr:cNvPr>
        <xdr:cNvSpPr/>
      </xdr:nvSpPr>
      <xdr:spPr>
        <a:xfrm>
          <a:off x="78486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151</xdr:row>
      <xdr:rowOff>28575</xdr:rowOff>
    </xdr:from>
    <xdr:to>
      <xdr:col>7</xdr:col>
      <xdr:colOff>0</xdr:colOff>
      <xdr:row>151</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B924F5B6-D51E-49A0-A1FD-42ACA1873C69}"/>
            </a:ext>
          </a:extLst>
        </xdr:cNvPr>
        <xdr:cNvSpPr/>
      </xdr:nvSpPr>
      <xdr:spPr>
        <a:xfrm>
          <a:off x="77343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171</xdr:row>
      <xdr:rowOff>28575</xdr:rowOff>
    </xdr:from>
    <xdr:to>
      <xdr:col>7</xdr:col>
      <xdr:colOff>0</xdr:colOff>
      <xdr:row>171</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5A175CC-CCA7-469A-8894-43CF8617EFC9}"/>
            </a:ext>
          </a:extLst>
        </xdr:cNvPr>
        <xdr:cNvSpPr/>
      </xdr:nvSpPr>
      <xdr:spPr>
        <a:xfrm>
          <a:off x="79914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186</xdr:row>
      <xdr:rowOff>28575</xdr:rowOff>
    </xdr:from>
    <xdr:to>
      <xdr:col>7</xdr:col>
      <xdr:colOff>0</xdr:colOff>
      <xdr:row>186</xdr:row>
      <xdr:rowOff>304800</xdr:rowOff>
    </xdr:to>
    <xdr:sp macro="" textlink="">
      <xdr:nvSpPr>
        <xdr:cNvPr id="1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1998046-66CE-40F8-8893-2841B5BB7FD5}"/>
            </a:ext>
          </a:extLst>
        </xdr:cNvPr>
        <xdr:cNvSpPr/>
      </xdr:nvSpPr>
      <xdr:spPr>
        <a:xfrm>
          <a:off x="80200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14</xdr:col>
      <xdr:colOff>533400</xdr:colOff>
      <xdr:row>33</xdr:row>
      <xdr:rowOff>152400</xdr:rowOff>
    </xdr:to>
    <xdr:graphicFrame macro="">
      <xdr:nvGraphicFramePr>
        <xdr:cNvPr id="2" name="Chart 1">
          <a:extLst>
            <a:ext uri="{FF2B5EF4-FFF2-40B4-BE49-F238E27FC236}">
              <a16:creationId xmlns:a16="http://schemas.microsoft.com/office/drawing/2014/main" xmlns="" id="{5375F3C4-AAE1-48A6-8D9D-C3AA5A234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6AD9F4BF-C06A-45F4-BEDE-FEF7283597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C12737E1-BDBD-46C4-B45E-6EA9583CF5AE}"/>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5F99E19C-C74D-4C7B-9A06-4C1AABAB9140}"/>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6C15EA82-71FC-49B3-AA24-496A3214DAE7}"/>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32E8A360-49CE-410B-915B-A00CE8FA3428}"/>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9D19BE96-7709-4B0A-8C9C-D858BC312B98}"/>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DE3D47A5-A0D0-4C93-B009-6F947FEDE051}"/>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36748F62-8E62-44FD-AFE1-D97F7FC3E260}"/>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6A03A020-EBE6-46EE-BAAE-5AC620FAEC5D}"/>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C8474571-4E16-423C-9BB2-F8926CE77D52}"/>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E2139423-9127-4F26-8864-3983CDF22F75}"/>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1762C0D3-02AD-4F5D-9832-25E0679C6854}"/>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67046D1C-5F06-4BA5-B903-99FF6D930D17}"/>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8A6C476B-7E5E-44E9-B871-6A09E1D5DF26}"/>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1BF2EC1-F088-4F0E-8830-4A5B3D0FF9CE}"/>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26</xdr:row>
      <xdr:rowOff>28575</xdr:rowOff>
    </xdr:from>
    <xdr:to>
      <xdr:col>7</xdr:col>
      <xdr:colOff>0</xdr:colOff>
      <xdr:row>26</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7D1F6C4-E9B6-4B57-AA52-3A00F3DC9E12}"/>
            </a:ext>
          </a:extLst>
        </xdr:cNvPr>
        <xdr:cNvSpPr/>
      </xdr:nvSpPr>
      <xdr:spPr>
        <a:xfrm>
          <a:off x="79724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51</xdr:row>
      <xdr:rowOff>28575</xdr:rowOff>
    </xdr:from>
    <xdr:to>
      <xdr:col>7</xdr:col>
      <xdr:colOff>0</xdr:colOff>
      <xdr:row>51</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47DBB4D4-F824-4C6C-B90B-0F6A7FF12735}"/>
            </a:ext>
          </a:extLst>
        </xdr:cNvPr>
        <xdr:cNvSpPr/>
      </xdr:nvSpPr>
      <xdr:spPr>
        <a:xfrm>
          <a:off x="78867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78</xdr:row>
      <xdr:rowOff>28575</xdr:rowOff>
    </xdr:from>
    <xdr:to>
      <xdr:col>7</xdr:col>
      <xdr:colOff>0</xdr:colOff>
      <xdr:row>78</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0DECF0BB-0F61-4D86-BBEE-113C923A788E}"/>
            </a:ext>
          </a:extLst>
        </xdr:cNvPr>
        <xdr:cNvSpPr/>
      </xdr:nvSpPr>
      <xdr:spPr>
        <a:xfrm>
          <a:off x="77819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94</xdr:row>
      <xdr:rowOff>28575</xdr:rowOff>
    </xdr:from>
    <xdr:to>
      <xdr:col>7</xdr:col>
      <xdr:colOff>0</xdr:colOff>
      <xdr:row>94</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89EFA7F-1F6D-459B-9BC5-0F0D0B34EA2D}"/>
            </a:ext>
          </a:extLst>
        </xdr:cNvPr>
        <xdr:cNvSpPr/>
      </xdr:nvSpPr>
      <xdr:spPr>
        <a:xfrm>
          <a:off x="78295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109</xdr:row>
      <xdr:rowOff>28575</xdr:rowOff>
    </xdr:from>
    <xdr:to>
      <xdr:col>7</xdr:col>
      <xdr:colOff>0</xdr:colOff>
      <xdr:row>109</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2E788614-B9F4-4912-A0AF-D69EAB76E6D3}"/>
            </a:ext>
          </a:extLst>
        </xdr:cNvPr>
        <xdr:cNvSpPr/>
      </xdr:nvSpPr>
      <xdr:spPr>
        <a:xfrm>
          <a:off x="78962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120</xdr:row>
      <xdr:rowOff>28575</xdr:rowOff>
    </xdr:from>
    <xdr:to>
      <xdr:col>7</xdr:col>
      <xdr:colOff>0</xdr:colOff>
      <xdr:row>120</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7307963-6689-4B3E-8750-E24BF5231777}"/>
            </a:ext>
          </a:extLst>
        </xdr:cNvPr>
        <xdr:cNvSpPr/>
      </xdr:nvSpPr>
      <xdr:spPr>
        <a:xfrm>
          <a:off x="79248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1552160</xdr:colOff>
      <xdr:row>136</xdr:row>
      <xdr:rowOff>61705</xdr:rowOff>
    </xdr:from>
    <xdr:to>
      <xdr:col>6</xdr:col>
      <xdr:colOff>2832652</xdr:colOff>
      <xdr:row>137</xdr:row>
      <xdr:rowOff>6626</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9FFB290-CD38-434D-AB70-3C22E0AD3E16}"/>
            </a:ext>
          </a:extLst>
        </xdr:cNvPr>
        <xdr:cNvSpPr/>
      </xdr:nvSpPr>
      <xdr:spPr>
        <a:xfrm>
          <a:off x="8037443" y="29315879"/>
          <a:ext cx="1280492"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150</xdr:row>
      <xdr:rowOff>28575</xdr:rowOff>
    </xdr:from>
    <xdr:to>
      <xdr:col>7</xdr:col>
      <xdr:colOff>0</xdr:colOff>
      <xdr:row>150</xdr:row>
      <xdr:rowOff>304800</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68D2540-5228-4B57-BF4B-A0FDC4B8DCEC}"/>
            </a:ext>
          </a:extLst>
        </xdr:cNvPr>
        <xdr:cNvSpPr/>
      </xdr:nvSpPr>
      <xdr:spPr>
        <a:xfrm>
          <a:off x="73342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170</xdr:row>
      <xdr:rowOff>28575</xdr:rowOff>
    </xdr:from>
    <xdr:to>
      <xdr:col>7</xdr:col>
      <xdr:colOff>0</xdr:colOff>
      <xdr:row>170</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9437F4A-C9F6-4F6D-95EF-7557737BE975}"/>
            </a:ext>
          </a:extLst>
        </xdr:cNvPr>
        <xdr:cNvSpPr/>
      </xdr:nvSpPr>
      <xdr:spPr>
        <a:xfrm>
          <a:off x="77057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188</xdr:row>
      <xdr:rowOff>28575</xdr:rowOff>
    </xdr:from>
    <xdr:to>
      <xdr:col>7</xdr:col>
      <xdr:colOff>0</xdr:colOff>
      <xdr:row>188</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9BEA61B-DC34-489C-BC4E-09A12BACBF85}"/>
            </a:ext>
          </a:extLst>
        </xdr:cNvPr>
        <xdr:cNvSpPr/>
      </xdr:nvSpPr>
      <xdr:spPr>
        <a:xfrm>
          <a:off x="80676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203</xdr:row>
      <xdr:rowOff>28575</xdr:rowOff>
    </xdr:from>
    <xdr:to>
      <xdr:col>7</xdr:col>
      <xdr:colOff>0</xdr:colOff>
      <xdr:row>203</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43B9C26-9D2C-4DDB-B150-DEB6B8C0A2A0}"/>
            </a:ext>
          </a:extLst>
        </xdr:cNvPr>
        <xdr:cNvSpPr/>
      </xdr:nvSpPr>
      <xdr:spPr>
        <a:xfrm>
          <a:off x="78962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11</xdr:col>
      <xdr:colOff>73053</xdr:colOff>
      <xdr:row>1</xdr:row>
      <xdr:rowOff>58208</xdr:rowOff>
    </xdr:from>
    <xdr:to>
      <xdr:col>13</xdr:col>
      <xdr:colOff>5320</xdr:colOff>
      <xdr:row>1</xdr:row>
      <xdr:rowOff>334433</xdr:rowOff>
    </xdr:to>
    <xdr:sp macro="" textlink="">
      <xdr:nvSpPr>
        <xdr:cNvPr id="2" name="btnSummary" descr="Click to view the Expense Summary sheet" title="Summary">
          <a:extLst>
            <a:ext uri="{FF2B5EF4-FFF2-40B4-BE49-F238E27FC236}">
              <a16:creationId xmlns:a16="http://schemas.microsoft.com/office/drawing/2014/main" xmlns="" id="{4B610733-2C2B-44B9-BF7C-DCBEF3B08D73}"/>
            </a:ext>
          </a:extLst>
        </xdr:cNvPr>
        <xdr:cNvSpPr/>
      </xdr:nvSpPr>
      <xdr:spPr>
        <a:xfrm>
          <a:off x="4911753" y="210608"/>
          <a:ext cx="1370542"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lang="en-US" sz="1050" b="1">
            <a:solidFill>
              <a:schemeClr val="bg1"/>
            </a:solidFill>
          </a:endParaRPr>
        </a:p>
      </xdr:txBody>
    </xdr:sp>
    <xdr:clientData fPrintsWithSheet="0"/>
  </xdr:twoCellAnchor>
  <xdr:twoCellAnchor>
    <xdr:from>
      <xdr:col>0</xdr:col>
      <xdr:colOff>190500</xdr:colOff>
      <xdr:row>4</xdr:row>
      <xdr:rowOff>201083</xdr:rowOff>
    </xdr:from>
    <xdr:to>
      <xdr:col>12</xdr:col>
      <xdr:colOff>836082</xdr:colOff>
      <xdr:row>43</xdr:row>
      <xdr:rowOff>95251</xdr:rowOff>
    </xdr:to>
    <xdr:sp macro="" textlink="">
      <xdr:nvSpPr>
        <xdr:cNvPr id="3" name="TextBox 2">
          <a:extLst>
            <a:ext uri="{FF2B5EF4-FFF2-40B4-BE49-F238E27FC236}">
              <a16:creationId xmlns:a16="http://schemas.microsoft.com/office/drawing/2014/main" xmlns="" id="{2C97E6D8-B561-404B-B3CB-FE6C48FDBF07}"/>
            </a:ext>
          </a:extLst>
        </xdr:cNvPr>
        <xdr:cNvSpPr txBox="1"/>
      </xdr:nvSpPr>
      <xdr:spPr>
        <a:xfrm>
          <a:off x="190500" y="1410758"/>
          <a:ext cx="5998632" cy="8447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*Each bus has (4) four parts: the first part is the bus summary which is your total expence for the</a:t>
          </a:r>
          <a:r>
            <a:rPr lang="en-US" sz="1800" baseline="0"/>
            <a:t> year, broke down by the classes which are shown on the page.(also on the first page is a projected life time cost and true cost for major line items form. We do not use anymore but this is where we started feel free to use)</a:t>
          </a:r>
        </a:p>
        <a:p>
          <a:endParaRPr lang="en-US" sz="1800" baseline="0"/>
        </a:p>
        <a:p>
          <a:r>
            <a:rPr lang="en-US" sz="1800" baseline="0"/>
            <a:t> *The second page are each month in the FY work orders by parts and labor. </a:t>
          </a:r>
        </a:p>
        <a:p>
          <a:endParaRPr lang="en-US" sz="1800" baseline="0"/>
        </a:p>
        <a:p>
          <a:r>
            <a:rPr lang="en-US" sz="1800" baseline="0"/>
            <a:t>*The third page is preventive maintenance tracking. </a:t>
          </a:r>
        </a:p>
        <a:p>
          <a:endParaRPr lang="en-US" sz="1800" baseline="0"/>
        </a:p>
        <a:p>
          <a:r>
            <a:rPr lang="en-US" sz="1800" baseline="0"/>
            <a:t>*The fouth page is a chart of the dollars spent on each asset by month.</a:t>
          </a:r>
        </a:p>
        <a:p>
          <a:endParaRPr lang="en-US" sz="1800" baseline="0"/>
        </a:p>
        <a:p>
          <a:r>
            <a:rPr lang="en-US" sz="1800" baseline="0"/>
            <a:t>*The bus files are updated daily, as work orders come in for each bus. We are working on the TAMS side of this, hoping we can make them talk to each other in the future.  </a:t>
          </a:r>
        </a:p>
        <a:p>
          <a:endParaRPr lang="en-US" sz="1800" baseline="0"/>
        </a:p>
        <a:p>
          <a:r>
            <a:rPr lang="en-US" sz="1800" baseline="0"/>
            <a:t>*Last three pages are for NTD reporting of our road calls per-bus class.</a:t>
          </a:r>
        </a:p>
        <a:p>
          <a:endParaRPr lang="en-US" sz="1400"/>
        </a:p>
        <a:p>
          <a:r>
            <a:rPr lang="en-US" sz="1800" b="0"/>
            <a:t>*Data monster book 2 is same information</a:t>
          </a:r>
          <a:r>
            <a:rPr lang="en-US" sz="1800" b="0" baseline="0"/>
            <a:t> only for fuel reports, accident reg, building inspections fire and sprinkler system and more.</a:t>
          </a:r>
          <a:endParaRPr lang="en-US" sz="1800" b="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D45EB311-DBDE-4AC4-A810-109891E38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4E4B214F-276A-4B3F-B22C-711D0ED94C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BE84986F-0524-4867-BDF5-8BDDE354BD15}"/>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87B53866-5146-4635-8FE3-C3D7BA4D4F6D}"/>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654312CE-F3E2-455B-8A93-4D114AC7B3ED}"/>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EA599DFE-3A46-4B14-A68C-58E7E2997583}"/>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6C5C9178-2D76-4359-B9CD-370D29A830D4}"/>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6E3523D8-8EAF-4DAD-9261-4EB81A81D6B5}"/>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2675FEF3-67FA-4E98-8CFE-F43D882818D7}"/>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6AC6FC46-EAA3-4E91-AF7C-60368443C007}"/>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78A5F996-46E0-485B-A0E5-1151291BB689}"/>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38BAECB8-21FE-464B-92D9-523E4F2C21CC}"/>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A92AFD72-B9DC-4374-85A4-97E7AFB329D6}"/>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47B6D69D-4F02-48A1-87B1-5A8A03F80D42}"/>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D08C94D3-6DCA-4C63-883C-244248C1E1A5}"/>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2A4C0BC-807E-4EE6-AF5F-526AD202A92D}"/>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19</xdr:row>
      <xdr:rowOff>28575</xdr:rowOff>
    </xdr:from>
    <xdr:to>
      <xdr:col>7</xdr:col>
      <xdr:colOff>0</xdr:colOff>
      <xdr:row>19</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C3CE7FD-1F52-48F1-B557-E6B842A666C7}"/>
            </a:ext>
          </a:extLst>
        </xdr:cNvPr>
        <xdr:cNvSpPr/>
      </xdr:nvSpPr>
      <xdr:spPr>
        <a:xfrm>
          <a:off x="79533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38</xdr:row>
      <xdr:rowOff>28575</xdr:rowOff>
    </xdr:from>
    <xdr:to>
      <xdr:col>7</xdr:col>
      <xdr:colOff>0</xdr:colOff>
      <xdr:row>38</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7A90A6CE-5A9E-4C17-B5F3-28CE3D7A16EA}"/>
            </a:ext>
          </a:extLst>
        </xdr:cNvPr>
        <xdr:cNvSpPr/>
      </xdr:nvSpPr>
      <xdr:spPr>
        <a:xfrm>
          <a:off x="78962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52</xdr:row>
      <xdr:rowOff>28575</xdr:rowOff>
    </xdr:from>
    <xdr:to>
      <xdr:col>7</xdr:col>
      <xdr:colOff>0</xdr:colOff>
      <xdr:row>52</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14E143B-50B4-4F26-BEB5-D260F8B86ECC}"/>
            </a:ext>
          </a:extLst>
        </xdr:cNvPr>
        <xdr:cNvSpPr/>
      </xdr:nvSpPr>
      <xdr:spPr>
        <a:xfrm>
          <a:off x="77724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68</xdr:row>
      <xdr:rowOff>28575</xdr:rowOff>
    </xdr:from>
    <xdr:to>
      <xdr:col>7</xdr:col>
      <xdr:colOff>0</xdr:colOff>
      <xdr:row>68</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16CF6635-87C0-425B-BD5F-9D77B63D5AED}"/>
            </a:ext>
          </a:extLst>
        </xdr:cNvPr>
        <xdr:cNvSpPr/>
      </xdr:nvSpPr>
      <xdr:spPr>
        <a:xfrm>
          <a:off x="78771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83</xdr:row>
      <xdr:rowOff>28575</xdr:rowOff>
    </xdr:from>
    <xdr:to>
      <xdr:col>7</xdr:col>
      <xdr:colOff>0</xdr:colOff>
      <xdr:row>83</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40BBA4C-D82C-4933-80E1-0948CC566296}"/>
            </a:ext>
          </a:extLst>
        </xdr:cNvPr>
        <xdr:cNvSpPr/>
      </xdr:nvSpPr>
      <xdr:spPr>
        <a:xfrm>
          <a:off x="79152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95</xdr:row>
      <xdr:rowOff>28575</xdr:rowOff>
    </xdr:from>
    <xdr:to>
      <xdr:col>7</xdr:col>
      <xdr:colOff>0</xdr:colOff>
      <xdr:row>95</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06B87E3E-AB65-4F98-BF75-B021687A298C}"/>
            </a:ext>
          </a:extLst>
        </xdr:cNvPr>
        <xdr:cNvSpPr/>
      </xdr:nvSpPr>
      <xdr:spPr>
        <a:xfrm>
          <a:off x="78390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1585291</xdr:colOff>
      <xdr:row>110</xdr:row>
      <xdr:rowOff>20292</xdr:rowOff>
    </xdr:from>
    <xdr:to>
      <xdr:col>7</xdr:col>
      <xdr:colOff>16565</xdr:colOff>
      <xdr:row>110</xdr:row>
      <xdr:rowOff>296517</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405E4F19-F210-42B8-94E9-F1DCB1A01CCB}"/>
            </a:ext>
          </a:extLst>
        </xdr:cNvPr>
        <xdr:cNvSpPr/>
      </xdr:nvSpPr>
      <xdr:spPr>
        <a:xfrm>
          <a:off x="8078856" y="23791379"/>
          <a:ext cx="1288774"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1521101</xdr:colOff>
      <xdr:row>125</xdr:row>
      <xdr:rowOff>74958</xdr:rowOff>
    </xdr:from>
    <xdr:to>
      <xdr:col>7</xdr:col>
      <xdr:colOff>35201</xdr:colOff>
      <xdr:row>126</xdr:row>
      <xdr:rowOff>11596</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B864F340-BF1C-48FD-9559-D7F81B5AC886}"/>
            </a:ext>
          </a:extLst>
        </xdr:cNvPr>
        <xdr:cNvSpPr/>
      </xdr:nvSpPr>
      <xdr:spPr>
        <a:xfrm>
          <a:off x="8014666" y="2708454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138</xdr:row>
      <xdr:rowOff>28575</xdr:rowOff>
    </xdr:from>
    <xdr:to>
      <xdr:col>7</xdr:col>
      <xdr:colOff>0</xdr:colOff>
      <xdr:row>138</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50149B1-E373-4538-BBE7-0F840B4FE407}"/>
            </a:ext>
          </a:extLst>
        </xdr:cNvPr>
        <xdr:cNvSpPr/>
      </xdr:nvSpPr>
      <xdr:spPr>
        <a:xfrm>
          <a:off x="78105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156</xdr:row>
      <xdr:rowOff>28575</xdr:rowOff>
    </xdr:from>
    <xdr:to>
      <xdr:col>7</xdr:col>
      <xdr:colOff>0</xdr:colOff>
      <xdr:row>156</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247B72FF-48E6-48E2-8850-13A234934BBC}"/>
            </a:ext>
          </a:extLst>
        </xdr:cNvPr>
        <xdr:cNvSpPr/>
      </xdr:nvSpPr>
      <xdr:spPr>
        <a:xfrm>
          <a:off x="79914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170</xdr:row>
      <xdr:rowOff>28575</xdr:rowOff>
    </xdr:from>
    <xdr:to>
      <xdr:col>7</xdr:col>
      <xdr:colOff>0</xdr:colOff>
      <xdr:row>170</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1FD2E53-8CCB-4E69-B241-534B3945FAE9}"/>
            </a:ext>
          </a:extLst>
        </xdr:cNvPr>
        <xdr:cNvSpPr/>
      </xdr:nvSpPr>
      <xdr:spPr>
        <a:xfrm>
          <a:off x="80676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55D45F56-B408-4B63-8046-745F78C68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9CB05E43-1D91-488C-BDAD-C2D322E81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ACAF90ED-B18A-4867-8E78-FBF29CF89FD6}"/>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0DBE3FF0-B61C-4C43-B926-7FA243264BAB}"/>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51C55672-780F-42B0-8926-DFA803CF5958}"/>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233F374A-D98B-4768-A426-4E8A2BC2D89D}"/>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F1D22C6E-C74D-4244-A7BB-E7423ACFFAA7}"/>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11A14262-BAB9-4614-BC47-1BFD11F60EF1}"/>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BA1D7800-CE98-41A8-8608-D0EE2775BB05}"/>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23FED706-AE12-4ED0-88A9-EA2726AA8CDB}"/>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139D9800-19E0-4764-A5FF-EBD847FA73B0}"/>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D95FD5F6-9390-4594-A49C-697DE9C63501}"/>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43E95A66-6CD5-4F1F-A408-F5E375FAAD48}"/>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5DBAAABB-A5B0-4C52-8516-7952C740E4D8}"/>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0B9830E5-C149-43E3-BDC2-4553F372AFAD}"/>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25EEB877-81CE-4419-B378-9955F04FE7B9}"/>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18</xdr:row>
      <xdr:rowOff>28575</xdr:rowOff>
    </xdr:from>
    <xdr:to>
      <xdr:col>7</xdr:col>
      <xdr:colOff>0</xdr:colOff>
      <xdr:row>18</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90156126-DCA3-4CFD-8FA2-CA133F3F0EF7}"/>
            </a:ext>
          </a:extLst>
        </xdr:cNvPr>
        <xdr:cNvSpPr/>
      </xdr:nvSpPr>
      <xdr:spPr>
        <a:xfrm>
          <a:off x="80391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40</xdr:row>
      <xdr:rowOff>28575</xdr:rowOff>
    </xdr:from>
    <xdr:to>
      <xdr:col>7</xdr:col>
      <xdr:colOff>0</xdr:colOff>
      <xdr:row>40</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6F3DF6E-F4E9-4A82-A850-E7CCBE6AE307}"/>
            </a:ext>
          </a:extLst>
        </xdr:cNvPr>
        <xdr:cNvSpPr/>
      </xdr:nvSpPr>
      <xdr:spPr>
        <a:xfrm>
          <a:off x="79343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65</xdr:row>
      <xdr:rowOff>28575</xdr:rowOff>
    </xdr:from>
    <xdr:to>
      <xdr:col>7</xdr:col>
      <xdr:colOff>0</xdr:colOff>
      <xdr:row>65</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AE9043CC-2099-464E-88A5-3F4EA0EBF838}"/>
            </a:ext>
          </a:extLst>
        </xdr:cNvPr>
        <xdr:cNvSpPr/>
      </xdr:nvSpPr>
      <xdr:spPr>
        <a:xfrm>
          <a:off x="78962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81</xdr:row>
      <xdr:rowOff>28575</xdr:rowOff>
    </xdr:from>
    <xdr:to>
      <xdr:col>7</xdr:col>
      <xdr:colOff>0</xdr:colOff>
      <xdr:row>81</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34B765B-5D66-4239-95FE-F56B997D36A5}"/>
            </a:ext>
          </a:extLst>
        </xdr:cNvPr>
        <xdr:cNvSpPr/>
      </xdr:nvSpPr>
      <xdr:spPr>
        <a:xfrm>
          <a:off x="77628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96</xdr:row>
      <xdr:rowOff>28575</xdr:rowOff>
    </xdr:from>
    <xdr:to>
      <xdr:col>7</xdr:col>
      <xdr:colOff>0</xdr:colOff>
      <xdr:row>96</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419C2747-5230-40D6-B337-3FBA61B23694}"/>
            </a:ext>
          </a:extLst>
        </xdr:cNvPr>
        <xdr:cNvSpPr/>
      </xdr:nvSpPr>
      <xdr:spPr>
        <a:xfrm>
          <a:off x="79533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110</xdr:row>
      <xdr:rowOff>28575</xdr:rowOff>
    </xdr:from>
    <xdr:to>
      <xdr:col>7</xdr:col>
      <xdr:colOff>0</xdr:colOff>
      <xdr:row>110</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38FF7AF-431F-4C1A-B839-4B7BFFCC4252}"/>
            </a:ext>
          </a:extLst>
        </xdr:cNvPr>
        <xdr:cNvSpPr/>
      </xdr:nvSpPr>
      <xdr:spPr>
        <a:xfrm>
          <a:off x="79248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1668116</xdr:colOff>
      <xdr:row>123</xdr:row>
      <xdr:rowOff>61706</xdr:rowOff>
    </xdr:from>
    <xdr:to>
      <xdr:col>7</xdr:col>
      <xdr:colOff>8282</xdr:colOff>
      <xdr:row>124</xdr:row>
      <xdr:rowOff>6626</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36A317D8-CEC6-4DB5-BA8C-BFE8581FC2D1}"/>
            </a:ext>
          </a:extLst>
        </xdr:cNvPr>
        <xdr:cNvSpPr/>
      </xdr:nvSpPr>
      <xdr:spPr>
        <a:xfrm>
          <a:off x="8070573" y="26574336"/>
          <a:ext cx="1197666"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141</xdr:row>
      <xdr:rowOff>28575</xdr:rowOff>
    </xdr:from>
    <xdr:to>
      <xdr:col>7</xdr:col>
      <xdr:colOff>0</xdr:colOff>
      <xdr:row>141</xdr:row>
      <xdr:rowOff>304800</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34ED3EE1-680B-48C6-BDD5-EEF8983F4700}"/>
            </a:ext>
          </a:extLst>
        </xdr:cNvPr>
        <xdr:cNvSpPr/>
      </xdr:nvSpPr>
      <xdr:spPr>
        <a:xfrm>
          <a:off x="77438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155</xdr:row>
      <xdr:rowOff>28575</xdr:rowOff>
    </xdr:from>
    <xdr:to>
      <xdr:col>7</xdr:col>
      <xdr:colOff>0</xdr:colOff>
      <xdr:row>155</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D3C801D-A8A0-43CB-9898-6D5A5C23C6AA}"/>
            </a:ext>
          </a:extLst>
        </xdr:cNvPr>
        <xdr:cNvSpPr/>
      </xdr:nvSpPr>
      <xdr:spPr>
        <a:xfrm>
          <a:off x="77724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175</xdr:row>
      <xdr:rowOff>28575</xdr:rowOff>
    </xdr:from>
    <xdr:to>
      <xdr:col>7</xdr:col>
      <xdr:colOff>0</xdr:colOff>
      <xdr:row>175</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AAD23551-4CF7-4BED-B691-D0469A6753B7}"/>
            </a:ext>
          </a:extLst>
        </xdr:cNvPr>
        <xdr:cNvSpPr/>
      </xdr:nvSpPr>
      <xdr:spPr>
        <a:xfrm>
          <a:off x="80772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189</xdr:row>
      <xdr:rowOff>28575</xdr:rowOff>
    </xdr:from>
    <xdr:to>
      <xdr:col>7</xdr:col>
      <xdr:colOff>0</xdr:colOff>
      <xdr:row>189</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47C64E90-5514-43B1-8098-BB6C2BE457A8}"/>
            </a:ext>
          </a:extLst>
        </xdr:cNvPr>
        <xdr:cNvSpPr/>
      </xdr:nvSpPr>
      <xdr:spPr>
        <a:xfrm>
          <a:off x="79819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DE65FE19-7FD4-4AC0-B649-D21168381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ACBEE28C-C0B0-4205-BFF6-C5DF47933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70F05087-DF29-4B59-A1F0-B4FE47873B9A}"/>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477560F7-2214-4877-AC80-6A712C29D253}"/>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BF1B60A7-3B16-4B41-B2BF-385675894EA2}"/>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AEFDC93D-9688-4BE9-B1C9-87EA6452284D}"/>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DF9E6635-F4B5-401A-B870-234AD1865DFD}"/>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04EEA711-B14A-4C3D-98AC-C38AFA5B8E4D}"/>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89BA4DA9-335E-4EDE-B7B8-07E7AD3C1BD9}"/>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304F0712-EB85-4A19-A820-67CE5C2CC9BF}"/>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0615CC5D-6522-43BE-8F14-AB527EE37C09}"/>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1BC0F280-3EAD-4BB3-9AF5-7A31D7DE7452}"/>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77E64C94-62B5-47AE-970C-8EA5BEF2ECDB}"/>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0BF30412-8EC1-40E2-AA3E-71066782C834}"/>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DF2C860F-0B65-436B-9F35-03F0DA09D7CD}"/>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oneCellAnchor>
    <xdr:from>
      <xdr:col>1</xdr:col>
      <xdr:colOff>676275</xdr:colOff>
      <xdr:row>40</xdr:row>
      <xdr:rowOff>152400</xdr:rowOff>
    </xdr:from>
    <xdr:ext cx="3952875" cy="685800"/>
    <xdr:sp macro="" textlink="">
      <xdr:nvSpPr>
        <xdr:cNvPr id="16" name="TextBox 15">
          <a:extLst>
            <a:ext uri="{FF2B5EF4-FFF2-40B4-BE49-F238E27FC236}">
              <a16:creationId xmlns:a16="http://schemas.microsoft.com/office/drawing/2014/main" xmlns="" id="{B10E4380-5F1A-4340-A6E6-FE0B54193C89}"/>
            </a:ext>
          </a:extLst>
        </xdr:cNvPr>
        <xdr:cNvSpPr txBox="1"/>
      </xdr:nvSpPr>
      <xdr:spPr>
        <a:xfrm>
          <a:off x="1219200" y="6629400"/>
          <a:ext cx="3952875"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NOTE: </a:t>
          </a:r>
          <a:r>
            <a:rPr lang="en-US" sz="1100" b="1" u="sng">
              <a:solidFill>
                <a:srgbClr val="FF0000"/>
              </a:solidFill>
            </a:rPr>
            <a:t>bus 306 was totaled in a accident on 8.23.17  Claim number </a:t>
          </a:r>
          <a:r>
            <a:rPr lang="en-US" sz="1100" b="1" i="0" u="sng" strike="noStrike">
              <a:solidFill>
                <a:srgbClr val="FF0000"/>
              </a:solidFill>
              <a:effectLst/>
              <a:latin typeface="+mn-lt"/>
              <a:ea typeface="+mn-ea"/>
              <a:cs typeface="+mn-cs"/>
            </a:rPr>
            <a:t>3770629900 AIG working with insurance company to replace was notified</a:t>
          </a:r>
          <a:r>
            <a:rPr lang="en-US" sz="1100" b="1" i="0" u="sng" strike="noStrike" baseline="0">
              <a:solidFill>
                <a:srgbClr val="FF0000"/>
              </a:solidFill>
              <a:effectLst/>
              <a:latin typeface="+mn-lt"/>
              <a:ea typeface="+mn-ea"/>
              <a:cs typeface="+mn-cs"/>
            </a:rPr>
            <a:t> on 10.3.17 by Jo Jackson AIG</a:t>
          </a:r>
          <a:endParaRPr lang="en-US" sz="1100" b="1" u="sng">
            <a:solidFill>
              <a:srgbClr val="FF0000"/>
            </a:solidFill>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64ED196-2309-4FF1-BDC4-00D135F636EF}"/>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23</xdr:row>
      <xdr:rowOff>28575</xdr:rowOff>
    </xdr:from>
    <xdr:to>
      <xdr:col>7</xdr:col>
      <xdr:colOff>0</xdr:colOff>
      <xdr:row>23</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315A2A8-F5C2-406C-B148-C7AA5549D633}"/>
            </a:ext>
          </a:extLst>
        </xdr:cNvPr>
        <xdr:cNvSpPr/>
      </xdr:nvSpPr>
      <xdr:spPr>
        <a:xfrm>
          <a:off x="79438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39</xdr:row>
      <xdr:rowOff>28575</xdr:rowOff>
    </xdr:from>
    <xdr:to>
      <xdr:col>7</xdr:col>
      <xdr:colOff>0</xdr:colOff>
      <xdr:row>39</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BA26A1D1-E2BA-446E-BF21-36A3AA4BE3A9}"/>
            </a:ext>
          </a:extLst>
        </xdr:cNvPr>
        <xdr:cNvSpPr/>
      </xdr:nvSpPr>
      <xdr:spPr>
        <a:xfrm>
          <a:off x="79248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5B560518-378E-4446-9CA5-695F1B119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369B2F8F-A32F-4214-AE74-CD4768F91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722B014E-F852-43BA-A063-13A1E64B2F16}"/>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09A3E818-A75B-4A66-A6AD-686003DF2C29}"/>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4BBE20FE-A378-467C-AC43-46BF0FF9CEA5}"/>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09210F08-3985-4B98-AA13-264E59F54D81}"/>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C7FE89A2-1565-4E33-946C-AF33A3A83F4A}"/>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93112462-7824-4BCC-A139-27FA56958704}"/>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F0D5A65B-C658-4B58-B536-50B73A954D32}"/>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7145232C-B117-4D39-B708-F16C1A7B6486}"/>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B5B4EE67-0A10-4783-AC6D-AFCF9A224B67}"/>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FD7B3F16-3F5C-435F-A17A-FDF4FE2A4C18}"/>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BEB7B19D-56EE-4CD7-B717-B926B71B8F9B}"/>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DD768174-9E68-4032-BB54-0D7A1F86286C}"/>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65CBA32E-E182-4584-8126-A0952C0247B7}"/>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twoCellAnchor editAs="oneCell">
    <xdr:from>
      <xdr:col>10</xdr:col>
      <xdr:colOff>409575</xdr:colOff>
      <xdr:row>0</xdr:row>
      <xdr:rowOff>0</xdr:rowOff>
    </xdr:from>
    <xdr:to>
      <xdr:col>12</xdr:col>
      <xdr:colOff>28575</xdr:colOff>
      <xdr:row>3</xdr:row>
      <xdr:rowOff>95250</xdr:rowOff>
    </xdr:to>
    <xdr:pic>
      <xdr:nvPicPr>
        <xdr:cNvPr id="17" name="Graphic 16" descr="Bus">
          <a:extLst>
            <a:ext uri="{FF2B5EF4-FFF2-40B4-BE49-F238E27FC236}">
              <a16:creationId xmlns:a16="http://schemas.microsoft.com/office/drawing/2014/main" xmlns="" id="{0FFC69E9-83AD-4A09-A9F6-E153C51E874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xmlns="" r:embed="rId16"/>
            </a:ext>
          </a:extLst>
        </a:blip>
        <a:stretch>
          <a:fillRect/>
        </a:stretch>
      </xdr:blipFill>
      <xdr:spPr>
        <a:xfrm>
          <a:off x="6877050" y="0"/>
          <a:ext cx="914400" cy="9144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66060470-ED27-4E43-8550-F1C9CFD8D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596F962D-98BA-47ED-8E2F-8DACCDDB3CF8}"/>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967DEA00-2E25-481B-A8E5-71122361AE6D}"/>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46CF4FC6-C60D-4FF1-9F04-B5891E7E744D}"/>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5533DF0A-A0E7-49C9-80A3-83F2EB79290F}"/>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47584AD9-544B-491D-B116-5392E0BC8D49}"/>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BA3ED156-CDCD-4EC6-8E35-7AA5268A7E90}"/>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49E58632-8FDB-470E-8688-9C1444D69B4F}"/>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0D136B14-420B-48B7-964A-05296AFC8852}"/>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6829BC63-9FA5-49F1-BA99-680702810865}"/>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A7A0CD37-E5FF-4899-B1A0-21B48D01E574}"/>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C7E4A830-C487-49E5-947B-E251467B641E}"/>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5371639A-B474-468D-B7D4-6F65C8BFB019}"/>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62AA608E-6772-489D-8629-6E2F71DA99CA}"/>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1294105E-F2BD-4164-86B1-81CA85FE8906}"/>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19</xdr:row>
      <xdr:rowOff>28575</xdr:rowOff>
    </xdr:from>
    <xdr:to>
      <xdr:col>7</xdr:col>
      <xdr:colOff>0</xdr:colOff>
      <xdr:row>19</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980C2FC9-1A80-4A62-A2B5-37BE90646888}"/>
            </a:ext>
          </a:extLst>
        </xdr:cNvPr>
        <xdr:cNvSpPr/>
      </xdr:nvSpPr>
      <xdr:spPr>
        <a:xfrm>
          <a:off x="80391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43</xdr:row>
      <xdr:rowOff>28575</xdr:rowOff>
    </xdr:from>
    <xdr:to>
      <xdr:col>7</xdr:col>
      <xdr:colOff>0</xdr:colOff>
      <xdr:row>43</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3C6B8C2-7D49-48A5-A292-56CF2FB2AB48}"/>
            </a:ext>
          </a:extLst>
        </xdr:cNvPr>
        <xdr:cNvSpPr/>
      </xdr:nvSpPr>
      <xdr:spPr>
        <a:xfrm>
          <a:off x="79343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68</xdr:row>
      <xdr:rowOff>28575</xdr:rowOff>
    </xdr:from>
    <xdr:to>
      <xdr:col>7</xdr:col>
      <xdr:colOff>0</xdr:colOff>
      <xdr:row>68</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A7805953-A109-49D8-8876-6C057355C6CD}"/>
            </a:ext>
          </a:extLst>
        </xdr:cNvPr>
        <xdr:cNvSpPr/>
      </xdr:nvSpPr>
      <xdr:spPr>
        <a:xfrm>
          <a:off x="79248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84</xdr:row>
      <xdr:rowOff>28575</xdr:rowOff>
    </xdr:from>
    <xdr:to>
      <xdr:col>7</xdr:col>
      <xdr:colOff>0</xdr:colOff>
      <xdr:row>84</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9B5C6006-DD21-43A1-8812-3E537A3C4B4E}"/>
            </a:ext>
          </a:extLst>
        </xdr:cNvPr>
        <xdr:cNvSpPr/>
      </xdr:nvSpPr>
      <xdr:spPr>
        <a:xfrm>
          <a:off x="79533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99</xdr:row>
      <xdr:rowOff>28575</xdr:rowOff>
    </xdr:from>
    <xdr:to>
      <xdr:col>7</xdr:col>
      <xdr:colOff>0</xdr:colOff>
      <xdr:row>99</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8D05EFD-52C1-4B26-8839-CAEBEE91981C}"/>
            </a:ext>
          </a:extLst>
        </xdr:cNvPr>
        <xdr:cNvSpPr/>
      </xdr:nvSpPr>
      <xdr:spPr>
        <a:xfrm>
          <a:off x="78771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110</xdr:row>
      <xdr:rowOff>28575</xdr:rowOff>
    </xdr:from>
    <xdr:to>
      <xdr:col>7</xdr:col>
      <xdr:colOff>0</xdr:colOff>
      <xdr:row>110</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D9FA771-164B-45E8-8BFA-44562777CE13}"/>
            </a:ext>
          </a:extLst>
        </xdr:cNvPr>
        <xdr:cNvSpPr/>
      </xdr:nvSpPr>
      <xdr:spPr>
        <a:xfrm>
          <a:off x="80200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1514475</xdr:colOff>
      <xdr:row>123</xdr:row>
      <xdr:rowOff>66675</xdr:rowOff>
    </xdr:from>
    <xdr:to>
      <xdr:col>7</xdr:col>
      <xdr:colOff>28575</xdr:colOff>
      <xdr:row>123</xdr:row>
      <xdr:rowOff>342900</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6ACC7B6-7619-40D5-8473-FDD671C10163}"/>
            </a:ext>
          </a:extLst>
        </xdr:cNvPr>
        <xdr:cNvSpPr/>
      </xdr:nvSpPr>
      <xdr:spPr>
        <a:xfrm>
          <a:off x="8086725" y="2762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136</xdr:row>
      <xdr:rowOff>28575</xdr:rowOff>
    </xdr:from>
    <xdr:to>
      <xdr:col>7</xdr:col>
      <xdr:colOff>0</xdr:colOff>
      <xdr:row>136</xdr:row>
      <xdr:rowOff>304800</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A245885-2465-4AD2-8D7B-A7A91ADDC760}"/>
            </a:ext>
          </a:extLst>
        </xdr:cNvPr>
        <xdr:cNvSpPr/>
      </xdr:nvSpPr>
      <xdr:spPr>
        <a:xfrm>
          <a:off x="77057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155</xdr:row>
      <xdr:rowOff>28575</xdr:rowOff>
    </xdr:from>
    <xdr:to>
      <xdr:col>7</xdr:col>
      <xdr:colOff>0</xdr:colOff>
      <xdr:row>155</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B5A64323-8CDF-48AA-AA12-5A26A0BB2C05}"/>
            </a:ext>
          </a:extLst>
        </xdr:cNvPr>
        <xdr:cNvSpPr/>
      </xdr:nvSpPr>
      <xdr:spPr>
        <a:xfrm>
          <a:off x="78486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172</xdr:row>
      <xdr:rowOff>28575</xdr:rowOff>
    </xdr:from>
    <xdr:to>
      <xdr:col>7</xdr:col>
      <xdr:colOff>0</xdr:colOff>
      <xdr:row>172</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C521BA5-E813-40DB-AD7E-B78894D23BAC}"/>
            </a:ext>
          </a:extLst>
        </xdr:cNvPr>
        <xdr:cNvSpPr/>
      </xdr:nvSpPr>
      <xdr:spPr>
        <a:xfrm>
          <a:off x="79914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184</xdr:row>
      <xdr:rowOff>28575</xdr:rowOff>
    </xdr:from>
    <xdr:to>
      <xdr:col>7</xdr:col>
      <xdr:colOff>0</xdr:colOff>
      <xdr:row>184</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4315C315-F8A3-4D96-88BF-DBDB0ADB5382}"/>
            </a:ext>
          </a:extLst>
        </xdr:cNvPr>
        <xdr:cNvSpPr/>
      </xdr:nvSpPr>
      <xdr:spPr>
        <a:xfrm>
          <a:off x="79819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15</xdr:col>
      <xdr:colOff>25400</xdr:colOff>
      <xdr:row>33</xdr:row>
      <xdr:rowOff>139700</xdr:rowOff>
    </xdr:to>
    <xdr:graphicFrame macro="">
      <xdr:nvGraphicFramePr>
        <xdr:cNvPr id="2" name="Chart 1">
          <a:extLst>
            <a:ext uri="{FF2B5EF4-FFF2-40B4-BE49-F238E27FC236}">
              <a16:creationId xmlns:a16="http://schemas.microsoft.com/office/drawing/2014/main" xmlns="" id="{9E29BA5F-81F6-4E7B-B26B-152DE154D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6F476E78-0982-46FB-9386-5B908DAC57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8B6E0CB3-0B22-41DB-9A99-47907726D873}"/>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21A352A6-28FE-4B68-86D2-1C7832F3E284}"/>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34171ACD-98D0-49C3-AE2A-AD8517140662}"/>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A435CED8-B0DF-4BD1-956B-073BB4429039}"/>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DB1391E7-5E05-487B-9086-7409CC93FAE5}"/>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C52C72C5-F72D-420A-BEE1-631DDB4384E2}"/>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2B23BB1B-5611-427E-9935-15B4AC1E1665}"/>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DB86279F-9648-46AE-9FBE-98358BAABF80}"/>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540F585D-E088-4E91-AF50-C8D3BAF0B0DF}"/>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7942686F-50B0-4688-940A-C19D8640B403}"/>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22C99863-EE3B-48CF-BDCD-A41DF66C3ED6}"/>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8BFAD95A-F8D1-490C-903E-51004AB24396}"/>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6F769E74-7622-4E94-9CC3-E318700CB5E9}"/>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CD4067E5-7661-4862-B3E4-15A9043B75FB}"/>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12</xdr:row>
      <xdr:rowOff>28575</xdr:rowOff>
    </xdr:from>
    <xdr:to>
      <xdr:col>7</xdr:col>
      <xdr:colOff>0</xdr:colOff>
      <xdr:row>12</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12946477-E342-49AC-A624-55130836B65E}"/>
            </a:ext>
          </a:extLst>
        </xdr:cNvPr>
        <xdr:cNvSpPr/>
      </xdr:nvSpPr>
      <xdr:spPr>
        <a:xfrm>
          <a:off x="80105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29</xdr:row>
      <xdr:rowOff>28575</xdr:rowOff>
    </xdr:from>
    <xdr:to>
      <xdr:col>7</xdr:col>
      <xdr:colOff>0</xdr:colOff>
      <xdr:row>29</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02BF014-AE84-4FAF-BDD2-638B5C000706}"/>
            </a:ext>
          </a:extLst>
        </xdr:cNvPr>
        <xdr:cNvSpPr/>
      </xdr:nvSpPr>
      <xdr:spPr>
        <a:xfrm>
          <a:off x="79438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43</xdr:row>
      <xdr:rowOff>28575</xdr:rowOff>
    </xdr:from>
    <xdr:to>
      <xdr:col>7</xdr:col>
      <xdr:colOff>0</xdr:colOff>
      <xdr:row>43</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38B2145C-BB5F-40C7-B3C6-3631113E9A42}"/>
            </a:ext>
          </a:extLst>
        </xdr:cNvPr>
        <xdr:cNvSpPr/>
      </xdr:nvSpPr>
      <xdr:spPr>
        <a:xfrm>
          <a:off x="80772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59</xdr:row>
      <xdr:rowOff>28575</xdr:rowOff>
    </xdr:from>
    <xdr:to>
      <xdr:col>7</xdr:col>
      <xdr:colOff>0</xdr:colOff>
      <xdr:row>59</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2680117-B505-4600-BB31-639D127183C7}"/>
            </a:ext>
          </a:extLst>
        </xdr:cNvPr>
        <xdr:cNvSpPr/>
      </xdr:nvSpPr>
      <xdr:spPr>
        <a:xfrm>
          <a:off x="78581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74</xdr:row>
      <xdr:rowOff>28575</xdr:rowOff>
    </xdr:from>
    <xdr:to>
      <xdr:col>7</xdr:col>
      <xdr:colOff>0</xdr:colOff>
      <xdr:row>74</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615FC0C9-FDAD-4F33-9988-D8B831B7F18D}"/>
            </a:ext>
          </a:extLst>
        </xdr:cNvPr>
        <xdr:cNvSpPr/>
      </xdr:nvSpPr>
      <xdr:spPr>
        <a:xfrm>
          <a:off x="79819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85</xdr:row>
      <xdr:rowOff>28575</xdr:rowOff>
    </xdr:from>
    <xdr:to>
      <xdr:col>7</xdr:col>
      <xdr:colOff>0</xdr:colOff>
      <xdr:row>85</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64895684-A411-4756-B4D1-075985F06ED0}"/>
            </a:ext>
          </a:extLst>
        </xdr:cNvPr>
        <xdr:cNvSpPr/>
      </xdr:nvSpPr>
      <xdr:spPr>
        <a:xfrm>
          <a:off x="78676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1601856</xdr:colOff>
      <xdr:row>98</xdr:row>
      <xdr:rowOff>36858</xdr:rowOff>
    </xdr:from>
    <xdr:to>
      <xdr:col>7</xdr:col>
      <xdr:colOff>24848</xdr:colOff>
      <xdr:row>98</xdr:row>
      <xdr:rowOff>313083</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36CC7A7-C637-46CA-85CD-60B84F61D8CA}"/>
            </a:ext>
          </a:extLst>
        </xdr:cNvPr>
        <xdr:cNvSpPr/>
      </xdr:nvSpPr>
      <xdr:spPr>
        <a:xfrm>
          <a:off x="8087139" y="21463967"/>
          <a:ext cx="1280492"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114</xdr:row>
      <xdr:rowOff>28575</xdr:rowOff>
    </xdr:from>
    <xdr:to>
      <xdr:col>7</xdr:col>
      <xdr:colOff>0</xdr:colOff>
      <xdr:row>114</xdr:row>
      <xdr:rowOff>304800</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0A7FBD31-9CA6-4E34-AB11-7FA87AB330AB}"/>
            </a:ext>
          </a:extLst>
        </xdr:cNvPr>
        <xdr:cNvSpPr/>
      </xdr:nvSpPr>
      <xdr:spPr>
        <a:xfrm>
          <a:off x="77247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132</xdr:row>
      <xdr:rowOff>28575</xdr:rowOff>
    </xdr:from>
    <xdr:to>
      <xdr:col>7</xdr:col>
      <xdr:colOff>0</xdr:colOff>
      <xdr:row>132</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49BEDED-74E5-471B-BE1E-FF2653A85809}"/>
            </a:ext>
          </a:extLst>
        </xdr:cNvPr>
        <xdr:cNvSpPr/>
      </xdr:nvSpPr>
      <xdr:spPr>
        <a:xfrm>
          <a:off x="78676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148</xdr:row>
      <xdr:rowOff>28575</xdr:rowOff>
    </xdr:from>
    <xdr:to>
      <xdr:col>7</xdr:col>
      <xdr:colOff>0</xdr:colOff>
      <xdr:row>148</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C7A4823-E0AF-4B54-BCBA-898DAC130550}"/>
            </a:ext>
          </a:extLst>
        </xdr:cNvPr>
        <xdr:cNvSpPr/>
      </xdr:nvSpPr>
      <xdr:spPr>
        <a:xfrm>
          <a:off x="80105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165</xdr:row>
      <xdr:rowOff>28575</xdr:rowOff>
    </xdr:from>
    <xdr:to>
      <xdr:col>7</xdr:col>
      <xdr:colOff>0</xdr:colOff>
      <xdr:row>165</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92C8E90C-4974-4F07-9BA8-94548F9F0E1B}"/>
            </a:ext>
          </a:extLst>
        </xdr:cNvPr>
        <xdr:cNvSpPr/>
      </xdr:nvSpPr>
      <xdr:spPr>
        <a:xfrm>
          <a:off x="80010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A0D0E9C3-3B90-4163-96CE-49F5E6C1B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339C75D5-0B21-47AE-8959-91C5BE08D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C015FFB5-140E-4084-BFAC-64A6EF510C03}"/>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E0C56745-EA5E-4A88-9CC4-E8CA42DF3D48}"/>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8757BA28-C447-45E9-87D6-BD06ABBB387D}"/>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B0F55F63-EDD9-419A-A002-8F8EC740B394}"/>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46F0A29C-9F58-4D76-A388-739DE9A135A8}"/>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311E0FE6-783A-4F5A-94D7-40C496CCB0CD}"/>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C7CB8C34-34AA-4924-B90E-06C3DC9566EA}"/>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526F4BEE-3CC9-4F19-86E4-8394499159F2}"/>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C51DB66A-9318-4465-9DF9-C8567BE35974}"/>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9C81834E-4716-4E83-A947-281B1E78858C}"/>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CE583385-8DA7-4C4A-ACC0-FE0A3608F6D7}"/>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A1D0F181-C7BC-4C65-B17E-961FB7EDA24F}"/>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513483B7-370B-41D1-8DB6-39345EC012EB}"/>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BDD34728-EA09-4A6A-A07E-51149FEDE319}"/>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13</xdr:row>
      <xdr:rowOff>28575</xdr:rowOff>
    </xdr:from>
    <xdr:to>
      <xdr:col>7</xdr:col>
      <xdr:colOff>0</xdr:colOff>
      <xdr:row>13</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4A056DD6-20C9-469F-8657-289507E91016}"/>
            </a:ext>
          </a:extLst>
        </xdr:cNvPr>
        <xdr:cNvSpPr/>
      </xdr:nvSpPr>
      <xdr:spPr>
        <a:xfrm>
          <a:off x="79343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29</xdr:row>
      <xdr:rowOff>28575</xdr:rowOff>
    </xdr:from>
    <xdr:to>
      <xdr:col>7</xdr:col>
      <xdr:colOff>0</xdr:colOff>
      <xdr:row>29</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BBA6CA6D-162B-4100-B9EC-A4878BE686BB}"/>
            </a:ext>
          </a:extLst>
        </xdr:cNvPr>
        <xdr:cNvSpPr/>
      </xdr:nvSpPr>
      <xdr:spPr>
        <a:xfrm>
          <a:off x="80105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44</xdr:row>
      <xdr:rowOff>28575</xdr:rowOff>
    </xdr:from>
    <xdr:to>
      <xdr:col>7</xdr:col>
      <xdr:colOff>0</xdr:colOff>
      <xdr:row>44</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A933ED0-D07B-475B-B141-70BE01BECA73}"/>
            </a:ext>
          </a:extLst>
        </xdr:cNvPr>
        <xdr:cNvSpPr/>
      </xdr:nvSpPr>
      <xdr:spPr>
        <a:xfrm>
          <a:off x="77343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60</xdr:row>
      <xdr:rowOff>28575</xdr:rowOff>
    </xdr:from>
    <xdr:to>
      <xdr:col>7</xdr:col>
      <xdr:colOff>0</xdr:colOff>
      <xdr:row>60</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153C995-8253-4AE0-9942-85494D70802B}"/>
            </a:ext>
          </a:extLst>
        </xdr:cNvPr>
        <xdr:cNvSpPr/>
      </xdr:nvSpPr>
      <xdr:spPr>
        <a:xfrm>
          <a:off x="7962900" y="1310640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75</xdr:row>
      <xdr:rowOff>28575</xdr:rowOff>
    </xdr:from>
    <xdr:to>
      <xdr:col>7</xdr:col>
      <xdr:colOff>0</xdr:colOff>
      <xdr:row>75</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BD1FA68B-C726-46B6-874D-901FCDF8BABC}"/>
            </a:ext>
          </a:extLst>
        </xdr:cNvPr>
        <xdr:cNvSpPr/>
      </xdr:nvSpPr>
      <xdr:spPr>
        <a:xfrm>
          <a:off x="7962900" y="163925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86</xdr:row>
      <xdr:rowOff>28575</xdr:rowOff>
    </xdr:from>
    <xdr:to>
      <xdr:col>7</xdr:col>
      <xdr:colOff>0</xdr:colOff>
      <xdr:row>86</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A151623-48AC-47F8-885C-EBA09CD4AE79}"/>
            </a:ext>
          </a:extLst>
        </xdr:cNvPr>
        <xdr:cNvSpPr/>
      </xdr:nvSpPr>
      <xdr:spPr>
        <a:xfrm>
          <a:off x="7962900" y="188309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1601856</xdr:colOff>
      <xdr:row>99</xdr:row>
      <xdr:rowOff>36858</xdr:rowOff>
    </xdr:from>
    <xdr:to>
      <xdr:col>7</xdr:col>
      <xdr:colOff>24848</xdr:colOff>
      <xdr:row>99</xdr:row>
      <xdr:rowOff>313083</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826F829-DE78-4314-B80D-AD040459EA51}"/>
            </a:ext>
          </a:extLst>
        </xdr:cNvPr>
        <xdr:cNvSpPr/>
      </xdr:nvSpPr>
      <xdr:spPr>
        <a:xfrm>
          <a:off x="8078856" y="21687183"/>
          <a:ext cx="1280492"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115</xdr:row>
      <xdr:rowOff>28575</xdr:rowOff>
    </xdr:from>
    <xdr:to>
      <xdr:col>7</xdr:col>
      <xdr:colOff>0</xdr:colOff>
      <xdr:row>115</xdr:row>
      <xdr:rowOff>304800</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B365FDB-C82F-4F9C-907A-E4D06D068F65}"/>
            </a:ext>
          </a:extLst>
        </xdr:cNvPr>
        <xdr:cNvSpPr/>
      </xdr:nvSpPr>
      <xdr:spPr>
        <a:xfrm>
          <a:off x="7962900" y="2514600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133</xdr:row>
      <xdr:rowOff>28575</xdr:rowOff>
    </xdr:from>
    <xdr:to>
      <xdr:col>7</xdr:col>
      <xdr:colOff>0</xdr:colOff>
      <xdr:row>133</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C2363E8C-9608-4F36-90C0-A01E5AFB6763}"/>
            </a:ext>
          </a:extLst>
        </xdr:cNvPr>
        <xdr:cNvSpPr/>
      </xdr:nvSpPr>
      <xdr:spPr>
        <a:xfrm>
          <a:off x="7962900" y="290607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149</xdr:row>
      <xdr:rowOff>28575</xdr:rowOff>
    </xdr:from>
    <xdr:to>
      <xdr:col>7</xdr:col>
      <xdr:colOff>0</xdr:colOff>
      <xdr:row>149</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3404D61F-A718-466D-B180-22008E553735}"/>
            </a:ext>
          </a:extLst>
        </xdr:cNvPr>
        <xdr:cNvSpPr/>
      </xdr:nvSpPr>
      <xdr:spPr>
        <a:xfrm>
          <a:off x="7962900" y="3255645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166</xdr:row>
      <xdr:rowOff>28575</xdr:rowOff>
    </xdr:from>
    <xdr:to>
      <xdr:col>7</xdr:col>
      <xdr:colOff>0</xdr:colOff>
      <xdr:row>166</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06FCA05C-0155-42D8-BAFC-2C817E7A93CC}"/>
            </a:ext>
          </a:extLst>
        </xdr:cNvPr>
        <xdr:cNvSpPr/>
      </xdr:nvSpPr>
      <xdr:spPr>
        <a:xfrm>
          <a:off x="7962900" y="362426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81AA8A0B-DD74-44EB-85BD-2975968E7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D197F056-7B0A-47DC-8272-B594BAF9BC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DADF2239-95C5-4CBC-9849-FCF49DE12FA7}"/>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F5B3B93B-CCD6-463C-A74C-7420F9C4A128}"/>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D17AC16B-4EF2-4F84-812D-9D03561F2044}"/>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36679106-053D-43FA-9229-A4B1D34F2223}"/>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D541793D-07EA-49B5-B728-6BC8BC74D1B5}"/>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5F51FFDE-969D-4612-A119-086C25957C1A}"/>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4C978EEC-CF00-45DA-B57B-CCC695EE99CE}"/>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0E9484BC-A4C4-4AC1-B756-8E24FE673C66}"/>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2D969031-17B2-4792-8CAA-1B099EAD7DFE}"/>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2B71C28C-2407-45CD-8065-3015EA056292}"/>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97981CD0-DF2B-406B-A606-C90E8F67A295}"/>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09029F69-18F6-4472-8B8D-BC568FBC5138}"/>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604AB60D-3DDF-4E87-984B-7D9D27DBEC98}"/>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E7AA144-8D1F-4824-8E5E-5F71BDC08511}"/>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18</xdr:row>
      <xdr:rowOff>28575</xdr:rowOff>
    </xdr:from>
    <xdr:to>
      <xdr:col>7</xdr:col>
      <xdr:colOff>0</xdr:colOff>
      <xdr:row>18</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C7A0A3FE-2B9C-4D27-9066-A1ADCE9677D0}"/>
            </a:ext>
          </a:extLst>
        </xdr:cNvPr>
        <xdr:cNvSpPr/>
      </xdr:nvSpPr>
      <xdr:spPr>
        <a:xfrm>
          <a:off x="78771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40</xdr:row>
      <xdr:rowOff>28575</xdr:rowOff>
    </xdr:from>
    <xdr:to>
      <xdr:col>7</xdr:col>
      <xdr:colOff>0</xdr:colOff>
      <xdr:row>40</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763BD4F-7B5D-48AE-B402-6AA77530AAF7}"/>
            </a:ext>
          </a:extLst>
        </xdr:cNvPr>
        <xdr:cNvSpPr/>
      </xdr:nvSpPr>
      <xdr:spPr>
        <a:xfrm>
          <a:off x="7877175" y="50577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55</xdr:row>
      <xdr:rowOff>28575</xdr:rowOff>
    </xdr:from>
    <xdr:to>
      <xdr:col>7</xdr:col>
      <xdr:colOff>0</xdr:colOff>
      <xdr:row>55</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8CC3A45-0227-4F90-8DDD-9FA3536F070D}"/>
            </a:ext>
          </a:extLst>
        </xdr:cNvPr>
        <xdr:cNvSpPr/>
      </xdr:nvSpPr>
      <xdr:spPr>
        <a:xfrm>
          <a:off x="77819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74</xdr:row>
      <xdr:rowOff>28575</xdr:rowOff>
    </xdr:from>
    <xdr:to>
      <xdr:col>7</xdr:col>
      <xdr:colOff>0</xdr:colOff>
      <xdr:row>74</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1423CC37-D22C-46DD-9CA8-D2FC9897786F}"/>
            </a:ext>
          </a:extLst>
        </xdr:cNvPr>
        <xdr:cNvSpPr/>
      </xdr:nvSpPr>
      <xdr:spPr>
        <a:xfrm>
          <a:off x="77438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93</xdr:row>
      <xdr:rowOff>28575</xdr:rowOff>
    </xdr:from>
    <xdr:to>
      <xdr:col>7</xdr:col>
      <xdr:colOff>0</xdr:colOff>
      <xdr:row>93</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ACD0184-D85A-4DA2-BE31-92D5AE7B41B9}"/>
            </a:ext>
          </a:extLst>
        </xdr:cNvPr>
        <xdr:cNvSpPr/>
      </xdr:nvSpPr>
      <xdr:spPr>
        <a:xfrm>
          <a:off x="78676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116</xdr:row>
      <xdr:rowOff>28575</xdr:rowOff>
    </xdr:from>
    <xdr:to>
      <xdr:col>7</xdr:col>
      <xdr:colOff>0</xdr:colOff>
      <xdr:row>116</xdr:row>
      <xdr:rowOff>304800</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0A0A9E3-77E0-4068-9545-1C86CBA51308}"/>
            </a:ext>
          </a:extLst>
        </xdr:cNvPr>
        <xdr:cNvSpPr/>
      </xdr:nvSpPr>
      <xdr:spPr>
        <a:xfrm>
          <a:off x="77819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1485900</xdr:colOff>
      <xdr:row>141</xdr:row>
      <xdr:rowOff>28575</xdr:rowOff>
    </xdr:from>
    <xdr:to>
      <xdr:col>7</xdr:col>
      <xdr:colOff>0</xdr:colOff>
      <xdr:row>141</xdr:row>
      <xdr:rowOff>304800</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C9892CF-1711-455A-9807-E03A51E9FC40}"/>
            </a:ext>
          </a:extLst>
        </xdr:cNvPr>
        <xdr:cNvSpPr/>
      </xdr:nvSpPr>
      <xdr:spPr>
        <a:xfrm>
          <a:off x="78486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157</xdr:row>
      <xdr:rowOff>28575</xdr:rowOff>
    </xdr:from>
    <xdr:to>
      <xdr:col>7</xdr:col>
      <xdr:colOff>0</xdr:colOff>
      <xdr:row>157</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10367E5D-1B74-478F-ADA4-77682CB49EF4}"/>
            </a:ext>
          </a:extLst>
        </xdr:cNvPr>
        <xdr:cNvSpPr/>
      </xdr:nvSpPr>
      <xdr:spPr>
        <a:xfrm>
          <a:off x="78200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177</xdr:row>
      <xdr:rowOff>28575</xdr:rowOff>
    </xdr:from>
    <xdr:to>
      <xdr:col>7</xdr:col>
      <xdr:colOff>0</xdr:colOff>
      <xdr:row>177</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327121AA-C229-4C8E-901F-EFDA1E3D2658}"/>
            </a:ext>
          </a:extLst>
        </xdr:cNvPr>
        <xdr:cNvSpPr/>
      </xdr:nvSpPr>
      <xdr:spPr>
        <a:xfrm>
          <a:off x="77343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1610139</xdr:colOff>
      <xdr:row>192</xdr:row>
      <xdr:rowOff>69988</xdr:rowOff>
    </xdr:from>
    <xdr:to>
      <xdr:col>6</xdr:col>
      <xdr:colOff>2840935</xdr:colOff>
      <xdr:row>192</xdr:row>
      <xdr:rowOff>346213</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2CA0C43-4053-4FE2-8D38-E3638E013831}"/>
            </a:ext>
          </a:extLst>
        </xdr:cNvPr>
        <xdr:cNvSpPr/>
      </xdr:nvSpPr>
      <xdr:spPr>
        <a:xfrm>
          <a:off x="8045726" y="41375358"/>
          <a:ext cx="1230796"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211</xdr:row>
      <xdr:rowOff>28575</xdr:rowOff>
    </xdr:from>
    <xdr:to>
      <xdr:col>7</xdr:col>
      <xdr:colOff>0</xdr:colOff>
      <xdr:row>211</xdr:row>
      <xdr:rowOff>304800</xdr:rowOff>
    </xdr:to>
    <xdr:sp macro="" textlink="">
      <xdr:nvSpPr>
        <xdr:cNvPr id="1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6D7195E-FDDE-4A2C-9D02-F447CC90A85C}"/>
            </a:ext>
          </a:extLst>
        </xdr:cNvPr>
        <xdr:cNvSpPr/>
      </xdr:nvSpPr>
      <xdr:spPr>
        <a:xfrm>
          <a:off x="80200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3E2D425C-11C1-42DB-880A-FE76A57456DF}"/>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16</xdr:row>
      <xdr:rowOff>28575</xdr:rowOff>
    </xdr:from>
    <xdr:to>
      <xdr:col>7</xdr:col>
      <xdr:colOff>0</xdr:colOff>
      <xdr:row>16</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C9B0B25B-5C46-4674-870D-0FCBFE2F476E}"/>
            </a:ext>
          </a:extLst>
        </xdr:cNvPr>
        <xdr:cNvSpPr/>
      </xdr:nvSpPr>
      <xdr:spPr>
        <a:xfrm>
          <a:off x="78962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34</xdr:row>
      <xdr:rowOff>28575</xdr:rowOff>
    </xdr:from>
    <xdr:to>
      <xdr:col>7</xdr:col>
      <xdr:colOff>0</xdr:colOff>
      <xdr:row>34</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912DEC0C-FABE-4DC5-87FE-EA46D73C09AE}"/>
            </a:ext>
          </a:extLst>
        </xdr:cNvPr>
        <xdr:cNvSpPr/>
      </xdr:nvSpPr>
      <xdr:spPr>
        <a:xfrm>
          <a:off x="78771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56</xdr:row>
      <xdr:rowOff>28575</xdr:rowOff>
    </xdr:from>
    <xdr:to>
      <xdr:col>7</xdr:col>
      <xdr:colOff>0</xdr:colOff>
      <xdr:row>56</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9AD7AB4C-EF91-41DA-AE07-95A042963594}"/>
            </a:ext>
          </a:extLst>
        </xdr:cNvPr>
        <xdr:cNvSpPr/>
      </xdr:nvSpPr>
      <xdr:spPr>
        <a:xfrm>
          <a:off x="8029575" y="98012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72</xdr:row>
      <xdr:rowOff>28575</xdr:rowOff>
    </xdr:from>
    <xdr:to>
      <xdr:col>7</xdr:col>
      <xdr:colOff>0</xdr:colOff>
      <xdr:row>72</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44F56DEB-9D9D-4C59-96E5-CE87C9CFFDE6}"/>
            </a:ext>
          </a:extLst>
        </xdr:cNvPr>
        <xdr:cNvSpPr/>
      </xdr:nvSpPr>
      <xdr:spPr>
        <a:xfrm>
          <a:off x="8029575" y="133064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87</xdr:row>
      <xdr:rowOff>28575</xdr:rowOff>
    </xdr:from>
    <xdr:to>
      <xdr:col>7</xdr:col>
      <xdr:colOff>0</xdr:colOff>
      <xdr:row>87</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BA331837-21C3-454C-BD61-CC3794F48350}"/>
            </a:ext>
          </a:extLst>
        </xdr:cNvPr>
        <xdr:cNvSpPr/>
      </xdr:nvSpPr>
      <xdr:spPr>
        <a:xfrm>
          <a:off x="8029575" y="165639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98</xdr:row>
      <xdr:rowOff>28575</xdr:rowOff>
    </xdr:from>
    <xdr:to>
      <xdr:col>7</xdr:col>
      <xdr:colOff>0</xdr:colOff>
      <xdr:row>98</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9FE1D52E-A2CD-465D-AA6C-D95ED994A0AC}"/>
            </a:ext>
          </a:extLst>
        </xdr:cNvPr>
        <xdr:cNvSpPr/>
      </xdr:nvSpPr>
      <xdr:spPr>
        <a:xfrm>
          <a:off x="8029575" y="189642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1601856</xdr:colOff>
      <xdr:row>111</xdr:row>
      <xdr:rowOff>36858</xdr:rowOff>
    </xdr:from>
    <xdr:to>
      <xdr:col>7</xdr:col>
      <xdr:colOff>24848</xdr:colOff>
      <xdr:row>111</xdr:row>
      <xdr:rowOff>313083</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A6093AB6-5883-4DAA-851C-C3E01D504A44}"/>
            </a:ext>
          </a:extLst>
        </xdr:cNvPr>
        <xdr:cNvSpPr/>
      </xdr:nvSpPr>
      <xdr:spPr>
        <a:xfrm>
          <a:off x="8145531" y="21849108"/>
          <a:ext cx="1280492"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127</xdr:row>
      <xdr:rowOff>28575</xdr:rowOff>
    </xdr:from>
    <xdr:to>
      <xdr:col>7</xdr:col>
      <xdr:colOff>0</xdr:colOff>
      <xdr:row>127</xdr:row>
      <xdr:rowOff>304800</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454DCDCD-356A-49F7-A3A4-97670CDFE489}"/>
            </a:ext>
          </a:extLst>
        </xdr:cNvPr>
        <xdr:cNvSpPr/>
      </xdr:nvSpPr>
      <xdr:spPr>
        <a:xfrm>
          <a:off x="8029575" y="2531745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145</xdr:row>
      <xdr:rowOff>28575</xdr:rowOff>
    </xdr:from>
    <xdr:to>
      <xdr:col>7</xdr:col>
      <xdr:colOff>0</xdr:colOff>
      <xdr:row>145</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CB28B62-A4D1-433A-AD5B-1C615FD7C4A5}"/>
            </a:ext>
          </a:extLst>
        </xdr:cNvPr>
        <xdr:cNvSpPr/>
      </xdr:nvSpPr>
      <xdr:spPr>
        <a:xfrm>
          <a:off x="8029575" y="2922270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161</xdr:row>
      <xdr:rowOff>28575</xdr:rowOff>
    </xdr:from>
    <xdr:to>
      <xdr:col>7</xdr:col>
      <xdr:colOff>0</xdr:colOff>
      <xdr:row>161</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35D5862A-6B3D-4520-9CDB-6756246F4C3B}"/>
            </a:ext>
          </a:extLst>
        </xdr:cNvPr>
        <xdr:cNvSpPr/>
      </xdr:nvSpPr>
      <xdr:spPr>
        <a:xfrm>
          <a:off x="8029575" y="3270885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178</xdr:row>
      <xdr:rowOff>28575</xdr:rowOff>
    </xdr:from>
    <xdr:to>
      <xdr:col>7</xdr:col>
      <xdr:colOff>0</xdr:colOff>
      <xdr:row>178</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67C944C7-8A7F-41C2-A15B-D5A03CD29101}"/>
            </a:ext>
          </a:extLst>
        </xdr:cNvPr>
        <xdr:cNvSpPr/>
      </xdr:nvSpPr>
      <xdr:spPr>
        <a:xfrm>
          <a:off x="8029575" y="3642360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44BEEA18-9F15-42BC-8EA0-B313CBDE6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B28678DE-3352-42CB-8D88-9F2312AE9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939CDF23-AFF4-49E1-9402-D99651952A7E}"/>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4C22A460-DEE8-469B-B09B-9591428972DF}"/>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BD3C1561-39E1-4260-B69C-B1091C1116EF}"/>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B86C7378-0F86-44C8-A8F5-C3FEEE57A024}"/>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D77B546A-4106-4867-B529-8617B9763988}"/>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21076684-BD12-44C1-9483-0A0349E56860}"/>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2480C0BF-A52B-41A0-9649-FFA4C3EA6FBE}"/>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202DF319-6D25-48C5-A01E-36FAED68C50D}"/>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92E713D1-ACB6-481C-9BAA-96AEDF4033B6}"/>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5DE3AB9B-83E9-4EFC-AAEF-1B5110028107}"/>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EBEDC15D-E3BA-4EB4-BC1F-90E138525206}"/>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034F782F-1645-438C-AB1B-F830B2770087}"/>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10C2DACA-C756-44FD-8DC3-A097851AAAEB}"/>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8453EC0-D2AD-46BF-A7F3-5090E13290B3}"/>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24</xdr:row>
      <xdr:rowOff>28575</xdr:rowOff>
    </xdr:from>
    <xdr:to>
      <xdr:col>7</xdr:col>
      <xdr:colOff>0</xdr:colOff>
      <xdr:row>24</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B6886CB4-1F10-41B7-A671-F5E4614055A6}"/>
            </a:ext>
          </a:extLst>
        </xdr:cNvPr>
        <xdr:cNvSpPr/>
      </xdr:nvSpPr>
      <xdr:spPr>
        <a:xfrm>
          <a:off x="79057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41</xdr:row>
      <xdr:rowOff>28575</xdr:rowOff>
    </xdr:from>
    <xdr:to>
      <xdr:col>7</xdr:col>
      <xdr:colOff>0</xdr:colOff>
      <xdr:row>41</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9D2D524E-2F72-4FE7-B11D-E3728E244786}"/>
            </a:ext>
          </a:extLst>
        </xdr:cNvPr>
        <xdr:cNvSpPr/>
      </xdr:nvSpPr>
      <xdr:spPr>
        <a:xfrm>
          <a:off x="78486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63</xdr:row>
      <xdr:rowOff>28575</xdr:rowOff>
    </xdr:from>
    <xdr:to>
      <xdr:col>7</xdr:col>
      <xdr:colOff>0</xdr:colOff>
      <xdr:row>63</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955DD5A4-F115-4BAE-B5A0-C6C3EA3097E6}"/>
            </a:ext>
          </a:extLst>
        </xdr:cNvPr>
        <xdr:cNvSpPr/>
      </xdr:nvSpPr>
      <xdr:spPr>
        <a:xfrm>
          <a:off x="77724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80</xdr:row>
      <xdr:rowOff>28575</xdr:rowOff>
    </xdr:from>
    <xdr:to>
      <xdr:col>7</xdr:col>
      <xdr:colOff>0</xdr:colOff>
      <xdr:row>80</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0C82E50-791E-46AC-B47D-EE077168BA14}"/>
            </a:ext>
          </a:extLst>
        </xdr:cNvPr>
        <xdr:cNvSpPr/>
      </xdr:nvSpPr>
      <xdr:spPr>
        <a:xfrm>
          <a:off x="7867650" y="1579245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95</xdr:row>
      <xdr:rowOff>28575</xdr:rowOff>
    </xdr:from>
    <xdr:to>
      <xdr:col>7</xdr:col>
      <xdr:colOff>0</xdr:colOff>
      <xdr:row>95</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6837F68A-66C9-4065-8BC6-32C9010C2821}"/>
            </a:ext>
          </a:extLst>
        </xdr:cNvPr>
        <xdr:cNvSpPr/>
      </xdr:nvSpPr>
      <xdr:spPr>
        <a:xfrm>
          <a:off x="7867650" y="190595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106</xdr:row>
      <xdr:rowOff>28575</xdr:rowOff>
    </xdr:from>
    <xdr:to>
      <xdr:col>7</xdr:col>
      <xdr:colOff>0</xdr:colOff>
      <xdr:row>106</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050BFF7A-19EF-48F1-AE7E-F9DFCB9413EE}"/>
            </a:ext>
          </a:extLst>
        </xdr:cNvPr>
        <xdr:cNvSpPr/>
      </xdr:nvSpPr>
      <xdr:spPr>
        <a:xfrm>
          <a:off x="7867650" y="214598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1601856</xdr:colOff>
      <xdr:row>119</xdr:row>
      <xdr:rowOff>36858</xdr:rowOff>
    </xdr:from>
    <xdr:to>
      <xdr:col>7</xdr:col>
      <xdr:colOff>24848</xdr:colOff>
      <xdr:row>119</xdr:row>
      <xdr:rowOff>313083</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CCD179D7-20EE-453E-9123-1263ADE89D05}"/>
            </a:ext>
          </a:extLst>
        </xdr:cNvPr>
        <xdr:cNvSpPr/>
      </xdr:nvSpPr>
      <xdr:spPr>
        <a:xfrm>
          <a:off x="7983606" y="24306558"/>
          <a:ext cx="1280492" cy="2667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135</xdr:row>
      <xdr:rowOff>28575</xdr:rowOff>
    </xdr:from>
    <xdr:to>
      <xdr:col>7</xdr:col>
      <xdr:colOff>0</xdr:colOff>
      <xdr:row>135</xdr:row>
      <xdr:rowOff>304800</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9553937-9242-47C3-9A29-A1923E2ABBD0}"/>
            </a:ext>
          </a:extLst>
        </xdr:cNvPr>
        <xdr:cNvSpPr/>
      </xdr:nvSpPr>
      <xdr:spPr>
        <a:xfrm>
          <a:off x="7867650" y="277463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153</xdr:row>
      <xdr:rowOff>28575</xdr:rowOff>
    </xdr:from>
    <xdr:to>
      <xdr:col>7</xdr:col>
      <xdr:colOff>0</xdr:colOff>
      <xdr:row>153</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31DB573B-5D67-4203-B307-0349BA2D5A72}"/>
            </a:ext>
          </a:extLst>
        </xdr:cNvPr>
        <xdr:cNvSpPr/>
      </xdr:nvSpPr>
      <xdr:spPr>
        <a:xfrm>
          <a:off x="7867650" y="316134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169</xdr:row>
      <xdr:rowOff>28575</xdr:rowOff>
    </xdr:from>
    <xdr:to>
      <xdr:col>7</xdr:col>
      <xdr:colOff>0</xdr:colOff>
      <xdr:row>169</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F041285-F512-4F3E-94A0-E0DE00D0B829}"/>
            </a:ext>
          </a:extLst>
        </xdr:cNvPr>
        <xdr:cNvSpPr/>
      </xdr:nvSpPr>
      <xdr:spPr>
        <a:xfrm>
          <a:off x="7867650" y="350805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186</xdr:row>
      <xdr:rowOff>28575</xdr:rowOff>
    </xdr:from>
    <xdr:to>
      <xdr:col>7</xdr:col>
      <xdr:colOff>0</xdr:colOff>
      <xdr:row>186</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743D787E-077C-4FA1-954B-354EF92A70D0}"/>
            </a:ext>
          </a:extLst>
        </xdr:cNvPr>
        <xdr:cNvSpPr/>
      </xdr:nvSpPr>
      <xdr:spPr>
        <a:xfrm>
          <a:off x="7867650" y="3874770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5A47A21F-8F1D-45A9-88B0-AD4C622F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989D8150-F7C3-4318-9FF9-756613919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0ED9CA8E-709F-498C-8497-246518C88AA2}"/>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6D6DA860-45DA-41D9-ADAB-B51747E4CD55}"/>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EC7EEE25-7A7A-46E1-8CA7-57225B69D8BB}"/>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A5E4E33E-FC66-4726-A28D-F6C98CE74778}"/>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0E551507-FF9D-419C-9EE8-7FB8BA7B3422}"/>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28D4B1E8-BDEE-49CC-8883-2CF6224C6C18}"/>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7DCC09DD-1459-414C-A3B1-AD42100DB16F}"/>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DE50A989-84F4-4B39-8288-03957912B4FE}"/>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52BF7538-D2D2-445A-A784-13D653BE0EEC}"/>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62D3B805-0DCE-41AC-B5BB-17E09611676F}"/>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E971D34B-D9CF-4609-A182-7525B5DF4963}"/>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15BC4431-02FA-4CC5-8BDB-8C62D246A055}"/>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729608BA-F586-4961-A31C-3207CBD5E084}"/>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77FE3F60-4B1B-479F-B99B-D3763635E74E}"/>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18</xdr:row>
      <xdr:rowOff>28575</xdr:rowOff>
    </xdr:from>
    <xdr:to>
      <xdr:col>7</xdr:col>
      <xdr:colOff>0</xdr:colOff>
      <xdr:row>18</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C38CB720-FEDB-4D54-AB05-6CE0FABD4F78}"/>
            </a:ext>
          </a:extLst>
        </xdr:cNvPr>
        <xdr:cNvSpPr/>
      </xdr:nvSpPr>
      <xdr:spPr>
        <a:xfrm>
          <a:off x="80295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42</xdr:row>
      <xdr:rowOff>28575</xdr:rowOff>
    </xdr:from>
    <xdr:to>
      <xdr:col>7</xdr:col>
      <xdr:colOff>0</xdr:colOff>
      <xdr:row>42</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7E9DC47-0C01-4356-BD60-D725DD15CA03}"/>
            </a:ext>
          </a:extLst>
        </xdr:cNvPr>
        <xdr:cNvSpPr/>
      </xdr:nvSpPr>
      <xdr:spPr>
        <a:xfrm>
          <a:off x="78867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62</xdr:row>
      <xdr:rowOff>28575</xdr:rowOff>
    </xdr:from>
    <xdr:to>
      <xdr:col>7</xdr:col>
      <xdr:colOff>0</xdr:colOff>
      <xdr:row>62</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7A37DD60-383E-4705-BC0B-CDBCC109A88C}"/>
            </a:ext>
          </a:extLst>
        </xdr:cNvPr>
        <xdr:cNvSpPr/>
      </xdr:nvSpPr>
      <xdr:spPr>
        <a:xfrm>
          <a:off x="78009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78</xdr:row>
      <xdr:rowOff>28575</xdr:rowOff>
    </xdr:from>
    <xdr:to>
      <xdr:col>7</xdr:col>
      <xdr:colOff>0</xdr:colOff>
      <xdr:row>78</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B1156E5-3779-40F4-8783-6BCCABDAE55D}"/>
            </a:ext>
          </a:extLst>
        </xdr:cNvPr>
        <xdr:cNvSpPr/>
      </xdr:nvSpPr>
      <xdr:spPr>
        <a:xfrm>
          <a:off x="7934325" y="174402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93</xdr:row>
      <xdr:rowOff>28575</xdr:rowOff>
    </xdr:from>
    <xdr:to>
      <xdr:col>7</xdr:col>
      <xdr:colOff>0</xdr:colOff>
      <xdr:row>93</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BDA7E13D-3C9F-4B92-8669-C564B2843AAE}"/>
            </a:ext>
          </a:extLst>
        </xdr:cNvPr>
        <xdr:cNvSpPr/>
      </xdr:nvSpPr>
      <xdr:spPr>
        <a:xfrm>
          <a:off x="7934325" y="206978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104</xdr:row>
      <xdr:rowOff>28575</xdr:rowOff>
    </xdr:from>
    <xdr:to>
      <xdr:col>7</xdr:col>
      <xdr:colOff>0</xdr:colOff>
      <xdr:row>104</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9A2FE1E-42D4-4085-9898-D02601B4357C}"/>
            </a:ext>
          </a:extLst>
        </xdr:cNvPr>
        <xdr:cNvSpPr/>
      </xdr:nvSpPr>
      <xdr:spPr>
        <a:xfrm>
          <a:off x="7934325" y="231171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1601856</xdr:colOff>
      <xdr:row>117</xdr:row>
      <xdr:rowOff>36858</xdr:rowOff>
    </xdr:from>
    <xdr:to>
      <xdr:col>7</xdr:col>
      <xdr:colOff>24848</xdr:colOff>
      <xdr:row>117</xdr:row>
      <xdr:rowOff>313083</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04AF767B-7B58-435B-99B2-598093B5C016}"/>
            </a:ext>
          </a:extLst>
        </xdr:cNvPr>
        <xdr:cNvSpPr/>
      </xdr:nvSpPr>
      <xdr:spPr>
        <a:xfrm>
          <a:off x="8050281" y="25982958"/>
          <a:ext cx="1280492"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133</xdr:row>
      <xdr:rowOff>28575</xdr:rowOff>
    </xdr:from>
    <xdr:to>
      <xdr:col>7</xdr:col>
      <xdr:colOff>0</xdr:colOff>
      <xdr:row>133</xdr:row>
      <xdr:rowOff>304800</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917D6015-44A4-48B7-95A7-2CD460F99C27}"/>
            </a:ext>
          </a:extLst>
        </xdr:cNvPr>
        <xdr:cNvSpPr/>
      </xdr:nvSpPr>
      <xdr:spPr>
        <a:xfrm>
          <a:off x="7934325" y="294417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151</xdr:row>
      <xdr:rowOff>28575</xdr:rowOff>
    </xdr:from>
    <xdr:to>
      <xdr:col>7</xdr:col>
      <xdr:colOff>0</xdr:colOff>
      <xdr:row>151</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C446708-2F6D-47AD-8179-D381F98D7459}"/>
            </a:ext>
          </a:extLst>
        </xdr:cNvPr>
        <xdr:cNvSpPr/>
      </xdr:nvSpPr>
      <xdr:spPr>
        <a:xfrm>
          <a:off x="7934325" y="3333750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167</xdr:row>
      <xdr:rowOff>28575</xdr:rowOff>
    </xdr:from>
    <xdr:to>
      <xdr:col>7</xdr:col>
      <xdr:colOff>0</xdr:colOff>
      <xdr:row>167</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60FA7AE2-17A5-466A-911D-702D5B898B9D}"/>
            </a:ext>
          </a:extLst>
        </xdr:cNvPr>
        <xdr:cNvSpPr/>
      </xdr:nvSpPr>
      <xdr:spPr>
        <a:xfrm>
          <a:off x="7934325" y="3684270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184</xdr:row>
      <xdr:rowOff>28575</xdr:rowOff>
    </xdr:from>
    <xdr:to>
      <xdr:col>7</xdr:col>
      <xdr:colOff>0</xdr:colOff>
      <xdr:row>184</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08C6F8E-DC9D-4812-A963-6CDCB8E2703C}"/>
            </a:ext>
          </a:extLst>
        </xdr:cNvPr>
        <xdr:cNvSpPr/>
      </xdr:nvSpPr>
      <xdr:spPr>
        <a:xfrm>
          <a:off x="7934325" y="4051935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B6E3E23E-2BE1-47E3-88F2-5885DE854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83FCB9EF-8708-4C50-AB25-6826EB31B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DEB2C1C3-56A6-4DC6-8AB3-2B493328EAA5}"/>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1333F98F-1C99-483E-9332-7EE8FD63C1E0}"/>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8D26BBA8-DCFE-40A2-BB47-32BA6DFD420C}"/>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566AAB2C-B173-4275-8631-224F917247C8}"/>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EA5967BE-45E8-4C45-AC70-5B45B2E0EC6E}"/>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F3E342F1-C5A9-4F17-A571-E0781A15A920}"/>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A628255E-5EB9-4EC8-B432-57E5ED44D925}"/>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939B6D02-3648-4030-B29B-45C06FA057C1}"/>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4D0A9ED8-FF6C-4686-A365-77D0B54F1C5B}"/>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B39822D1-80DE-4E99-933D-205A40B2FF96}"/>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FE42765D-7671-4732-8DEC-72EABB3E19AD}"/>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EFF39A1B-4F97-49D4-9286-F036FF669E18}"/>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178C0ECB-35BF-4B02-BD1D-2087CC2CECCB}"/>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DE5F184-CBDD-4EF9-9EE7-C04AD6D1EFC9}"/>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18</xdr:row>
      <xdr:rowOff>28575</xdr:rowOff>
    </xdr:from>
    <xdr:to>
      <xdr:col>7</xdr:col>
      <xdr:colOff>0</xdr:colOff>
      <xdr:row>18</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E94EFA5-2DF7-4E0A-A8C7-5358216BF375}"/>
            </a:ext>
          </a:extLst>
        </xdr:cNvPr>
        <xdr:cNvSpPr/>
      </xdr:nvSpPr>
      <xdr:spPr>
        <a:xfrm>
          <a:off x="79248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37</xdr:row>
      <xdr:rowOff>28575</xdr:rowOff>
    </xdr:from>
    <xdr:to>
      <xdr:col>7</xdr:col>
      <xdr:colOff>0</xdr:colOff>
      <xdr:row>37</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4181EC6D-A8CE-4A55-8A5E-42B67E5557C2}"/>
            </a:ext>
          </a:extLst>
        </xdr:cNvPr>
        <xdr:cNvSpPr/>
      </xdr:nvSpPr>
      <xdr:spPr>
        <a:xfrm>
          <a:off x="79057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52</xdr:row>
      <xdr:rowOff>28575</xdr:rowOff>
    </xdr:from>
    <xdr:to>
      <xdr:col>7</xdr:col>
      <xdr:colOff>0</xdr:colOff>
      <xdr:row>52</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12E8D0B8-43D2-48E0-86E5-991E2FC4D013}"/>
            </a:ext>
          </a:extLst>
        </xdr:cNvPr>
        <xdr:cNvSpPr/>
      </xdr:nvSpPr>
      <xdr:spPr>
        <a:xfrm>
          <a:off x="78009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68</xdr:row>
      <xdr:rowOff>28575</xdr:rowOff>
    </xdr:from>
    <xdr:to>
      <xdr:col>7</xdr:col>
      <xdr:colOff>0</xdr:colOff>
      <xdr:row>68</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7DC5215D-55DD-403D-8CD6-958F7BB35411}"/>
            </a:ext>
          </a:extLst>
        </xdr:cNvPr>
        <xdr:cNvSpPr/>
      </xdr:nvSpPr>
      <xdr:spPr>
        <a:xfrm>
          <a:off x="7886700" y="170592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83</xdr:row>
      <xdr:rowOff>28575</xdr:rowOff>
    </xdr:from>
    <xdr:to>
      <xdr:col>7</xdr:col>
      <xdr:colOff>0</xdr:colOff>
      <xdr:row>83</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5E3E2D5-582A-4A39-A085-336B4B532BD8}"/>
            </a:ext>
          </a:extLst>
        </xdr:cNvPr>
        <xdr:cNvSpPr/>
      </xdr:nvSpPr>
      <xdr:spPr>
        <a:xfrm>
          <a:off x="7886700" y="203168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94</xdr:row>
      <xdr:rowOff>28575</xdr:rowOff>
    </xdr:from>
    <xdr:to>
      <xdr:col>7</xdr:col>
      <xdr:colOff>0</xdr:colOff>
      <xdr:row>94</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677D147-2B06-45DA-BA8B-ACC4621A5757}"/>
            </a:ext>
          </a:extLst>
        </xdr:cNvPr>
        <xdr:cNvSpPr/>
      </xdr:nvSpPr>
      <xdr:spPr>
        <a:xfrm>
          <a:off x="7886700" y="227552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1601856</xdr:colOff>
      <xdr:row>107</xdr:row>
      <xdr:rowOff>36858</xdr:rowOff>
    </xdr:from>
    <xdr:to>
      <xdr:col>7</xdr:col>
      <xdr:colOff>24848</xdr:colOff>
      <xdr:row>107</xdr:row>
      <xdr:rowOff>313083</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1F6B8643-8BDE-4F6A-9A27-BB8B28E01CBE}"/>
            </a:ext>
          </a:extLst>
        </xdr:cNvPr>
        <xdr:cNvSpPr/>
      </xdr:nvSpPr>
      <xdr:spPr>
        <a:xfrm>
          <a:off x="8002656" y="25621008"/>
          <a:ext cx="1280492" cy="2667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123</xdr:row>
      <xdr:rowOff>28575</xdr:rowOff>
    </xdr:from>
    <xdr:to>
      <xdr:col>7</xdr:col>
      <xdr:colOff>0</xdr:colOff>
      <xdr:row>123</xdr:row>
      <xdr:rowOff>304800</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CE85DC73-1C4B-4E49-81BD-28DB64F3B26C}"/>
            </a:ext>
          </a:extLst>
        </xdr:cNvPr>
        <xdr:cNvSpPr/>
      </xdr:nvSpPr>
      <xdr:spPr>
        <a:xfrm>
          <a:off x="7886700" y="290607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141</xdr:row>
      <xdr:rowOff>28575</xdr:rowOff>
    </xdr:from>
    <xdr:to>
      <xdr:col>7</xdr:col>
      <xdr:colOff>0</xdr:colOff>
      <xdr:row>141</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78E4FC4C-CAD7-420E-93F1-3B8EB2DDBBF9}"/>
            </a:ext>
          </a:extLst>
        </xdr:cNvPr>
        <xdr:cNvSpPr/>
      </xdr:nvSpPr>
      <xdr:spPr>
        <a:xfrm>
          <a:off x="7886700" y="3293745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157</xdr:row>
      <xdr:rowOff>28575</xdr:rowOff>
    </xdr:from>
    <xdr:to>
      <xdr:col>7</xdr:col>
      <xdr:colOff>0</xdr:colOff>
      <xdr:row>157</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435060D0-3322-4BE1-B568-0C842EF14FF1}"/>
            </a:ext>
          </a:extLst>
        </xdr:cNvPr>
        <xdr:cNvSpPr/>
      </xdr:nvSpPr>
      <xdr:spPr>
        <a:xfrm>
          <a:off x="7886700" y="3640455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174</xdr:row>
      <xdr:rowOff>28575</xdr:rowOff>
    </xdr:from>
    <xdr:to>
      <xdr:col>7</xdr:col>
      <xdr:colOff>0</xdr:colOff>
      <xdr:row>174</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A7C7B742-6631-4E3F-B0C5-0CC222E4FCCD}"/>
            </a:ext>
          </a:extLst>
        </xdr:cNvPr>
        <xdr:cNvSpPr/>
      </xdr:nvSpPr>
      <xdr:spPr>
        <a:xfrm>
          <a:off x="7886700" y="4010025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18D9A010-2888-4DF6-9999-ECDF85378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D2F903DE-C777-48B7-858B-D6B266F9D7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50D86409-0224-4C73-B2EC-48FFCB927C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593C7708-3BCA-4B39-89C7-D3D6499DEFC9}"/>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0ACEE27A-A56D-4561-82B8-762BC94C5B13}"/>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6C71A04D-4B05-4C58-8E25-0142EE99E8AA}"/>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9DD89414-ED64-4644-AB92-5CE682ECC87B}"/>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CECD580B-E28B-4489-9E7B-6CAD91E2E1CE}"/>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85D65621-8DE6-48E7-9BEE-1DF523B0E459}"/>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EED8DB89-609C-4A35-B371-7A5EE171C0A0}"/>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0D1CA34D-3891-4CE3-878E-D5FDC80CF478}"/>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8C05BA53-D99F-479A-90C5-9FF674E6A456}"/>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3B7F92C2-34A4-4484-9A60-3A200D762945}"/>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B0456BF1-E5E0-457A-8EF1-37FAA0A7A817}"/>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97E8F90B-4F13-472B-B391-7EA2A897DB55}"/>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6011A29C-50D0-4C2E-8F60-C776325D5CBE}"/>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6F5EF743-FE86-4AC9-BEAE-6D8AECAAADF2}"/>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12</xdr:row>
      <xdr:rowOff>28575</xdr:rowOff>
    </xdr:from>
    <xdr:to>
      <xdr:col>7</xdr:col>
      <xdr:colOff>0</xdr:colOff>
      <xdr:row>12</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178611D7-A6B1-4620-B635-DBC07830D93E}"/>
            </a:ext>
          </a:extLst>
        </xdr:cNvPr>
        <xdr:cNvSpPr/>
      </xdr:nvSpPr>
      <xdr:spPr>
        <a:xfrm>
          <a:off x="78676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28</xdr:row>
      <xdr:rowOff>28575</xdr:rowOff>
    </xdr:from>
    <xdr:to>
      <xdr:col>7</xdr:col>
      <xdr:colOff>0</xdr:colOff>
      <xdr:row>28</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0DBCE881-A219-407F-BA3D-6F4686A995D5}"/>
            </a:ext>
          </a:extLst>
        </xdr:cNvPr>
        <xdr:cNvSpPr/>
      </xdr:nvSpPr>
      <xdr:spPr>
        <a:xfrm>
          <a:off x="80105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47</xdr:row>
      <xdr:rowOff>28575</xdr:rowOff>
    </xdr:from>
    <xdr:to>
      <xdr:col>7</xdr:col>
      <xdr:colOff>0</xdr:colOff>
      <xdr:row>47</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C3764AF7-7D71-4AAB-915E-C1BE172F6B56}"/>
            </a:ext>
          </a:extLst>
        </xdr:cNvPr>
        <xdr:cNvSpPr/>
      </xdr:nvSpPr>
      <xdr:spPr>
        <a:xfrm>
          <a:off x="77724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63</xdr:row>
      <xdr:rowOff>28575</xdr:rowOff>
    </xdr:from>
    <xdr:to>
      <xdr:col>7</xdr:col>
      <xdr:colOff>0</xdr:colOff>
      <xdr:row>63</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2BB475CA-AED2-40F4-BF7A-A162571A632B}"/>
            </a:ext>
          </a:extLst>
        </xdr:cNvPr>
        <xdr:cNvSpPr/>
      </xdr:nvSpPr>
      <xdr:spPr>
        <a:xfrm>
          <a:off x="7991475" y="1491615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78</xdr:row>
      <xdr:rowOff>28575</xdr:rowOff>
    </xdr:from>
    <xdr:to>
      <xdr:col>7</xdr:col>
      <xdr:colOff>0</xdr:colOff>
      <xdr:row>78</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E6A7BD2-EC66-40CE-BEAB-53081D23FFCA}"/>
            </a:ext>
          </a:extLst>
        </xdr:cNvPr>
        <xdr:cNvSpPr/>
      </xdr:nvSpPr>
      <xdr:spPr>
        <a:xfrm>
          <a:off x="7991475" y="181832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89</xdr:row>
      <xdr:rowOff>28575</xdr:rowOff>
    </xdr:from>
    <xdr:to>
      <xdr:col>7</xdr:col>
      <xdr:colOff>0</xdr:colOff>
      <xdr:row>89</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3FCE576D-9B0B-418C-A451-523C344FF3E1}"/>
            </a:ext>
          </a:extLst>
        </xdr:cNvPr>
        <xdr:cNvSpPr/>
      </xdr:nvSpPr>
      <xdr:spPr>
        <a:xfrm>
          <a:off x="7991475" y="2063115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1601856</xdr:colOff>
      <xdr:row>102</xdr:row>
      <xdr:rowOff>36858</xdr:rowOff>
    </xdr:from>
    <xdr:to>
      <xdr:col>7</xdr:col>
      <xdr:colOff>24848</xdr:colOff>
      <xdr:row>102</xdr:row>
      <xdr:rowOff>313083</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C0272291-D5B3-4463-93C8-297B7440B641}"/>
            </a:ext>
          </a:extLst>
        </xdr:cNvPr>
        <xdr:cNvSpPr/>
      </xdr:nvSpPr>
      <xdr:spPr>
        <a:xfrm>
          <a:off x="8107431" y="23487408"/>
          <a:ext cx="1280492"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118</xdr:row>
      <xdr:rowOff>28575</xdr:rowOff>
    </xdr:from>
    <xdr:to>
      <xdr:col>7</xdr:col>
      <xdr:colOff>0</xdr:colOff>
      <xdr:row>118</xdr:row>
      <xdr:rowOff>304800</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66EC9B2-B6BB-4ED5-951E-7C6F52D950AA}"/>
            </a:ext>
          </a:extLst>
        </xdr:cNvPr>
        <xdr:cNvSpPr/>
      </xdr:nvSpPr>
      <xdr:spPr>
        <a:xfrm>
          <a:off x="7991475" y="269462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136</xdr:row>
      <xdr:rowOff>28575</xdr:rowOff>
    </xdr:from>
    <xdr:to>
      <xdr:col>7</xdr:col>
      <xdr:colOff>0</xdr:colOff>
      <xdr:row>136</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63F9A6D-B5B5-43C7-968B-AD8ADF5125CE}"/>
            </a:ext>
          </a:extLst>
        </xdr:cNvPr>
        <xdr:cNvSpPr/>
      </xdr:nvSpPr>
      <xdr:spPr>
        <a:xfrm>
          <a:off x="7991475" y="308514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152</xdr:row>
      <xdr:rowOff>28575</xdr:rowOff>
    </xdr:from>
    <xdr:to>
      <xdr:col>7</xdr:col>
      <xdr:colOff>0</xdr:colOff>
      <xdr:row>152</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71640449-3196-4BA5-A661-126848CFEEB6}"/>
            </a:ext>
          </a:extLst>
        </xdr:cNvPr>
        <xdr:cNvSpPr/>
      </xdr:nvSpPr>
      <xdr:spPr>
        <a:xfrm>
          <a:off x="7991475" y="3434715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169</xdr:row>
      <xdr:rowOff>28575</xdr:rowOff>
    </xdr:from>
    <xdr:to>
      <xdr:col>7</xdr:col>
      <xdr:colOff>0</xdr:colOff>
      <xdr:row>169</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746B7BDE-FF00-4591-8D6F-F3BA9DDA657D}"/>
            </a:ext>
          </a:extLst>
        </xdr:cNvPr>
        <xdr:cNvSpPr/>
      </xdr:nvSpPr>
      <xdr:spPr>
        <a:xfrm>
          <a:off x="7991475" y="380333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78F32115-F00A-4C92-B92A-C751F302D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D7B1AAF4-D0D8-4A36-825D-DFC83E0BD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A5563D25-EE68-4972-A521-6D69079AEF88}"/>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7829BB11-3E5C-4DCE-BCDC-731F13066801}"/>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E8CAE8D3-24CA-47E4-B8CD-15D0B644E5CA}"/>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518C8DF1-57A4-4235-ADCF-AD30F34CE0A1}"/>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BCD9810C-D67A-4497-B9A6-7D04B422606B}"/>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9DB20236-F5A9-475E-B3FC-D0D1A70EB766}"/>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0F6A2B3C-B45D-4A1C-94BC-340126418E7D}"/>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B3A60E06-301A-42B5-A420-622197E0DBF6}"/>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98E41C1D-7A40-44C4-9E98-D626B91236E3}"/>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62DAB5AB-E73E-47F7-8A8C-673330997542}"/>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E9B35131-EF1D-4566-8146-C8FC79776770}"/>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CCB27085-E876-4D0D-A41B-C68F604773AB}"/>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82F9AEBB-9484-4585-880F-7BC18B482456}"/>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oneCellAnchor>
    <xdr:from>
      <xdr:col>2</xdr:col>
      <xdr:colOff>142875</xdr:colOff>
      <xdr:row>41</xdr:row>
      <xdr:rowOff>133349</xdr:rowOff>
    </xdr:from>
    <xdr:ext cx="3076575" cy="647701"/>
    <xdr:sp macro="" textlink="">
      <xdr:nvSpPr>
        <xdr:cNvPr id="16" name="TextBox 15">
          <a:extLst>
            <a:ext uri="{FF2B5EF4-FFF2-40B4-BE49-F238E27FC236}">
              <a16:creationId xmlns:a16="http://schemas.microsoft.com/office/drawing/2014/main" xmlns="" id="{080B60C4-64FE-4101-A2FE-D2B5F7940DEB}"/>
            </a:ext>
          </a:extLst>
        </xdr:cNvPr>
        <xdr:cNvSpPr txBox="1"/>
      </xdr:nvSpPr>
      <xdr:spPr>
        <a:xfrm>
          <a:off x="1362075" y="6772274"/>
          <a:ext cx="3076575" cy="647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rgbClr val="FF0000"/>
              </a:solidFill>
            </a:rPr>
            <a:t>Mileage before cluster replacemet 60,658 changed</a:t>
          </a:r>
          <a:r>
            <a:rPr lang="en-US" sz="1100" b="1" baseline="0">
              <a:solidFill>
                <a:srgbClr val="FF0000"/>
              </a:solidFill>
            </a:rPr>
            <a:t> on May 12,2017 Starting mileage 8.0 </a:t>
          </a:r>
          <a:endParaRPr lang="en-US" sz="1100" b="1">
            <a:solidFill>
              <a:srgbClr val="FF0000"/>
            </a:solidFill>
          </a:endParaRPr>
        </a:p>
      </xdr:txBody>
    </xdr:sp>
    <xdr:clientData/>
  </xdr:oneCellAnchor>
</xdr:wsDr>
</file>

<file path=xl/drawings/drawing55.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34F4837-D9F8-402A-BA94-6F6164DD44ED}"/>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19</xdr:row>
      <xdr:rowOff>28575</xdr:rowOff>
    </xdr:from>
    <xdr:to>
      <xdr:col>7</xdr:col>
      <xdr:colOff>0</xdr:colOff>
      <xdr:row>19</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767D6C3-2982-4D53-BECE-7F890AA60692}"/>
            </a:ext>
          </a:extLst>
        </xdr:cNvPr>
        <xdr:cNvSpPr/>
      </xdr:nvSpPr>
      <xdr:spPr>
        <a:xfrm>
          <a:off x="79152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43</xdr:row>
      <xdr:rowOff>28575</xdr:rowOff>
    </xdr:from>
    <xdr:to>
      <xdr:col>7</xdr:col>
      <xdr:colOff>0</xdr:colOff>
      <xdr:row>43</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4ADEBD7E-F01F-477B-859D-78488441B424}"/>
            </a:ext>
          </a:extLst>
        </xdr:cNvPr>
        <xdr:cNvSpPr/>
      </xdr:nvSpPr>
      <xdr:spPr>
        <a:xfrm>
          <a:off x="79724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57</xdr:row>
      <xdr:rowOff>28575</xdr:rowOff>
    </xdr:from>
    <xdr:to>
      <xdr:col>7</xdr:col>
      <xdr:colOff>0</xdr:colOff>
      <xdr:row>57</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355127D-55F8-4438-B523-FFF704BE3C55}"/>
            </a:ext>
          </a:extLst>
        </xdr:cNvPr>
        <xdr:cNvSpPr/>
      </xdr:nvSpPr>
      <xdr:spPr>
        <a:xfrm>
          <a:off x="7791450" y="104108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73</xdr:row>
      <xdr:rowOff>28575</xdr:rowOff>
    </xdr:from>
    <xdr:to>
      <xdr:col>7</xdr:col>
      <xdr:colOff>0</xdr:colOff>
      <xdr:row>73</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B4190F19-1BE8-4507-B007-389C3FB5A73F}"/>
            </a:ext>
          </a:extLst>
        </xdr:cNvPr>
        <xdr:cNvSpPr/>
      </xdr:nvSpPr>
      <xdr:spPr>
        <a:xfrm>
          <a:off x="7791450" y="138779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88</xdr:row>
      <xdr:rowOff>28575</xdr:rowOff>
    </xdr:from>
    <xdr:to>
      <xdr:col>7</xdr:col>
      <xdr:colOff>0</xdr:colOff>
      <xdr:row>88</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7E7260A-14C6-4AF6-9445-8A7A7209C5A0}"/>
            </a:ext>
          </a:extLst>
        </xdr:cNvPr>
        <xdr:cNvSpPr/>
      </xdr:nvSpPr>
      <xdr:spPr>
        <a:xfrm>
          <a:off x="7791450" y="1714500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99</xdr:row>
      <xdr:rowOff>28575</xdr:rowOff>
    </xdr:from>
    <xdr:to>
      <xdr:col>7</xdr:col>
      <xdr:colOff>0</xdr:colOff>
      <xdr:row>99</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25DB731-40C6-4EB4-A0F8-E3D0D7ADD276}"/>
            </a:ext>
          </a:extLst>
        </xdr:cNvPr>
        <xdr:cNvSpPr/>
      </xdr:nvSpPr>
      <xdr:spPr>
        <a:xfrm>
          <a:off x="7791450" y="195738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1601856</xdr:colOff>
      <xdr:row>112</xdr:row>
      <xdr:rowOff>36858</xdr:rowOff>
    </xdr:from>
    <xdr:to>
      <xdr:col>7</xdr:col>
      <xdr:colOff>24848</xdr:colOff>
      <xdr:row>112</xdr:row>
      <xdr:rowOff>313083</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4CD9BD9-398A-4C9C-93B4-00AAE48E06AC}"/>
            </a:ext>
          </a:extLst>
        </xdr:cNvPr>
        <xdr:cNvSpPr/>
      </xdr:nvSpPr>
      <xdr:spPr>
        <a:xfrm>
          <a:off x="7907406" y="22458708"/>
          <a:ext cx="1280492" cy="2667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128</xdr:row>
      <xdr:rowOff>28575</xdr:rowOff>
    </xdr:from>
    <xdr:to>
      <xdr:col>7</xdr:col>
      <xdr:colOff>0</xdr:colOff>
      <xdr:row>128</xdr:row>
      <xdr:rowOff>304800</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A1522894-968F-4809-9162-56A713FCE1E3}"/>
            </a:ext>
          </a:extLst>
        </xdr:cNvPr>
        <xdr:cNvSpPr/>
      </xdr:nvSpPr>
      <xdr:spPr>
        <a:xfrm>
          <a:off x="7791450" y="258984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146</xdr:row>
      <xdr:rowOff>28575</xdr:rowOff>
    </xdr:from>
    <xdr:to>
      <xdr:col>7</xdr:col>
      <xdr:colOff>0</xdr:colOff>
      <xdr:row>146</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0102919-691C-4680-8C5F-206056D95196}"/>
            </a:ext>
          </a:extLst>
        </xdr:cNvPr>
        <xdr:cNvSpPr/>
      </xdr:nvSpPr>
      <xdr:spPr>
        <a:xfrm>
          <a:off x="7791450" y="2979420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162</xdr:row>
      <xdr:rowOff>28575</xdr:rowOff>
    </xdr:from>
    <xdr:to>
      <xdr:col>7</xdr:col>
      <xdr:colOff>0</xdr:colOff>
      <xdr:row>162</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F1C7A6F-3C31-4E48-8581-A67D36F60D8F}"/>
            </a:ext>
          </a:extLst>
        </xdr:cNvPr>
        <xdr:cNvSpPr/>
      </xdr:nvSpPr>
      <xdr:spPr>
        <a:xfrm>
          <a:off x="7791450" y="3326130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179</xdr:row>
      <xdr:rowOff>28575</xdr:rowOff>
    </xdr:from>
    <xdr:to>
      <xdr:col>7</xdr:col>
      <xdr:colOff>0</xdr:colOff>
      <xdr:row>179</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3345FDA-63AA-45A1-9349-E2B891A7F2F3}"/>
            </a:ext>
          </a:extLst>
        </xdr:cNvPr>
        <xdr:cNvSpPr/>
      </xdr:nvSpPr>
      <xdr:spPr>
        <a:xfrm>
          <a:off x="7791450" y="369474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7E0114E0-DF26-4DF3-AC28-A07BA053B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D7CE8870-9863-415B-A2D2-981F9D50F1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14F8BDBA-900D-47FE-ABC1-0F563CA092ED}"/>
            </a:ext>
          </a:extLst>
        </xdr:cNvPr>
        <xdr:cNvSpPr/>
      </xdr:nvSpPr>
      <xdr:spPr>
        <a:xfrm>
          <a:off x="9172575" y="866775"/>
          <a:ext cx="123825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0CE20371-11FC-4910-B24C-37F39B36715D}"/>
            </a:ext>
          </a:extLst>
        </xdr:cNvPr>
        <xdr:cNvSpPr/>
      </xdr:nvSpPr>
      <xdr:spPr>
        <a:xfrm>
          <a:off x="84105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8571247E-B57E-4DD0-8307-A6206D7DD3FB}"/>
            </a:ext>
          </a:extLst>
        </xdr:cNvPr>
        <xdr:cNvSpPr/>
      </xdr:nvSpPr>
      <xdr:spPr>
        <a:xfrm>
          <a:off x="77628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2DE6D90B-2EDA-48AF-ADB0-EAC4C4CEB478}"/>
            </a:ext>
          </a:extLst>
        </xdr:cNvPr>
        <xdr:cNvSpPr/>
      </xdr:nvSpPr>
      <xdr:spPr>
        <a:xfrm>
          <a:off x="71151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CA7BB15B-C223-4E03-BD3A-6B537BED68EF}"/>
            </a:ext>
          </a:extLst>
        </xdr:cNvPr>
        <xdr:cNvSpPr/>
      </xdr:nvSpPr>
      <xdr:spPr>
        <a:xfrm>
          <a:off x="64674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503039D0-2C1D-4043-B69C-DC12BAB0A644}"/>
            </a:ext>
          </a:extLst>
        </xdr:cNvPr>
        <xdr:cNvSpPr/>
      </xdr:nvSpPr>
      <xdr:spPr>
        <a:xfrm>
          <a:off x="58197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9AE080DA-6A7A-4003-BBA0-17B295DDBEFF}"/>
            </a:ext>
          </a:extLst>
        </xdr:cNvPr>
        <xdr:cNvSpPr/>
      </xdr:nvSpPr>
      <xdr:spPr>
        <a:xfrm>
          <a:off x="51720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F5ACE188-524B-4694-91CC-E45296149FCB}"/>
            </a:ext>
          </a:extLst>
        </xdr:cNvPr>
        <xdr:cNvSpPr/>
      </xdr:nvSpPr>
      <xdr:spPr>
        <a:xfrm>
          <a:off x="45243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09F3E303-6A85-4925-A7F5-AD3B5FA35319}"/>
            </a:ext>
          </a:extLst>
        </xdr:cNvPr>
        <xdr:cNvSpPr/>
      </xdr:nvSpPr>
      <xdr:spPr>
        <a:xfrm>
          <a:off x="38766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6CAA75C7-52C6-4B6F-B9B8-80A958DAD958}"/>
            </a:ext>
          </a:extLst>
        </xdr:cNvPr>
        <xdr:cNvSpPr/>
      </xdr:nvSpPr>
      <xdr:spPr>
        <a:xfrm>
          <a:off x="32289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07764588-2717-4CD3-828C-69D0CFA6AF7B}"/>
            </a:ext>
          </a:extLst>
        </xdr:cNvPr>
        <xdr:cNvSpPr/>
      </xdr:nvSpPr>
      <xdr:spPr>
        <a:xfrm>
          <a:off x="25812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169DD7DD-BE25-4FF3-A252-D974DBA10378}"/>
            </a:ext>
          </a:extLst>
        </xdr:cNvPr>
        <xdr:cNvSpPr/>
      </xdr:nvSpPr>
      <xdr:spPr>
        <a:xfrm>
          <a:off x="19335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66B09765-48A5-457D-85B8-B6B6C6C41ADA}"/>
            </a:ext>
          </a:extLst>
        </xdr:cNvPr>
        <xdr:cNvSpPr/>
      </xdr:nvSpPr>
      <xdr:spPr>
        <a:xfrm>
          <a:off x="12858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oneCellAnchor>
    <xdr:from>
      <xdr:col>2</xdr:col>
      <xdr:colOff>142875</xdr:colOff>
      <xdr:row>41</xdr:row>
      <xdr:rowOff>133349</xdr:rowOff>
    </xdr:from>
    <xdr:ext cx="3076575" cy="647701"/>
    <xdr:sp macro="" textlink="">
      <xdr:nvSpPr>
        <xdr:cNvPr id="16" name="TextBox 15">
          <a:extLst>
            <a:ext uri="{FF2B5EF4-FFF2-40B4-BE49-F238E27FC236}">
              <a16:creationId xmlns:a16="http://schemas.microsoft.com/office/drawing/2014/main" xmlns="" id="{C23C737D-598F-402D-AE14-2DF18B9C344F}"/>
            </a:ext>
          </a:extLst>
        </xdr:cNvPr>
        <xdr:cNvSpPr txBox="1"/>
      </xdr:nvSpPr>
      <xdr:spPr>
        <a:xfrm>
          <a:off x="1419225" y="8077199"/>
          <a:ext cx="3076575" cy="647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b="1">
            <a:solidFill>
              <a:srgbClr val="FF0000"/>
            </a:solidFill>
          </a:endParaRPr>
        </a:p>
      </xdr:txBody>
    </xdr:sp>
    <xdr:clientData/>
  </xdr:oneCellAnchor>
</xdr:wsDr>
</file>

<file path=xl/drawings/drawing58.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B6E30926-B355-44C5-93EE-7D245572044E}"/>
            </a:ext>
          </a:extLst>
        </xdr:cNvPr>
        <xdr:cNvSpPr/>
      </xdr:nvSpPr>
      <xdr:spPr>
        <a:xfrm>
          <a:off x="79914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19</xdr:row>
      <xdr:rowOff>28575</xdr:rowOff>
    </xdr:from>
    <xdr:to>
      <xdr:col>7</xdr:col>
      <xdr:colOff>0</xdr:colOff>
      <xdr:row>19</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483A60C-9902-456F-8B9B-DF07A9570BBB}"/>
            </a:ext>
          </a:extLst>
        </xdr:cNvPr>
        <xdr:cNvSpPr/>
      </xdr:nvSpPr>
      <xdr:spPr>
        <a:xfrm>
          <a:off x="7991475" y="428625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43</xdr:row>
      <xdr:rowOff>28575</xdr:rowOff>
    </xdr:from>
    <xdr:to>
      <xdr:col>7</xdr:col>
      <xdr:colOff>0</xdr:colOff>
      <xdr:row>43</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752EAF1-6F41-4D70-9D10-EE5CDE0CEBBA}"/>
            </a:ext>
          </a:extLst>
        </xdr:cNvPr>
        <xdr:cNvSpPr/>
      </xdr:nvSpPr>
      <xdr:spPr>
        <a:xfrm>
          <a:off x="7991475" y="94773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57</xdr:row>
      <xdr:rowOff>28575</xdr:rowOff>
    </xdr:from>
    <xdr:to>
      <xdr:col>7</xdr:col>
      <xdr:colOff>0</xdr:colOff>
      <xdr:row>57</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6047E602-857B-461C-A50E-8CBA7499644E}"/>
            </a:ext>
          </a:extLst>
        </xdr:cNvPr>
        <xdr:cNvSpPr/>
      </xdr:nvSpPr>
      <xdr:spPr>
        <a:xfrm>
          <a:off x="7991475" y="125253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73</xdr:row>
      <xdr:rowOff>28575</xdr:rowOff>
    </xdr:from>
    <xdr:to>
      <xdr:col>7</xdr:col>
      <xdr:colOff>0</xdr:colOff>
      <xdr:row>73</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22E7BA9B-5768-478B-B6A3-5F5E61138F29}"/>
            </a:ext>
          </a:extLst>
        </xdr:cNvPr>
        <xdr:cNvSpPr/>
      </xdr:nvSpPr>
      <xdr:spPr>
        <a:xfrm>
          <a:off x="7991475" y="160115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88</xdr:row>
      <xdr:rowOff>28575</xdr:rowOff>
    </xdr:from>
    <xdr:to>
      <xdr:col>7</xdr:col>
      <xdr:colOff>0</xdr:colOff>
      <xdr:row>88</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CD0FABF1-7008-4B36-97A9-5C80F800399D}"/>
            </a:ext>
          </a:extLst>
        </xdr:cNvPr>
        <xdr:cNvSpPr/>
      </xdr:nvSpPr>
      <xdr:spPr>
        <a:xfrm>
          <a:off x="7991475" y="1927860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99</xdr:row>
      <xdr:rowOff>28575</xdr:rowOff>
    </xdr:from>
    <xdr:to>
      <xdr:col>7</xdr:col>
      <xdr:colOff>0</xdr:colOff>
      <xdr:row>99</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5578F81-FA99-42FE-A88E-E6B6F140A770}"/>
            </a:ext>
          </a:extLst>
        </xdr:cNvPr>
        <xdr:cNvSpPr/>
      </xdr:nvSpPr>
      <xdr:spPr>
        <a:xfrm>
          <a:off x="7991475" y="217074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1601856</xdr:colOff>
      <xdr:row>112</xdr:row>
      <xdr:rowOff>36858</xdr:rowOff>
    </xdr:from>
    <xdr:to>
      <xdr:col>7</xdr:col>
      <xdr:colOff>24848</xdr:colOff>
      <xdr:row>112</xdr:row>
      <xdr:rowOff>313083</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230A052-1F6A-419B-894E-C50C5E2C94E3}"/>
            </a:ext>
          </a:extLst>
        </xdr:cNvPr>
        <xdr:cNvSpPr/>
      </xdr:nvSpPr>
      <xdr:spPr>
        <a:xfrm>
          <a:off x="8107431" y="24582783"/>
          <a:ext cx="1280492"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128</xdr:row>
      <xdr:rowOff>28575</xdr:rowOff>
    </xdr:from>
    <xdr:to>
      <xdr:col>7</xdr:col>
      <xdr:colOff>0</xdr:colOff>
      <xdr:row>128</xdr:row>
      <xdr:rowOff>304800</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1FB5A5A4-80DE-4074-8851-61346464A89D}"/>
            </a:ext>
          </a:extLst>
        </xdr:cNvPr>
        <xdr:cNvSpPr/>
      </xdr:nvSpPr>
      <xdr:spPr>
        <a:xfrm>
          <a:off x="7991475" y="280320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146</xdr:row>
      <xdr:rowOff>28575</xdr:rowOff>
    </xdr:from>
    <xdr:to>
      <xdr:col>7</xdr:col>
      <xdr:colOff>0</xdr:colOff>
      <xdr:row>146</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A692C642-29DE-410E-AACC-EA355FBCCE2C}"/>
            </a:ext>
          </a:extLst>
        </xdr:cNvPr>
        <xdr:cNvSpPr/>
      </xdr:nvSpPr>
      <xdr:spPr>
        <a:xfrm>
          <a:off x="7991475" y="3190875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162</xdr:row>
      <xdr:rowOff>28575</xdr:rowOff>
    </xdr:from>
    <xdr:to>
      <xdr:col>7</xdr:col>
      <xdr:colOff>0</xdr:colOff>
      <xdr:row>162</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A10689D-F72B-49E7-84D0-D421BCD08940}"/>
            </a:ext>
          </a:extLst>
        </xdr:cNvPr>
        <xdr:cNvSpPr/>
      </xdr:nvSpPr>
      <xdr:spPr>
        <a:xfrm>
          <a:off x="7991475" y="353663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179</xdr:row>
      <xdr:rowOff>28575</xdr:rowOff>
    </xdr:from>
    <xdr:to>
      <xdr:col>7</xdr:col>
      <xdr:colOff>0</xdr:colOff>
      <xdr:row>179</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A9AF0DE0-9C4A-41A4-86CF-A50224684B08}"/>
            </a:ext>
          </a:extLst>
        </xdr:cNvPr>
        <xdr:cNvSpPr/>
      </xdr:nvSpPr>
      <xdr:spPr>
        <a:xfrm>
          <a:off x="7991475" y="3905250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01D318E1-D95F-4ADA-A6B1-63A2C86F3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63CB650D-D154-49E2-8182-37A8B3B3D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71199154-B259-4A55-83AC-710513B9D126}"/>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BAC4F401-3DDD-46FE-8EDA-CBF5170860C1}"/>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0F23A5FE-7B7A-4CEC-8B1B-69528155E9C3}"/>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CB11F50B-3264-483C-9923-38AB00FE532C}"/>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FF0EF85F-74E2-47DE-8CC3-A5A30B091396}"/>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5CAD64BB-9463-4506-998A-B353F6EA3502}"/>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320FC8ED-1865-44E7-AC23-C1F8EE36B265}"/>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2CA38DA2-5E91-477C-B238-1D4209F4A7F2}"/>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8BC7558F-4BD4-4027-BF6C-AD9D48E1C92C}"/>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201EF805-A2B7-4EF4-A471-AFF9EF57B11F}"/>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B7C51383-FAD2-4A2D-BC0D-B3856FE50C7E}"/>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0C837C48-E6F9-42F0-880C-D7EF1021DB44}"/>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35EA711C-1002-4C08-8106-C1CF881C9ECE}"/>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6FCFC02B-0C7E-491D-BBFC-F605DF78D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EA301359-1EC3-433C-999B-1BDCC863E893}"/>
            </a:ext>
          </a:extLst>
        </xdr:cNvPr>
        <xdr:cNvSpPr/>
      </xdr:nvSpPr>
      <xdr:spPr>
        <a:xfrm>
          <a:off x="9172575" y="866775"/>
          <a:ext cx="123825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FF1FF762-53F2-4EDA-A1C4-45166B873B52}"/>
            </a:ext>
          </a:extLst>
        </xdr:cNvPr>
        <xdr:cNvSpPr/>
      </xdr:nvSpPr>
      <xdr:spPr>
        <a:xfrm>
          <a:off x="84105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F093A09A-588F-4B76-9EB6-7463E89276CC}"/>
            </a:ext>
          </a:extLst>
        </xdr:cNvPr>
        <xdr:cNvSpPr/>
      </xdr:nvSpPr>
      <xdr:spPr>
        <a:xfrm>
          <a:off x="77628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D5D44D8D-BC76-40D7-B744-AA04B81E126D}"/>
            </a:ext>
          </a:extLst>
        </xdr:cNvPr>
        <xdr:cNvSpPr/>
      </xdr:nvSpPr>
      <xdr:spPr>
        <a:xfrm>
          <a:off x="71151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25452458-C567-44CF-8D76-C7A0660891A2}"/>
            </a:ext>
          </a:extLst>
        </xdr:cNvPr>
        <xdr:cNvSpPr/>
      </xdr:nvSpPr>
      <xdr:spPr>
        <a:xfrm>
          <a:off x="64674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BBBCB947-AC5E-42E0-965E-A97FE429B2DD}"/>
            </a:ext>
          </a:extLst>
        </xdr:cNvPr>
        <xdr:cNvSpPr/>
      </xdr:nvSpPr>
      <xdr:spPr>
        <a:xfrm>
          <a:off x="58197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C2963813-E1FD-467B-9579-5FEF375CB57A}"/>
            </a:ext>
          </a:extLst>
        </xdr:cNvPr>
        <xdr:cNvSpPr/>
      </xdr:nvSpPr>
      <xdr:spPr>
        <a:xfrm>
          <a:off x="51720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7EF5D1D0-60BE-4F63-BBD4-D7C5A3E4A3F1}"/>
            </a:ext>
          </a:extLst>
        </xdr:cNvPr>
        <xdr:cNvSpPr/>
      </xdr:nvSpPr>
      <xdr:spPr>
        <a:xfrm>
          <a:off x="45243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05303604-1490-4826-80D5-294085562FE2}"/>
            </a:ext>
          </a:extLst>
        </xdr:cNvPr>
        <xdr:cNvSpPr/>
      </xdr:nvSpPr>
      <xdr:spPr>
        <a:xfrm>
          <a:off x="38766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C775BDDC-D4B6-4DD1-98E0-6EE9D42346E2}"/>
            </a:ext>
          </a:extLst>
        </xdr:cNvPr>
        <xdr:cNvSpPr/>
      </xdr:nvSpPr>
      <xdr:spPr>
        <a:xfrm>
          <a:off x="32289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AEE9439F-28DD-4BF9-95FA-5E8379BCD1DA}"/>
            </a:ext>
          </a:extLst>
        </xdr:cNvPr>
        <xdr:cNvSpPr/>
      </xdr:nvSpPr>
      <xdr:spPr>
        <a:xfrm>
          <a:off x="25812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EF1A8103-DFD0-4820-8CFC-C9AF38368B86}"/>
            </a:ext>
          </a:extLst>
        </xdr:cNvPr>
        <xdr:cNvSpPr/>
      </xdr:nvSpPr>
      <xdr:spPr>
        <a:xfrm>
          <a:off x="19335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6C7759B0-336E-4A30-AF9F-7B3C5301E4CA}"/>
            </a:ext>
          </a:extLst>
        </xdr:cNvPr>
        <xdr:cNvSpPr/>
      </xdr:nvSpPr>
      <xdr:spPr>
        <a:xfrm>
          <a:off x="12858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oneCellAnchor>
    <xdr:from>
      <xdr:col>2</xdr:col>
      <xdr:colOff>142875</xdr:colOff>
      <xdr:row>41</xdr:row>
      <xdr:rowOff>133349</xdr:rowOff>
    </xdr:from>
    <xdr:ext cx="3076575" cy="647701"/>
    <xdr:sp macro="" textlink="">
      <xdr:nvSpPr>
        <xdr:cNvPr id="16" name="TextBox 15">
          <a:extLst>
            <a:ext uri="{FF2B5EF4-FFF2-40B4-BE49-F238E27FC236}">
              <a16:creationId xmlns:a16="http://schemas.microsoft.com/office/drawing/2014/main" xmlns="" id="{0681ABC2-B0EC-49BF-B3FB-D2CF78A903F6}"/>
            </a:ext>
          </a:extLst>
        </xdr:cNvPr>
        <xdr:cNvSpPr txBox="1"/>
      </xdr:nvSpPr>
      <xdr:spPr>
        <a:xfrm>
          <a:off x="1419225" y="8077199"/>
          <a:ext cx="3076575" cy="647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b="1">
            <a:solidFill>
              <a:srgbClr val="FF0000"/>
            </a:solidFill>
          </a:endParaRPr>
        </a:p>
      </xdr:txBody>
    </xdr:sp>
    <xdr:clientData/>
  </xdr:oneCellAnchor>
</xdr:wsDr>
</file>

<file path=xl/drawings/drawing61.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6D379F02-6D01-4C79-B7DD-41EC1745F7CE}"/>
            </a:ext>
          </a:extLst>
        </xdr:cNvPr>
        <xdr:cNvSpPr/>
      </xdr:nvSpPr>
      <xdr:spPr>
        <a:xfrm>
          <a:off x="79914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19</xdr:row>
      <xdr:rowOff>28575</xdr:rowOff>
    </xdr:from>
    <xdr:to>
      <xdr:col>7</xdr:col>
      <xdr:colOff>0</xdr:colOff>
      <xdr:row>19</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1FDD043E-EE76-450A-8C1F-2180BB477065}"/>
            </a:ext>
          </a:extLst>
        </xdr:cNvPr>
        <xdr:cNvSpPr/>
      </xdr:nvSpPr>
      <xdr:spPr>
        <a:xfrm>
          <a:off x="7991475" y="428625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43</xdr:row>
      <xdr:rowOff>28575</xdr:rowOff>
    </xdr:from>
    <xdr:to>
      <xdr:col>7</xdr:col>
      <xdr:colOff>0</xdr:colOff>
      <xdr:row>43</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1C11FC4-8B39-48DD-A66C-46D32260F113}"/>
            </a:ext>
          </a:extLst>
        </xdr:cNvPr>
        <xdr:cNvSpPr/>
      </xdr:nvSpPr>
      <xdr:spPr>
        <a:xfrm>
          <a:off x="7991475" y="94773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57</xdr:row>
      <xdr:rowOff>28575</xdr:rowOff>
    </xdr:from>
    <xdr:to>
      <xdr:col>7</xdr:col>
      <xdr:colOff>0</xdr:colOff>
      <xdr:row>57</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18E1AC9-2B1C-4B51-9BF8-DCFC474C9A54}"/>
            </a:ext>
          </a:extLst>
        </xdr:cNvPr>
        <xdr:cNvSpPr/>
      </xdr:nvSpPr>
      <xdr:spPr>
        <a:xfrm>
          <a:off x="7991475" y="125253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73</xdr:row>
      <xdr:rowOff>28575</xdr:rowOff>
    </xdr:from>
    <xdr:to>
      <xdr:col>7</xdr:col>
      <xdr:colOff>0</xdr:colOff>
      <xdr:row>73</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A9068E22-03E2-4867-9A71-AE4814CE2F87}"/>
            </a:ext>
          </a:extLst>
        </xdr:cNvPr>
        <xdr:cNvSpPr/>
      </xdr:nvSpPr>
      <xdr:spPr>
        <a:xfrm>
          <a:off x="7991475" y="160115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88</xdr:row>
      <xdr:rowOff>28575</xdr:rowOff>
    </xdr:from>
    <xdr:to>
      <xdr:col>7</xdr:col>
      <xdr:colOff>0</xdr:colOff>
      <xdr:row>88</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3A63440B-C887-4EEA-84D1-033113F184C1}"/>
            </a:ext>
          </a:extLst>
        </xdr:cNvPr>
        <xdr:cNvSpPr/>
      </xdr:nvSpPr>
      <xdr:spPr>
        <a:xfrm>
          <a:off x="7991475" y="1927860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99</xdr:row>
      <xdr:rowOff>28575</xdr:rowOff>
    </xdr:from>
    <xdr:to>
      <xdr:col>7</xdr:col>
      <xdr:colOff>0</xdr:colOff>
      <xdr:row>99</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7078D2F2-3681-4218-AB1D-B8B883DE5882}"/>
            </a:ext>
          </a:extLst>
        </xdr:cNvPr>
        <xdr:cNvSpPr/>
      </xdr:nvSpPr>
      <xdr:spPr>
        <a:xfrm>
          <a:off x="7991475" y="217074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1601856</xdr:colOff>
      <xdr:row>112</xdr:row>
      <xdr:rowOff>36858</xdr:rowOff>
    </xdr:from>
    <xdr:to>
      <xdr:col>7</xdr:col>
      <xdr:colOff>24848</xdr:colOff>
      <xdr:row>112</xdr:row>
      <xdr:rowOff>313083</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23965394-A058-444C-98C5-E28E2CC428F7}"/>
            </a:ext>
          </a:extLst>
        </xdr:cNvPr>
        <xdr:cNvSpPr/>
      </xdr:nvSpPr>
      <xdr:spPr>
        <a:xfrm>
          <a:off x="8107431" y="24582783"/>
          <a:ext cx="1280492"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128</xdr:row>
      <xdr:rowOff>28575</xdr:rowOff>
    </xdr:from>
    <xdr:to>
      <xdr:col>7</xdr:col>
      <xdr:colOff>0</xdr:colOff>
      <xdr:row>128</xdr:row>
      <xdr:rowOff>304800</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77476573-6173-45CA-B61F-420CC8B5BF5E}"/>
            </a:ext>
          </a:extLst>
        </xdr:cNvPr>
        <xdr:cNvSpPr/>
      </xdr:nvSpPr>
      <xdr:spPr>
        <a:xfrm>
          <a:off x="7991475" y="280320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146</xdr:row>
      <xdr:rowOff>28575</xdr:rowOff>
    </xdr:from>
    <xdr:to>
      <xdr:col>7</xdr:col>
      <xdr:colOff>0</xdr:colOff>
      <xdr:row>146</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C97C374D-221E-4A16-939B-EA424765381B}"/>
            </a:ext>
          </a:extLst>
        </xdr:cNvPr>
        <xdr:cNvSpPr/>
      </xdr:nvSpPr>
      <xdr:spPr>
        <a:xfrm>
          <a:off x="7991475" y="3190875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162</xdr:row>
      <xdr:rowOff>28575</xdr:rowOff>
    </xdr:from>
    <xdr:to>
      <xdr:col>7</xdr:col>
      <xdr:colOff>0</xdr:colOff>
      <xdr:row>162</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C7709C84-63B3-4D8E-89DB-19A60771D1F0}"/>
            </a:ext>
          </a:extLst>
        </xdr:cNvPr>
        <xdr:cNvSpPr/>
      </xdr:nvSpPr>
      <xdr:spPr>
        <a:xfrm>
          <a:off x="7991475" y="353663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179</xdr:row>
      <xdr:rowOff>28575</xdr:rowOff>
    </xdr:from>
    <xdr:to>
      <xdr:col>7</xdr:col>
      <xdr:colOff>0</xdr:colOff>
      <xdr:row>179</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7330C937-1455-4618-8D7B-F4636BBDC6C3}"/>
            </a:ext>
          </a:extLst>
        </xdr:cNvPr>
        <xdr:cNvSpPr/>
      </xdr:nvSpPr>
      <xdr:spPr>
        <a:xfrm>
          <a:off x="7991475" y="3905250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D3B0637F-64F8-4ABA-BFDE-890C78036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88E0E7F2-1EDC-4191-86ED-0045069A00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27008855-286A-47BF-899C-D54BD5F05FFB}"/>
            </a:ext>
          </a:extLst>
        </xdr:cNvPr>
        <xdr:cNvSpPr/>
      </xdr:nvSpPr>
      <xdr:spPr>
        <a:xfrm>
          <a:off x="9172575" y="866775"/>
          <a:ext cx="123825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25C521CE-508C-4B75-8979-D4D2C88400B4}"/>
            </a:ext>
          </a:extLst>
        </xdr:cNvPr>
        <xdr:cNvSpPr/>
      </xdr:nvSpPr>
      <xdr:spPr>
        <a:xfrm>
          <a:off x="84105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81665B9C-CB99-40B4-87B8-255ED9E361CB}"/>
            </a:ext>
          </a:extLst>
        </xdr:cNvPr>
        <xdr:cNvSpPr/>
      </xdr:nvSpPr>
      <xdr:spPr>
        <a:xfrm>
          <a:off x="77628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8962AE96-9FB9-4F08-92C4-B1D812795ABD}"/>
            </a:ext>
          </a:extLst>
        </xdr:cNvPr>
        <xdr:cNvSpPr/>
      </xdr:nvSpPr>
      <xdr:spPr>
        <a:xfrm>
          <a:off x="71151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858C22A9-BD33-4310-9CF1-41EC8B4905F3}"/>
            </a:ext>
          </a:extLst>
        </xdr:cNvPr>
        <xdr:cNvSpPr/>
      </xdr:nvSpPr>
      <xdr:spPr>
        <a:xfrm>
          <a:off x="64674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5B66A3A1-C3DA-4BFE-89F7-CA1F5D01A2BE}"/>
            </a:ext>
          </a:extLst>
        </xdr:cNvPr>
        <xdr:cNvSpPr/>
      </xdr:nvSpPr>
      <xdr:spPr>
        <a:xfrm>
          <a:off x="58197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7842DF49-8D4D-4F12-8B6F-8257B745EF17}"/>
            </a:ext>
          </a:extLst>
        </xdr:cNvPr>
        <xdr:cNvSpPr/>
      </xdr:nvSpPr>
      <xdr:spPr>
        <a:xfrm>
          <a:off x="51720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CE5D426B-307A-4339-ADDA-2736501A713B}"/>
            </a:ext>
          </a:extLst>
        </xdr:cNvPr>
        <xdr:cNvSpPr/>
      </xdr:nvSpPr>
      <xdr:spPr>
        <a:xfrm>
          <a:off x="45243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AFA892B0-A6C9-45EB-889D-F0311D1858AB}"/>
            </a:ext>
          </a:extLst>
        </xdr:cNvPr>
        <xdr:cNvSpPr/>
      </xdr:nvSpPr>
      <xdr:spPr>
        <a:xfrm>
          <a:off x="38766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37593920-DC8C-4CF1-83DB-829DC32F5CBE}"/>
            </a:ext>
          </a:extLst>
        </xdr:cNvPr>
        <xdr:cNvSpPr/>
      </xdr:nvSpPr>
      <xdr:spPr>
        <a:xfrm>
          <a:off x="32289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C3806B42-BD51-434E-91DE-2915088FCAA8}"/>
            </a:ext>
          </a:extLst>
        </xdr:cNvPr>
        <xdr:cNvSpPr/>
      </xdr:nvSpPr>
      <xdr:spPr>
        <a:xfrm>
          <a:off x="25812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03084814-F122-4EEF-83C8-B4E7BFC734D5}"/>
            </a:ext>
          </a:extLst>
        </xdr:cNvPr>
        <xdr:cNvSpPr/>
      </xdr:nvSpPr>
      <xdr:spPr>
        <a:xfrm>
          <a:off x="19335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CC3D08BC-54B1-406C-971C-BEAB03E245BC}"/>
            </a:ext>
          </a:extLst>
        </xdr:cNvPr>
        <xdr:cNvSpPr/>
      </xdr:nvSpPr>
      <xdr:spPr>
        <a:xfrm>
          <a:off x="1285875" y="866775"/>
          <a:ext cx="640080" cy="22860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oneCellAnchor>
    <xdr:from>
      <xdr:col>2</xdr:col>
      <xdr:colOff>142875</xdr:colOff>
      <xdr:row>41</xdr:row>
      <xdr:rowOff>133349</xdr:rowOff>
    </xdr:from>
    <xdr:ext cx="3076575" cy="647701"/>
    <xdr:sp macro="" textlink="">
      <xdr:nvSpPr>
        <xdr:cNvPr id="16" name="TextBox 15">
          <a:extLst>
            <a:ext uri="{FF2B5EF4-FFF2-40B4-BE49-F238E27FC236}">
              <a16:creationId xmlns:a16="http://schemas.microsoft.com/office/drawing/2014/main" xmlns="" id="{88C3C612-D675-40AD-97BD-25A2CFE64B6D}"/>
            </a:ext>
          </a:extLst>
        </xdr:cNvPr>
        <xdr:cNvSpPr txBox="1"/>
      </xdr:nvSpPr>
      <xdr:spPr>
        <a:xfrm>
          <a:off x="1419225" y="8077199"/>
          <a:ext cx="3076575" cy="647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b="1">
            <a:solidFill>
              <a:srgbClr val="FF0000"/>
            </a:solidFill>
          </a:endParaRPr>
        </a:p>
      </xdr:txBody>
    </xdr:sp>
    <xdr:clientData/>
  </xdr:oneCellAnchor>
</xdr:wsDr>
</file>

<file path=xl/drawings/drawing64.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CD95C88F-5671-4DB3-914F-6A280491D2DE}"/>
            </a:ext>
          </a:extLst>
        </xdr:cNvPr>
        <xdr:cNvSpPr/>
      </xdr:nvSpPr>
      <xdr:spPr>
        <a:xfrm>
          <a:off x="79914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19</xdr:row>
      <xdr:rowOff>28575</xdr:rowOff>
    </xdr:from>
    <xdr:to>
      <xdr:col>7</xdr:col>
      <xdr:colOff>0</xdr:colOff>
      <xdr:row>19</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BCE7CC3C-488B-4FED-B57F-EFD116D5179A}"/>
            </a:ext>
          </a:extLst>
        </xdr:cNvPr>
        <xdr:cNvSpPr/>
      </xdr:nvSpPr>
      <xdr:spPr>
        <a:xfrm>
          <a:off x="7991475" y="428625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43</xdr:row>
      <xdr:rowOff>28575</xdr:rowOff>
    </xdr:from>
    <xdr:to>
      <xdr:col>7</xdr:col>
      <xdr:colOff>0</xdr:colOff>
      <xdr:row>43</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0C9F16A0-EE17-47F2-813C-6EAF7D902D01}"/>
            </a:ext>
          </a:extLst>
        </xdr:cNvPr>
        <xdr:cNvSpPr/>
      </xdr:nvSpPr>
      <xdr:spPr>
        <a:xfrm>
          <a:off x="7991475" y="94773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57</xdr:row>
      <xdr:rowOff>28575</xdr:rowOff>
    </xdr:from>
    <xdr:to>
      <xdr:col>7</xdr:col>
      <xdr:colOff>0</xdr:colOff>
      <xdr:row>57</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A202CC7D-43A7-4A91-8100-830C2C3EA5C4}"/>
            </a:ext>
          </a:extLst>
        </xdr:cNvPr>
        <xdr:cNvSpPr/>
      </xdr:nvSpPr>
      <xdr:spPr>
        <a:xfrm>
          <a:off x="7991475" y="125253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73</xdr:row>
      <xdr:rowOff>28575</xdr:rowOff>
    </xdr:from>
    <xdr:to>
      <xdr:col>7</xdr:col>
      <xdr:colOff>0</xdr:colOff>
      <xdr:row>73</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899A573-9274-42A1-8B6F-9CD5DBF95FBA}"/>
            </a:ext>
          </a:extLst>
        </xdr:cNvPr>
        <xdr:cNvSpPr/>
      </xdr:nvSpPr>
      <xdr:spPr>
        <a:xfrm>
          <a:off x="7991475" y="160115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88</xdr:row>
      <xdr:rowOff>28575</xdr:rowOff>
    </xdr:from>
    <xdr:to>
      <xdr:col>7</xdr:col>
      <xdr:colOff>0</xdr:colOff>
      <xdr:row>88</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5314DA04-13BF-4B97-81E0-45F16C40FF5C}"/>
            </a:ext>
          </a:extLst>
        </xdr:cNvPr>
        <xdr:cNvSpPr/>
      </xdr:nvSpPr>
      <xdr:spPr>
        <a:xfrm>
          <a:off x="7991475" y="1927860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99</xdr:row>
      <xdr:rowOff>28575</xdr:rowOff>
    </xdr:from>
    <xdr:to>
      <xdr:col>7</xdr:col>
      <xdr:colOff>0</xdr:colOff>
      <xdr:row>99</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CFE8379-4C6D-4EBF-8597-A142839A5093}"/>
            </a:ext>
          </a:extLst>
        </xdr:cNvPr>
        <xdr:cNvSpPr/>
      </xdr:nvSpPr>
      <xdr:spPr>
        <a:xfrm>
          <a:off x="7991475" y="217074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1601856</xdr:colOff>
      <xdr:row>112</xdr:row>
      <xdr:rowOff>36858</xdr:rowOff>
    </xdr:from>
    <xdr:to>
      <xdr:col>7</xdr:col>
      <xdr:colOff>24848</xdr:colOff>
      <xdr:row>112</xdr:row>
      <xdr:rowOff>313083</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374B5477-F329-4553-92A6-517B1B52C9E0}"/>
            </a:ext>
          </a:extLst>
        </xdr:cNvPr>
        <xdr:cNvSpPr/>
      </xdr:nvSpPr>
      <xdr:spPr>
        <a:xfrm>
          <a:off x="8107431" y="24582783"/>
          <a:ext cx="1280492"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128</xdr:row>
      <xdr:rowOff>28575</xdr:rowOff>
    </xdr:from>
    <xdr:to>
      <xdr:col>7</xdr:col>
      <xdr:colOff>0</xdr:colOff>
      <xdr:row>128</xdr:row>
      <xdr:rowOff>304800</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2310645F-D01E-4DC6-A499-4090EB884C0E}"/>
            </a:ext>
          </a:extLst>
        </xdr:cNvPr>
        <xdr:cNvSpPr/>
      </xdr:nvSpPr>
      <xdr:spPr>
        <a:xfrm>
          <a:off x="7991475" y="2803207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146</xdr:row>
      <xdr:rowOff>28575</xdr:rowOff>
    </xdr:from>
    <xdr:to>
      <xdr:col>7</xdr:col>
      <xdr:colOff>0</xdr:colOff>
      <xdr:row>146</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6231E579-8DFD-4DB7-9BFA-5663823461AB}"/>
            </a:ext>
          </a:extLst>
        </xdr:cNvPr>
        <xdr:cNvSpPr/>
      </xdr:nvSpPr>
      <xdr:spPr>
        <a:xfrm>
          <a:off x="7991475" y="3190875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162</xdr:row>
      <xdr:rowOff>28575</xdr:rowOff>
    </xdr:from>
    <xdr:to>
      <xdr:col>7</xdr:col>
      <xdr:colOff>0</xdr:colOff>
      <xdr:row>162</xdr:row>
      <xdr:rowOff>304800</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FFA9562B-81EF-4A88-82CE-AF8C4DF45DCC}"/>
            </a:ext>
          </a:extLst>
        </xdr:cNvPr>
        <xdr:cNvSpPr/>
      </xdr:nvSpPr>
      <xdr:spPr>
        <a:xfrm>
          <a:off x="7991475" y="353663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179</xdr:row>
      <xdr:rowOff>28575</xdr:rowOff>
    </xdr:from>
    <xdr:to>
      <xdr:col>7</xdr:col>
      <xdr:colOff>0</xdr:colOff>
      <xdr:row>179</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0F6C88AC-E27F-4D1F-B123-7D21EA0E0E87}"/>
            </a:ext>
          </a:extLst>
        </xdr:cNvPr>
        <xdr:cNvSpPr/>
      </xdr:nvSpPr>
      <xdr:spPr>
        <a:xfrm>
          <a:off x="7991475" y="39052500"/>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65.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7D07C3B0-64F2-4A66-AE78-0FCBA1FF7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1485900</xdr:colOff>
      <xdr:row>1</xdr:row>
      <xdr:rowOff>28575</xdr:rowOff>
    </xdr:from>
    <xdr:to>
      <xdr:col>7</xdr:col>
      <xdr:colOff>0</xdr:colOff>
      <xdr:row>1</xdr:row>
      <xdr:rowOff>304800</xdr:rowOff>
    </xdr:to>
    <xdr:sp macro="" textlink="">
      <xdr:nvSpPr>
        <xdr:cNvPr id="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B62397A9-5562-4F0F-A0D4-40F33E15B4F8}"/>
            </a:ext>
          </a:extLst>
        </xdr:cNvPr>
        <xdr:cNvSpPr/>
      </xdr:nvSpPr>
      <xdr:spPr>
        <a:xfrm>
          <a:off x="4267200" y="190500"/>
          <a:ext cx="0" cy="133350"/>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17</xdr:row>
      <xdr:rowOff>28575</xdr:rowOff>
    </xdr:from>
    <xdr:to>
      <xdr:col>7</xdr:col>
      <xdr:colOff>0</xdr:colOff>
      <xdr:row>17</xdr:row>
      <xdr:rowOff>304800</xdr:rowOff>
    </xdr:to>
    <xdr:sp macro="" textlink="">
      <xdr:nvSpPr>
        <xdr:cNvPr id="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35818AB0-FBB0-40E3-BDC7-1AAAE7F9BC41}"/>
            </a:ext>
          </a:extLst>
        </xdr:cNvPr>
        <xdr:cNvSpPr/>
      </xdr:nvSpPr>
      <xdr:spPr>
        <a:xfrm>
          <a:off x="78771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35</xdr:row>
      <xdr:rowOff>28575</xdr:rowOff>
    </xdr:from>
    <xdr:to>
      <xdr:col>7</xdr:col>
      <xdr:colOff>0</xdr:colOff>
      <xdr:row>35</xdr:row>
      <xdr:rowOff>304800</xdr:rowOff>
    </xdr:to>
    <xdr:sp macro="" textlink="">
      <xdr:nvSpPr>
        <xdr:cNvPr id="4"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94725F9F-035E-4797-9B98-792808744EEB}"/>
            </a:ext>
          </a:extLst>
        </xdr:cNvPr>
        <xdr:cNvSpPr/>
      </xdr:nvSpPr>
      <xdr:spPr>
        <a:xfrm>
          <a:off x="79248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50</xdr:row>
      <xdr:rowOff>28575</xdr:rowOff>
    </xdr:from>
    <xdr:to>
      <xdr:col>7</xdr:col>
      <xdr:colOff>0</xdr:colOff>
      <xdr:row>50</xdr:row>
      <xdr:rowOff>304800</xdr:rowOff>
    </xdr:to>
    <xdr:sp macro="" textlink="">
      <xdr:nvSpPr>
        <xdr:cNvPr id="5"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7764B07-6621-4A7B-B83A-7958E13AB7FB}"/>
            </a:ext>
          </a:extLst>
        </xdr:cNvPr>
        <xdr:cNvSpPr/>
      </xdr:nvSpPr>
      <xdr:spPr>
        <a:xfrm>
          <a:off x="782002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66</xdr:row>
      <xdr:rowOff>28575</xdr:rowOff>
    </xdr:from>
    <xdr:to>
      <xdr:col>7</xdr:col>
      <xdr:colOff>0</xdr:colOff>
      <xdr:row>66</xdr:row>
      <xdr:rowOff>304800</xdr:rowOff>
    </xdr:to>
    <xdr:sp macro="" textlink="">
      <xdr:nvSpPr>
        <xdr:cNvPr id="6"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B596FEC1-528D-4BB9-AB30-53E5E156FB49}"/>
            </a:ext>
          </a:extLst>
        </xdr:cNvPr>
        <xdr:cNvSpPr/>
      </xdr:nvSpPr>
      <xdr:spPr>
        <a:xfrm>
          <a:off x="78009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79</xdr:row>
      <xdr:rowOff>28575</xdr:rowOff>
    </xdr:from>
    <xdr:to>
      <xdr:col>7</xdr:col>
      <xdr:colOff>0</xdr:colOff>
      <xdr:row>79</xdr:row>
      <xdr:rowOff>304800</xdr:rowOff>
    </xdr:to>
    <xdr:sp macro="" textlink="">
      <xdr:nvSpPr>
        <xdr:cNvPr id="7"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E650B9AE-FF04-4165-A7E6-AD5EFEF60B69}"/>
            </a:ext>
          </a:extLst>
        </xdr:cNvPr>
        <xdr:cNvSpPr/>
      </xdr:nvSpPr>
      <xdr:spPr>
        <a:xfrm>
          <a:off x="78295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90</xdr:row>
      <xdr:rowOff>28575</xdr:rowOff>
    </xdr:from>
    <xdr:to>
      <xdr:col>7</xdr:col>
      <xdr:colOff>0</xdr:colOff>
      <xdr:row>90</xdr:row>
      <xdr:rowOff>304800</xdr:rowOff>
    </xdr:to>
    <xdr:sp macro="" textlink="">
      <xdr:nvSpPr>
        <xdr:cNvPr id="8"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CF70FE58-2334-48AE-B887-68248CE6D2E6}"/>
            </a:ext>
          </a:extLst>
        </xdr:cNvPr>
        <xdr:cNvSpPr/>
      </xdr:nvSpPr>
      <xdr:spPr>
        <a:xfrm>
          <a:off x="78486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xdr:twoCellAnchor>
  <xdr:twoCellAnchor>
    <xdr:from>
      <xdr:col>6</xdr:col>
      <xdr:colOff>1485900</xdr:colOff>
      <xdr:row>108</xdr:row>
      <xdr:rowOff>28575</xdr:rowOff>
    </xdr:from>
    <xdr:to>
      <xdr:col>7</xdr:col>
      <xdr:colOff>0</xdr:colOff>
      <xdr:row>108</xdr:row>
      <xdr:rowOff>304800</xdr:rowOff>
    </xdr:to>
    <xdr:sp macro="" textlink="">
      <xdr:nvSpPr>
        <xdr:cNvPr id="9"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EB238EA-3426-4C5C-A96F-E9C189D57785}"/>
            </a:ext>
          </a:extLst>
        </xdr:cNvPr>
        <xdr:cNvSpPr/>
      </xdr:nvSpPr>
      <xdr:spPr>
        <a:xfrm>
          <a:off x="78676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125</xdr:row>
      <xdr:rowOff>28575</xdr:rowOff>
    </xdr:from>
    <xdr:to>
      <xdr:col>7</xdr:col>
      <xdr:colOff>0</xdr:colOff>
      <xdr:row>125</xdr:row>
      <xdr:rowOff>304800</xdr:rowOff>
    </xdr:to>
    <xdr:sp macro="" textlink="">
      <xdr:nvSpPr>
        <xdr:cNvPr id="10"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75835E34-1282-47A0-A865-3D4F46A5BFA9}"/>
            </a:ext>
          </a:extLst>
        </xdr:cNvPr>
        <xdr:cNvSpPr/>
      </xdr:nvSpPr>
      <xdr:spPr>
        <a:xfrm>
          <a:off x="7839075"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139</xdr:row>
      <xdr:rowOff>28575</xdr:rowOff>
    </xdr:from>
    <xdr:to>
      <xdr:col>7</xdr:col>
      <xdr:colOff>0</xdr:colOff>
      <xdr:row>139</xdr:row>
      <xdr:rowOff>304800</xdr:rowOff>
    </xdr:to>
    <xdr:sp macro="" textlink="">
      <xdr:nvSpPr>
        <xdr:cNvPr id="11"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2C15170B-2AF0-4AC5-811F-0DAD4ADE48EA}"/>
            </a:ext>
          </a:extLst>
        </xdr:cNvPr>
        <xdr:cNvSpPr/>
      </xdr:nvSpPr>
      <xdr:spPr>
        <a:xfrm>
          <a:off x="784860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1643269</xdr:colOff>
      <xdr:row>153</xdr:row>
      <xdr:rowOff>53423</xdr:rowOff>
    </xdr:from>
    <xdr:to>
      <xdr:col>6</xdr:col>
      <xdr:colOff>2840935</xdr:colOff>
      <xdr:row>154</xdr:row>
      <xdr:rowOff>6626</xdr:rowOff>
    </xdr:to>
    <xdr:sp macro="" textlink="">
      <xdr:nvSpPr>
        <xdr:cNvPr id="12"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8472FACE-A9DF-4F63-B145-D2E047EEAC07}"/>
            </a:ext>
          </a:extLst>
        </xdr:cNvPr>
        <xdr:cNvSpPr/>
      </xdr:nvSpPr>
      <xdr:spPr>
        <a:xfrm>
          <a:off x="8045726" y="33034771"/>
          <a:ext cx="1197666"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twoCellAnchor>
    <xdr:from>
      <xdr:col>6</xdr:col>
      <xdr:colOff>1485900</xdr:colOff>
      <xdr:row>173</xdr:row>
      <xdr:rowOff>28575</xdr:rowOff>
    </xdr:from>
    <xdr:to>
      <xdr:col>7</xdr:col>
      <xdr:colOff>0</xdr:colOff>
      <xdr:row>173</xdr:row>
      <xdr:rowOff>304800</xdr:rowOff>
    </xdr:to>
    <xdr:sp macro="" textlink="">
      <xdr:nvSpPr>
        <xdr:cNvPr id="13" name="btnSummary" descr="Clicking on this shape selects the Summary worksheet." title="Summary Navigation Button">
          <a:hlinkClick xmlns:r="http://schemas.openxmlformats.org/officeDocument/2006/relationships" r:id="rId1" tooltip="Click to view Monthly Summary"/>
          <a:extLst>
            <a:ext uri="{FF2B5EF4-FFF2-40B4-BE49-F238E27FC236}">
              <a16:creationId xmlns:a16="http://schemas.microsoft.com/office/drawing/2014/main" xmlns="" id="{DC2ED8E1-B26A-4D27-B5C9-EEC3FAFE2648}"/>
            </a:ext>
          </a:extLst>
        </xdr:cNvPr>
        <xdr:cNvSpPr/>
      </xdr:nvSpPr>
      <xdr:spPr>
        <a:xfrm>
          <a:off x="8020050" y="238125"/>
          <a:ext cx="1371600" cy="27622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Summary</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590550</xdr:colOff>
      <xdr:row>34</xdr:row>
      <xdr:rowOff>152400</xdr:rowOff>
    </xdr:to>
    <xdr:graphicFrame macro="">
      <xdr:nvGraphicFramePr>
        <xdr:cNvPr id="2" name="Chart 1">
          <a:extLst>
            <a:ext uri="{FF2B5EF4-FFF2-40B4-BE49-F238E27FC236}">
              <a16:creationId xmlns:a16="http://schemas.microsoft.com/office/drawing/2014/main" xmlns="" id="{8966CE8F-C881-43C9-8A47-61BDD8BBD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190499</xdr:colOff>
      <xdr:row>4</xdr:row>
      <xdr:rowOff>123824</xdr:rowOff>
    </xdr:from>
    <xdr:to>
      <xdr:col>16</xdr:col>
      <xdr:colOff>104774</xdr:colOff>
      <xdr:row>16</xdr:row>
      <xdr:rowOff>180975</xdr:rowOff>
    </xdr:to>
    <xdr:graphicFrame macro="">
      <xdr:nvGraphicFramePr>
        <xdr:cNvPr id="2" name="ExpenseTrends" descr="Column chart showing monthly expenses by category." title="Expense Trends Chart">
          <a:extLst>
            <a:ext uri="{FF2B5EF4-FFF2-40B4-BE49-F238E27FC236}">
              <a16:creationId xmlns:a16="http://schemas.microsoft.com/office/drawing/2014/main" xmlns="" id="{D6638761-46CB-49E1-B617-5C01812C6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3</xdr:row>
      <xdr:rowOff>47625</xdr:rowOff>
    </xdr:from>
    <xdr:to>
      <xdr:col>15</xdr:col>
      <xdr:colOff>600075</xdr:colOff>
      <xdr:row>4</xdr:row>
      <xdr:rowOff>66675</xdr:rowOff>
    </xdr:to>
    <xdr:sp macro="" textlink="">
      <xdr:nvSpPr>
        <xdr:cNvPr id="3" name="btnTips" descr="Clicking on this shape selects the Template Tips worksheet." title="Tips Navigation Button">
          <a:hlinkClick xmlns:r="http://schemas.openxmlformats.org/officeDocument/2006/relationships" r:id="rId2" tooltip="Click to view Template Tips"/>
          <a:extLst>
            <a:ext uri="{FF2B5EF4-FFF2-40B4-BE49-F238E27FC236}">
              <a16:creationId xmlns:a16="http://schemas.microsoft.com/office/drawing/2014/main" xmlns="" id="{304955F6-4C42-48B5-9913-5B4E4F6C5033}"/>
            </a:ext>
          </a:extLst>
        </xdr:cNvPr>
        <xdr:cNvSpPr/>
      </xdr:nvSpPr>
      <xdr:spPr>
        <a:xfrm>
          <a:off x="8648700" y="533400"/>
          <a:ext cx="109537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Tips</a:t>
          </a:r>
        </a:p>
      </xdr:txBody>
    </xdr:sp>
    <xdr:clientData fPrintsWithSheet="0"/>
  </xdr:twoCellAnchor>
  <xdr:twoCellAnchor>
    <xdr:from>
      <xdr:col>13</xdr:col>
      <xdr:colOff>0</xdr:colOff>
      <xdr:row>3</xdr:row>
      <xdr:rowOff>47625</xdr:rowOff>
    </xdr:from>
    <xdr:to>
      <xdr:col>13</xdr:col>
      <xdr:colOff>640080</xdr:colOff>
      <xdr:row>4</xdr:row>
      <xdr:rowOff>66675</xdr:rowOff>
    </xdr:to>
    <xdr:sp macro="" textlink="">
      <xdr:nvSpPr>
        <xdr:cNvPr id="4" name="btnDec" descr="Click to view the December expenses worksheet." title="December Navigation Button">
          <a:hlinkClick xmlns:r="http://schemas.openxmlformats.org/officeDocument/2006/relationships" r:id="rId3" tooltip="Click to view December expenses"/>
          <a:extLst>
            <a:ext uri="{FF2B5EF4-FFF2-40B4-BE49-F238E27FC236}">
              <a16:creationId xmlns:a16="http://schemas.microsoft.com/office/drawing/2014/main" xmlns="" id="{89666D73-A7E8-4524-B169-59A4CBB62F45}"/>
            </a:ext>
          </a:extLst>
        </xdr:cNvPr>
        <xdr:cNvSpPr/>
      </xdr:nvSpPr>
      <xdr:spPr>
        <a:xfrm>
          <a:off x="7924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Dec</a:t>
          </a:r>
        </a:p>
      </xdr:txBody>
    </xdr:sp>
    <xdr:clientData/>
  </xdr:twoCellAnchor>
  <xdr:twoCellAnchor>
    <xdr:from>
      <xdr:col>12</xdr:col>
      <xdr:colOff>0</xdr:colOff>
      <xdr:row>3</xdr:row>
      <xdr:rowOff>47625</xdr:rowOff>
    </xdr:from>
    <xdr:to>
      <xdr:col>12</xdr:col>
      <xdr:colOff>640080</xdr:colOff>
      <xdr:row>4</xdr:row>
      <xdr:rowOff>66675</xdr:rowOff>
    </xdr:to>
    <xdr:sp macro="" textlink="">
      <xdr:nvSpPr>
        <xdr:cNvPr id="5" name="btnNov" descr="Click to view the November expenses worksheet." title="November Navigation Button">
          <a:hlinkClick xmlns:r="http://schemas.openxmlformats.org/officeDocument/2006/relationships" r:id="rId4" tooltip="Click to view November expenses"/>
          <a:extLst>
            <a:ext uri="{FF2B5EF4-FFF2-40B4-BE49-F238E27FC236}">
              <a16:creationId xmlns:a16="http://schemas.microsoft.com/office/drawing/2014/main" xmlns="" id="{BF130A25-9483-48F7-9917-A87D9A8C2749}"/>
            </a:ext>
          </a:extLst>
        </xdr:cNvPr>
        <xdr:cNvSpPr/>
      </xdr:nvSpPr>
      <xdr:spPr>
        <a:xfrm>
          <a:off x="7315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Nov</a:t>
          </a:r>
        </a:p>
      </xdr:txBody>
    </xdr:sp>
    <xdr:clientData/>
  </xdr:twoCellAnchor>
  <xdr:twoCellAnchor>
    <xdr:from>
      <xdr:col>11</xdr:col>
      <xdr:colOff>0</xdr:colOff>
      <xdr:row>3</xdr:row>
      <xdr:rowOff>47625</xdr:rowOff>
    </xdr:from>
    <xdr:to>
      <xdr:col>11</xdr:col>
      <xdr:colOff>640080</xdr:colOff>
      <xdr:row>4</xdr:row>
      <xdr:rowOff>66675</xdr:rowOff>
    </xdr:to>
    <xdr:sp macro="" textlink="">
      <xdr:nvSpPr>
        <xdr:cNvPr id="6" name="btnOct" descr="Click to view the October expenses worksheet." title="October Navigation Button">
          <a:hlinkClick xmlns:r="http://schemas.openxmlformats.org/officeDocument/2006/relationships" r:id="rId5" tooltip="Click to view October expenses"/>
          <a:extLst>
            <a:ext uri="{FF2B5EF4-FFF2-40B4-BE49-F238E27FC236}">
              <a16:creationId xmlns:a16="http://schemas.microsoft.com/office/drawing/2014/main" xmlns="" id="{FE26AC11-A63C-4FA0-B3F6-08E2AEF222FB}"/>
            </a:ext>
          </a:extLst>
        </xdr:cNvPr>
        <xdr:cNvSpPr/>
      </xdr:nvSpPr>
      <xdr:spPr>
        <a:xfrm>
          <a:off x="6705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Oct</a:t>
          </a:r>
        </a:p>
      </xdr:txBody>
    </xdr:sp>
    <xdr:clientData/>
  </xdr:twoCellAnchor>
  <xdr:twoCellAnchor>
    <xdr:from>
      <xdr:col>10</xdr:col>
      <xdr:colOff>0</xdr:colOff>
      <xdr:row>3</xdr:row>
      <xdr:rowOff>47625</xdr:rowOff>
    </xdr:from>
    <xdr:to>
      <xdr:col>10</xdr:col>
      <xdr:colOff>640080</xdr:colOff>
      <xdr:row>4</xdr:row>
      <xdr:rowOff>66675</xdr:rowOff>
    </xdr:to>
    <xdr:sp macro="" textlink="">
      <xdr:nvSpPr>
        <xdr:cNvPr id="7" name="btnSep" descr="Click to view the September expenses worksheet." title="September Navigation Button">
          <a:hlinkClick xmlns:r="http://schemas.openxmlformats.org/officeDocument/2006/relationships" r:id="rId6" tooltip="Click to view September expenses"/>
          <a:extLst>
            <a:ext uri="{FF2B5EF4-FFF2-40B4-BE49-F238E27FC236}">
              <a16:creationId xmlns:a16="http://schemas.microsoft.com/office/drawing/2014/main" xmlns="" id="{BEF5256D-C1C1-4F6B-9748-41833055E88B}"/>
            </a:ext>
          </a:extLst>
        </xdr:cNvPr>
        <xdr:cNvSpPr/>
      </xdr:nvSpPr>
      <xdr:spPr>
        <a:xfrm>
          <a:off x="6096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Sep</a:t>
          </a:r>
        </a:p>
      </xdr:txBody>
    </xdr:sp>
    <xdr:clientData/>
  </xdr:twoCellAnchor>
  <xdr:twoCellAnchor>
    <xdr:from>
      <xdr:col>9</xdr:col>
      <xdr:colOff>0</xdr:colOff>
      <xdr:row>3</xdr:row>
      <xdr:rowOff>47625</xdr:rowOff>
    </xdr:from>
    <xdr:to>
      <xdr:col>9</xdr:col>
      <xdr:colOff>640080</xdr:colOff>
      <xdr:row>4</xdr:row>
      <xdr:rowOff>66675</xdr:rowOff>
    </xdr:to>
    <xdr:sp macro="" textlink="">
      <xdr:nvSpPr>
        <xdr:cNvPr id="8" name="btnAug" descr="Click to view the August expenses worksheet." title="August Navigation Button">
          <a:hlinkClick xmlns:r="http://schemas.openxmlformats.org/officeDocument/2006/relationships" r:id="rId7" tooltip="Click to view August expenses"/>
          <a:extLst>
            <a:ext uri="{FF2B5EF4-FFF2-40B4-BE49-F238E27FC236}">
              <a16:creationId xmlns:a16="http://schemas.microsoft.com/office/drawing/2014/main" xmlns="" id="{40043746-D53F-4921-AE1A-FEEE2B638A51}"/>
            </a:ext>
          </a:extLst>
        </xdr:cNvPr>
        <xdr:cNvSpPr/>
      </xdr:nvSpPr>
      <xdr:spPr>
        <a:xfrm>
          <a:off x="5486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Aug</a:t>
          </a:r>
        </a:p>
      </xdr:txBody>
    </xdr:sp>
    <xdr:clientData/>
  </xdr:twoCellAnchor>
  <xdr:twoCellAnchor>
    <xdr:from>
      <xdr:col>8</xdr:col>
      <xdr:colOff>0</xdr:colOff>
      <xdr:row>3</xdr:row>
      <xdr:rowOff>47625</xdr:rowOff>
    </xdr:from>
    <xdr:to>
      <xdr:col>8</xdr:col>
      <xdr:colOff>640080</xdr:colOff>
      <xdr:row>4</xdr:row>
      <xdr:rowOff>66675</xdr:rowOff>
    </xdr:to>
    <xdr:sp macro="" textlink="">
      <xdr:nvSpPr>
        <xdr:cNvPr id="9" name="btnJul" descr="Click to view the July expenses worksheet." title="July Navigation Button">
          <a:hlinkClick xmlns:r="http://schemas.openxmlformats.org/officeDocument/2006/relationships" r:id="rId8" tooltip="Click to view July expenses"/>
          <a:extLst>
            <a:ext uri="{FF2B5EF4-FFF2-40B4-BE49-F238E27FC236}">
              <a16:creationId xmlns:a16="http://schemas.microsoft.com/office/drawing/2014/main" xmlns="" id="{730E372B-EC16-4F36-8BCA-2841ED94DFEA}"/>
            </a:ext>
          </a:extLst>
        </xdr:cNvPr>
        <xdr:cNvSpPr/>
      </xdr:nvSpPr>
      <xdr:spPr>
        <a:xfrm>
          <a:off x="4876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Jul</a:t>
          </a:r>
        </a:p>
      </xdr:txBody>
    </xdr:sp>
    <xdr:clientData/>
  </xdr:twoCellAnchor>
  <xdr:twoCellAnchor>
    <xdr:from>
      <xdr:col>7</xdr:col>
      <xdr:colOff>0</xdr:colOff>
      <xdr:row>3</xdr:row>
      <xdr:rowOff>47625</xdr:rowOff>
    </xdr:from>
    <xdr:to>
      <xdr:col>7</xdr:col>
      <xdr:colOff>640080</xdr:colOff>
      <xdr:row>4</xdr:row>
      <xdr:rowOff>66675</xdr:rowOff>
    </xdr:to>
    <xdr:sp macro="" textlink="">
      <xdr:nvSpPr>
        <xdr:cNvPr id="10" name="btnJun" descr="Click to view the June expenses worksheet." title="June Navigation Button">
          <a:hlinkClick xmlns:r="http://schemas.openxmlformats.org/officeDocument/2006/relationships" r:id="rId9" tooltip="Click to view June expenses"/>
          <a:extLst>
            <a:ext uri="{FF2B5EF4-FFF2-40B4-BE49-F238E27FC236}">
              <a16:creationId xmlns:a16="http://schemas.microsoft.com/office/drawing/2014/main" xmlns="" id="{4EFFD519-B216-43DF-A177-0E099DE3498B}"/>
            </a:ext>
          </a:extLst>
        </xdr:cNvPr>
        <xdr:cNvSpPr/>
      </xdr:nvSpPr>
      <xdr:spPr>
        <a:xfrm>
          <a:off x="42672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Jun</a:t>
          </a:r>
        </a:p>
      </xdr:txBody>
    </xdr:sp>
    <xdr:clientData/>
  </xdr:twoCellAnchor>
  <xdr:twoCellAnchor>
    <xdr:from>
      <xdr:col>6</xdr:col>
      <xdr:colOff>0</xdr:colOff>
      <xdr:row>3</xdr:row>
      <xdr:rowOff>47625</xdr:rowOff>
    </xdr:from>
    <xdr:to>
      <xdr:col>6</xdr:col>
      <xdr:colOff>640080</xdr:colOff>
      <xdr:row>4</xdr:row>
      <xdr:rowOff>66675</xdr:rowOff>
    </xdr:to>
    <xdr:sp macro="" textlink="">
      <xdr:nvSpPr>
        <xdr:cNvPr id="11" name="btnMay" descr="Click to view the May expenses worksheet." title="May Navigation Button">
          <a:hlinkClick xmlns:r="http://schemas.openxmlformats.org/officeDocument/2006/relationships" r:id="rId10" tooltip="Click to view May expenses"/>
          <a:extLst>
            <a:ext uri="{FF2B5EF4-FFF2-40B4-BE49-F238E27FC236}">
              <a16:creationId xmlns:a16="http://schemas.microsoft.com/office/drawing/2014/main" xmlns="" id="{491387ED-357A-43B3-BA71-83CAE53C5A89}"/>
            </a:ext>
          </a:extLst>
        </xdr:cNvPr>
        <xdr:cNvSpPr/>
      </xdr:nvSpPr>
      <xdr:spPr>
        <a:xfrm>
          <a:off x="36576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May</a:t>
          </a:r>
        </a:p>
      </xdr:txBody>
    </xdr:sp>
    <xdr:clientData/>
  </xdr:twoCellAnchor>
  <xdr:twoCellAnchor>
    <xdr:from>
      <xdr:col>5</xdr:col>
      <xdr:colOff>0</xdr:colOff>
      <xdr:row>3</xdr:row>
      <xdr:rowOff>47625</xdr:rowOff>
    </xdr:from>
    <xdr:to>
      <xdr:col>5</xdr:col>
      <xdr:colOff>640080</xdr:colOff>
      <xdr:row>4</xdr:row>
      <xdr:rowOff>66675</xdr:rowOff>
    </xdr:to>
    <xdr:sp macro="" textlink="">
      <xdr:nvSpPr>
        <xdr:cNvPr id="12" name="btnApr" descr="Click to view the April expenses worksheet." title="April Navigation Button">
          <a:hlinkClick xmlns:r="http://schemas.openxmlformats.org/officeDocument/2006/relationships" r:id="rId11" tooltip="Click to view April expenses"/>
          <a:extLst>
            <a:ext uri="{FF2B5EF4-FFF2-40B4-BE49-F238E27FC236}">
              <a16:creationId xmlns:a16="http://schemas.microsoft.com/office/drawing/2014/main" xmlns="" id="{E707B93D-C150-4D01-A1F2-972F7061EE75}"/>
            </a:ext>
          </a:extLst>
        </xdr:cNvPr>
        <xdr:cNvSpPr/>
      </xdr:nvSpPr>
      <xdr:spPr>
        <a:xfrm>
          <a:off x="30480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Apr</a:t>
          </a:r>
        </a:p>
      </xdr:txBody>
    </xdr:sp>
    <xdr:clientData/>
  </xdr:twoCellAnchor>
  <xdr:twoCellAnchor>
    <xdr:from>
      <xdr:col>4</xdr:col>
      <xdr:colOff>0</xdr:colOff>
      <xdr:row>3</xdr:row>
      <xdr:rowOff>47625</xdr:rowOff>
    </xdr:from>
    <xdr:to>
      <xdr:col>4</xdr:col>
      <xdr:colOff>640080</xdr:colOff>
      <xdr:row>4</xdr:row>
      <xdr:rowOff>66675</xdr:rowOff>
    </xdr:to>
    <xdr:sp macro="" textlink="">
      <xdr:nvSpPr>
        <xdr:cNvPr id="13" name="btnMar" descr="Click to view the March expenses worksheet." title="March Navigation Button">
          <a:hlinkClick xmlns:r="http://schemas.openxmlformats.org/officeDocument/2006/relationships" r:id="rId12" tooltip="Click to view March expenses"/>
          <a:extLst>
            <a:ext uri="{FF2B5EF4-FFF2-40B4-BE49-F238E27FC236}">
              <a16:creationId xmlns:a16="http://schemas.microsoft.com/office/drawing/2014/main" xmlns="" id="{391136CE-E040-4F9C-BA58-B4F2B6122C47}"/>
            </a:ext>
          </a:extLst>
        </xdr:cNvPr>
        <xdr:cNvSpPr/>
      </xdr:nvSpPr>
      <xdr:spPr>
        <a:xfrm>
          <a:off x="24384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Mar</a:t>
          </a:r>
        </a:p>
      </xdr:txBody>
    </xdr:sp>
    <xdr:clientData/>
  </xdr:twoCellAnchor>
  <xdr:twoCellAnchor>
    <xdr:from>
      <xdr:col>3</xdr:col>
      <xdr:colOff>0</xdr:colOff>
      <xdr:row>3</xdr:row>
      <xdr:rowOff>47625</xdr:rowOff>
    </xdr:from>
    <xdr:to>
      <xdr:col>3</xdr:col>
      <xdr:colOff>640080</xdr:colOff>
      <xdr:row>4</xdr:row>
      <xdr:rowOff>66675</xdr:rowOff>
    </xdr:to>
    <xdr:sp macro="" textlink="">
      <xdr:nvSpPr>
        <xdr:cNvPr id="14" name="btnFeb" descr="Click to view the February expenses worksheet." title="Februaru Navigation Button">
          <a:hlinkClick xmlns:r="http://schemas.openxmlformats.org/officeDocument/2006/relationships" r:id="rId13" tooltip="Click to view February expenses"/>
          <a:extLst>
            <a:ext uri="{FF2B5EF4-FFF2-40B4-BE49-F238E27FC236}">
              <a16:creationId xmlns:a16="http://schemas.microsoft.com/office/drawing/2014/main" xmlns="" id="{B90607F0-D2F8-4BCB-966C-393B07F9497C}"/>
            </a:ext>
          </a:extLst>
        </xdr:cNvPr>
        <xdr:cNvSpPr/>
      </xdr:nvSpPr>
      <xdr:spPr>
        <a:xfrm>
          <a:off x="1828800" y="533400"/>
          <a:ext cx="611505"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Feb</a:t>
          </a:r>
        </a:p>
      </xdr:txBody>
    </xdr:sp>
    <xdr:clientData/>
  </xdr:twoCellAnchor>
  <xdr:twoCellAnchor>
    <xdr:from>
      <xdr:col>2</xdr:col>
      <xdr:colOff>9525</xdr:colOff>
      <xdr:row>3</xdr:row>
      <xdr:rowOff>47625</xdr:rowOff>
    </xdr:from>
    <xdr:to>
      <xdr:col>2</xdr:col>
      <xdr:colOff>649605</xdr:colOff>
      <xdr:row>4</xdr:row>
      <xdr:rowOff>66675</xdr:rowOff>
    </xdr:to>
    <xdr:sp macro="" textlink="">
      <xdr:nvSpPr>
        <xdr:cNvPr id="15" name="btnJan" descr="Click to view the January expenses worksheet." title="January Navigation Button">
          <a:hlinkClick xmlns:r="http://schemas.openxmlformats.org/officeDocument/2006/relationships" r:id="rId14" tooltip="Click to view January expenses"/>
          <a:extLst>
            <a:ext uri="{FF2B5EF4-FFF2-40B4-BE49-F238E27FC236}">
              <a16:creationId xmlns:a16="http://schemas.microsoft.com/office/drawing/2014/main" xmlns="" id="{011E5049-43D3-4D99-A552-88E4B016E9BD}"/>
            </a:ext>
          </a:extLst>
        </xdr:cNvPr>
        <xdr:cNvSpPr/>
      </xdr:nvSpPr>
      <xdr:spPr>
        <a:xfrm>
          <a:off x="1228725" y="533400"/>
          <a:ext cx="601980" cy="180975"/>
        </a:xfrm>
        <a:prstGeom prst="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50" b="1">
              <a:solidFill>
                <a:schemeClr val="bg1"/>
              </a:solidFill>
            </a:rPr>
            <a:t>Jan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202016/All%20Buses%20SOGR/Out%20of%20Service%20Buses/Out%20of%20Service%20tracker%20C-Y%20201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CAT-18/CAT-FY%2018/Bus%20203/BUS%20203%20Year%205%20FY%2018%20(version%201).xlsb.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CAT-18/CAT-FY%2018/Bus%20302/BUS%20302%20FY%2018%20year%20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CAT-18/CAT-FY%2018/Bus%20303/BUS%20303%20Year%207%20FY1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CAT-18/CAT-FY%2018/Bus%20304/BUS%20304%20Year%206%20FY1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CAT-18/CAT-FY%2018/Bus%20306/BUS%20306%20Year%206%20FY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CAT-18/CAT-FY%2018/Bus%20307/BUS%20%20307%20Year%206%20FY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CAT-18/CAT-FY%2018/Bus%20308/BUS%20308%20Year%206%20FY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CAT-18/CAT-FY%2018/Bus%20309/BUS%20309%20Year%206%20FY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CAT-18/CAT-FY%2018/Bus%20310/BUS%20310%20Year%206%20FY1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CAT-18/CAT-FY%2018/Bus%20311/BUS%20311%20Year%206%20FY%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202016/Bus%20309/BUS%20309%20Year%204%2020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202016/Bus%20202/BUS%20202%20Year%201%20201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CAT-18/CAT-FY%2018/Bus%20403/BUS%20403%20Year%202%20FY%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CAT-18/CAT-FY%2018/Bus%20201/BUS%20201%20Year%206%20FY%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CAT-18/CAT-FY%2018/Bus%20202/BUS%20202%20FY%2018%20%20Year%20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CAT-18/CAT-FY%2018/Bus%20301/BUS%20301%20Year%206%20FY%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202016/Bus%20304/BUS%20304%20Year%204%2020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202016/Bus%20310/BUS%20310%20Year%201%20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etorg3292049.sharepoint.com/shared/office/EXCELDAT/Safety%20and%20Security%20Officer/CAT%202016/Bus%20310/BUS%20310%20Year%205%20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netorg3292049.sharepoint.com/sites/EasyRiderSafety/Shared%20Documents/Safety%20and%20Security%20Officer/EXCELDAT/Data%20Monster%20FY18/PAST%20DM%2011.1.2017/FY18%20MOVTA-DMpart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Out of Service tracker C-Y 2016"/>
    </sheetNames>
    <sheetDataSet>
      <sheetData sheetId="0"/>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aug"/>
      <sheetName val="sep"/>
      <sheetName val="oct"/>
      <sheetName val="nov"/>
      <sheetName val="dec"/>
      <sheetName val="jan"/>
      <sheetName val="feb"/>
      <sheetName val="mar"/>
      <sheetName val="apr"/>
      <sheetName val="may"/>
      <sheetName val="jun"/>
      <sheetName val="Projected Maint Practices"/>
      <sheetName val="True Maint Practices"/>
      <sheetName val="PM LIST"/>
      <sheetName val="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Q7">
            <v>3864.33</v>
          </cell>
        </row>
        <row r="8">
          <cell r="Q8">
            <v>3864.33</v>
          </cell>
        </row>
        <row r="9">
          <cell r="Q9">
            <v>3864.33</v>
          </cell>
        </row>
        <row r="10">
          <cell r="Q10">
            <v>3864.33</v>
          </cell>
        </row>
        <row r="11">
          <cell r="Q11">
            <v>0</v>
          </cell>
        </row>
        <row r="12">
          <cell r="Q12">
            <v>0</v>
          </cell>
        </row>
        <row r="13">
          <cell r="Q13">
            <v>0</v>
          </cell>
        </row>
        <row r="14">
          <cell r="Q14">
            <v>0</v>
          </cell>
        </row>
        <row r="15">
          <cell r="Q15">
            <v>0</v>
          </cell>
        </row>
        <row r="16">
          <cell r="Q16">
            <v>0</v>
          </cell>
        </row>
        <row r="17">
          <cell r="Q17">
            <v>0</v>
          </cell>
        </row>
        <row r="18">
          <cell r="Q18">
            <v>0</v>
          </cell>
        </row>
      </sheetData>
      <sheetData sheetId="13">
        <row r="7">
          <cell r="Q7">
            <v>2273.5</v>
          </cell>
        </row>
        <row r="8">
          <cell r="Q8">
            <v>7329.5</v>
          </cell>
        </row>
        <row r="9">
          <cell r="Q9">
            <v>7426</v>
          </cell>
        </row>
        <row r="10">
          <cell r="Q10">
            <v>699</v>
          </cell>
        </row>
        <row r="11">
          <cell r="Q11">
            <v>0</v>
          </cell>
        </row>
        <row r="12">
          <cell r="Q12">
            <v>0</v>
          </cell>
        </row>
        <row r="13">
          <cell r="Q13">
            <v>0</v>
          </cell>
        </row>
        <row r="14">
          <cell r="Q14">
            <v>0</v>
          </cell>
        </row>
        <row r="15">
          <cell r="Q15">
            <v>0</v>
          </cell>
        </row>
        <row r="16">
          <cell r="Q16">
            <v>0</v>
          </cell>
        </row>
        <row r="17">
          <cell r="Q17">
            <v>0</v>
          </cell>
        </row>
        <row r="18">
          <cell r="Q18">
            <v>0</v>
          </cell>
        </row>
      </sheetData>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summary"/>
      <sheetName val="jul"/>
      <sheetName val="aug"/>
      <sheetName val="sep"/>
      <sheetName val="oct"/>
      <sheetName val="nov"/>
      <sheetName val="dec"/>
      <sheetName val="jan"/>
      <sheetName val="feb"/>
      <sheetName val="mar"/>
      <sheetName val="apr"/>
      <sheetName val="may"/>
      <sheetName val="jun"/>
      <sheetName val="Projected Maint Practices"/>
      <sheetName val="True Maint Practices"/>
      <sheetName val="PM LIST"/>
      <sheetName val="PM LIST (2)"/>
      <sheetName val="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Q7">
            <v>5178.7299999999996</v>
          </cell>
        </row>
        <row r="8">
          <cell r="Q8">
            <v>5178.7299999999996</v>
          </cell>
        </row>
        <row r="9">
          <cell r="Q9">
            <v>5178.7299999999996</v>
          </cell>
        </row>
        <row r="10">
          <cell r="Q10">
            <v>5178.7299999999996</v>
          </cell>
        </row>
        <row r="11">
          <cell r="Q11">
            <v>17505.73</v>
          </cell>
        </row>
        <row r="12">
          <cell r="Q12">
            <v>5178.7299999999996</v>
          </cell>
        </row>
        <row r="13">
          <cell r="Q13">
            <v>5178.7299999999996</v>
          </cell>
        </row>
        <row r="14">
          <cell r="Q14">
            <v>0</v>
          </cell>
        </row>
        <row r="15">
          <cell r="Q15">
            <v>0</v>
          </cell>
        </row>
        <row r="16">
          <cell r="Q16">
            <v>0</v>
          </cell>
        </row>
        <row r="17">
          <cell r="Q17">
            <v>0</v>
          </cell>
        </row>
        <row r="18">
          <cell r="Q18">
            <v>0</v>
          </cell>
        </row>
      </sheetData>
      <sheetData sheetId="15">
        <row r="7">
          <cell r="Q7">
            <v>240</v>
          </cell>
        </row>
        <row r="8">
          <cell r="Q8">
            <v>3799.1499999999996</v>
          </cell>
        </row>
        <row r="9">
          <cell r="Q9">
            <v>5421.92</v>
          </cell>
        </row>
        <row r="10">
          <cell r="Q10">
            <v>3782.77</v>
          </cell>
        </row>
        <row r="11">
          <cell r="Q11">
            <v>2946.8649999999998</v>
          </cell>
        </row>
        <row r="12">
          <cell r="Q12">
            <v>5320.9249999999993</v>
          </cell>
        </row>
        <row r="13">
          <cell r="Q13">
            <v>0</v>
          </cell>
        </row>
        <row r="14">
          <cell r="Q14">
            <v>0</v>
          </cell>
        </row>
        <row r="15">
          <cell r="Q15">
            <v>0</v>
          </cell>
        </row>
        <row r="16">
          <cell r="Q16">
            <v>0</v>
          </cell>
        </row>
        <row r="17">
          <cell r="Q17">
            <v>0</v>
          </cell>
        </row>
        <row r="18">
          <cell r="Q18">
            <v>0</v>
          </cell>
        </row>
      </sheetData>
      <sheetData sheetId="16"/>
      <sheetData sheetId="17"/>
      <sheetData sheetId="1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summary"/>
      <sheetName val="jul"/>
      <sheetName val="aug"/>
      <sheetName val="sep"/>
      <sheetName val="oct"/>
      <sheetName val="nov"/>
      <sheetName val="dec"/>
      <sheetName val="jan"/>
      <sheetName val="feb"/>
      <sheetName val="mar"/>
      <sheetName val="apr"/>
      <sheetName val="may"/>
      <sheetName val="jun"/>
      <sheetName val="Projected Maint Practices"/>
      <sheetName val="True Maint Practices"/>
      <sheetName val="PM LIST"/>
      <sheetName val="PM LIST (2)"/>
      <sheetName val="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Q7">
            <v>5237</v>
          </cell>
        </row>
        <row r="8">
          <cell r="Q8">
            <v>5237</v>
          </cell>
        </row>
        <row r="9">
          <cell r="Q9">
            <v>5237</v>
          </cell>
        </row>
        <row r="10">
          <cell r="Q10">
            <v>5237</v>
          </cell>
        </row>
        <row r="11">
          <cell r="Q11">
            <v>17564</v>
          </cell>
        </row>
        <row r="12">
          <cell r="Q12">
            <v>5237</v>
          </cell>
        </row>
        <row r="13">
          <cell r="Q13">
            <v>5237</v>
          </cell>
        </row>
        <row r="14">
          <cell r="Q14">
            <v>5237</v>
          </cell>
        </row>
        <row r="15">
          <cell r="Q15">
            <v>5237</v>
          </cell>
        </row>
        <row r="16">
          <cell r="Q16">
            <v>5237</v>
          </cell>
        </row>
        <row r="17">
          <cell r="Q17">
            <v>5237</v>
          </cell>
        </row>
        <row r="18">
          <cell r="Q18">
            <v>3256</v>
          </cell>
        </row>
      </sheetData>
      <sheetData sheetId="15">
        <row r="7">
          <cell r="Q7">
            <v>2698</v>
          </cell>
        </row>
        <row r="8">
          <cell r="Q8">
            <v>4072</v>
          </cell>
        </row>
        <row r="9">
          <cell r="Q9">
            <v>1125</v>
          </cell>
        </row>
        <row r="10">
          <cell r="Q10">
            <v>8683</v>
          </cell>
        </row>
        <row r="11">
          <cell r="Q11">
            <v>2864</v>
          </cell>
        </row>
        <row r="12">
          <cell r="Q12">
            <v>2573</v>
          </cell>
        </row>
        <row r="13">
          <cell r="Q13">
            <v>0</v>
          </cell>
        </row>
        <row r="14">
          <cell r="Q14">
            <v>0</v>
          </cell>
        </row>
        <row r="15">
          <cell r="Q15">
            <v>0</v>
          </cell>
        </row>
        <row r="16">
          <cell r="Q16">
            <v>0</v>
          </cell>
        </row>
        <row r="17">
          <cell r="Q17">
            <v>0</v>
          </cell>
        </row>
        <row r="18">
          <cell r="Q18">
            <v>0</v>
          </cell>
        </row>
      </sheetData>
      <sheetData sheetId="16"/>
      <sheetData sheetId="17"/>
      <sheetData sheetId="1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summary"/>
      <sheetName val="jul"/>
      <sheetName val="aug"/>
      <sheetName val="sep"/>
      <sheetName val="oct"/>
      <sheetName val="nov"/>
      <sheetName val="dec"/>
      <sheetName val="jan"/>
      <sheetName val="feb"/>
      <sheetName val="mar"/>
      <sheetName val="apr"/>
      <sheetName val="may"/>
      <sheetName val="jun"/>
      <sheetName val="Projected Maint Practices"/>
      <sheetName val="True Maint Practices"/>
      <sheetName val="PM LIST"/>
      <sheetName val="PM LIST (2)"/>
      <sheetName val="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Q7">
            <v>5237</v>
          </cell>
        </row>
        <row r="8">
          <cell r="Q8">
            <v>5237</v>
          </cell>
        </row>
        <row r="9">
          <cell r="Q9">
            <v>5237</v>
          </cell>
        </row>
        <row r="10">
          <cell r="Q10">
            <v>5237</v>
          </cell>
        </row>
        <row r="11">
          <cell r="Q11">
            <v>14091.25</v>
          </cell>
        </row>
        <row r="12">
          <cell r="Q12">
            <v>5237</v>
          </cell>
        </row>
        <row r="13">
          <cell r="Q13">
            <v>5237</v>
          </cell>
        </row>
        <row r="14">
          <cell r="Q14">
            <v>5237</v>
          </cell>
        </row>
        <row r="15">
          <cell r="Q15">
            <v>5237</v>
          </cell>
        </row>
        <row r="16">
          <cell r="Q16">
            <v>5237</v>
          </cell>
        </row>
        <row r="17">
          <cell r="Q17">
            <v>5237</v>
          </cell>
        </row>
        <row r="18">
          <cell r="Q18">
            <v>5237</v>
          </cell>
        </row>
      </sheetData>
      <sheetData sheetId="15">
        <row r="7">
          <cell r="Q7">
            <v>2698</v>
          </cell>
        </row>
        <row r="8">
          <cell r="Q8">
            <v>2897</v>
          </cell>
        </row>
        <row r="9">
          <cell r="Q9">
            <v>9047.25</v>
          </cell>
        </row>
        <row r="10">
          <cell r="Q10">
            <v>12911.25</v>
          </cell>
        </row>
        <row r="11">
          <cell r="Q11">
            <v>8526.25</v>
          </cell>
        </row>
        <row r="12">
          <cell r="Q12">
            <v>0</v>
          </cell>
        </row>
        <row r="13">
          <cell r="Q13">
            <v>0</v>
          </cell>
        </row>
        <row r="14">
          <cell r="Q14">
            <v>0</v>
          </cell>
        </row>
        <row r="15">
          <cell r="Q15">
            <v>0</v>
          </cell>
        </row>
        <row r="16">
          <cell r="Q16">
            <v>0</v>
          </cell>
        </row>
        <row r="17">
          <cell r="Q17">
            <v>0</v>
          </cell>
        </row>
        <row r="18">
          <cell r="Q18">
            <v>0</v>
          </cell>
        </row>
      </sheetData>
      <sheetData sheetId="16"/>
      <sheetData sheetId="17"/>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summary"/>
      <sheetName val="jul"/>
      <sheetName val="aug"/>
      <sheetName val="sep"/>
      <sheetName val="oct"/>
      <sheetName val="nov"/>
      <sheetName val="dec"/>
      <sheetName val="jan"/>
      <sheetName val="feb"/>
      <sheetName val="mar"/>
      <sheetName val="apr"/>
      <sheetName val="may"/>
      <sheetName val="jun"/>
      <sheetName val="Projected Maint Practices"/>
      <sheetName val="True Maint Practices"/>
      <sheetName val="PM LIST"/>
      <sheetName val="PM LIST (2)"/>
      <sheetName val="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Q7">
            <v>4913</v>
          </cell>
        </row>
        <row r="8">
          <cell r="Q8">
            <v>4913</v>
          </cell>
        </row>
        <row r="9">
          <cell r="Q9">
            <v>4913</v>
          </cell>
        </row>
        <row r="10">
          <cell r="Q10">
            <v>4913</v>
          </cell>
        </row>
        <row r="11">
          <cell r="Q11">
            <v>17239.669999999998</v>
          </cell>
        </row>
        <row r="12">
          <cell r="Q12">
            <v>4913</v>
          </cell>
        </row>
        <row r="13">
          <cell r="Q13">
            <v>4913</v>
          </cell>
        </row>
        <row r="14">
          <cell r="Q14">
            <v>4913</v>
          </cell>
        </row>
        <row r="15">
          <cell r="Q15">
            <v>4913</v>
          </cell>
        </row>
        <row r="16">
          <cell r="Q16">
            <v>4913</v>
          </cell>
        </row>
        <row r="17">
          <cell r="Q17">
            <v>4913</v>
          </cell>
        </row>
        <row r="18">
          <cell r="Q18">
            <v>4913</v>
          </cell>
        </row>
      </sheetData>
      <sheetData sheetId="15">
        <row r="7">
          <cell r="Q7">
            <v>2573</v>
          </cell>
        </row>
        <row r="8">
          <cell r="Q8">
            <v>1847</v>
          </cell>
        </row>
        <row r="9">
          <cell r="Q9">
            <v>4160</v>
          </cell>
        </row>
        <row r="10">
          <cell r="Q10">
            <v>4072</v>
          </cell>
        </row>
        <row r="11">
          <cell r="Q11">
            <v>2253</v>
          </cell>
        </row>
        <row r="12">
          <cell r="Q12">
            <v>0</v>
          </cell>
        </row>
        <row r="13">
          <cell r="Q13">
            <v>0</v>
          </cell>
        </row>
        <row r="14">
          <cell r="Q14">
            <v>0</v>
          </cell>
        </row>
        <row r="15">
          <cell r="Q15">
            <v>0</v>
          </cell>
        </row>
        <row r="16">
          <cell r="Q16">
            <v>0</v>
          </cell>
        </row>
        <row r="17">
          <cell r="Q17">
            <v>0</v>
          </cell>
        </row>
        <row r="18">
          <cell r="Q18">
            <v>0</v>
          </cell>
        </row>
      </sheetData>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summary"/>
      <sheetName val="jul"/>
      <sheetName val="aug"/>
      <sheetName val="sep"/>
      <sheetName val="oct"/>
      <sheetName val="nov"/>
      <sheetName val="dec"/>
      <sheetName val="jan"/>
      <sheetName val="feb"/>
      <sheetName val="mar"/>
      <sheetName val="apr"/>
      <sheetName val="may"/>
      <sheetName val="jun"/>
      <sheetName val="Projected Maint Practices"/>
      <sheetName val="True Maint Practices"/>
      <sheetName val="PM LIST"/>
      <sheetName val="PM LIST (2)"/>
      <sheetName val="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Q7">
            <v>4913</v>
          </cell>
        </row>
        <row r="8">
          <cell r="Q8">
            <v>4913</v>
          </cell>
        </row>
        <row r="9">
          <cell r="Q9">
            <v>4913</v>
          </cell>
        </row>
        <row r="10">
          <cell r="Q10">
            <v>4913</v>
          </cell>
        </row>
        <row r="11">
          <cell r="Q11">
            <v>17239.669999999998</v>
          </cell>
        </row>
        <row r="12">
          <cell r="Q12">
            <v>4913</v>
          </cell>
        </row>
        <row r="13">
          <cell r="Q13">
            <v>4913</v>
          </cell>
        </row>
        <row r="14">
          <cell r="Q14">
            <v>4913</v>
          </cell>
        </row>
        <row r="15">
          <cell r="Q15">
            <v>4913</v>
          </cell>
        </row>
        <row r="16">
          <cell r="Q16">
            <v>4913</v>
          </cell>
        </row>
        <row r="17">
          <cell r="Q17">
            <v>4913</v>
          </cell>
        </row>
        <row r="18">
          <cell r="Q18">
            <v>4913</v>
          </cell>
        </row>
      </sheetData>
      <sheetData sheetId="15">
        <row r="7">
          <cell r="Q7">
            <v>3022</v>
          </cell>
        </row>
        <row r="8">
          <cell r="Q8">
            <v>3762</v>
          </cell>
        </row>
        <row r="9">
          <cell r="Q9">
            <v>4595</v>
          </cell>
        </row>
        <row r="10">
          <cell r="Q10">
            <v>4906</v>
          </cell>
        </row>
        <row r="11">
          <cell r="Q11">
            <v>2686</v>
          </cell>
        </row>
        <row r="12">
          <cell r="Q12">
            <v>0</v>
          </cell>
        </row>
        <row r="13">
          <cell r="Q13">
            <v>0</v>
          </cell>
        </row>
        <row r="14">
          <cell r="Q14">
            <v>0</v>
          </cell>
        </row>
        <row r="15">
          <cell r="Q15">
            <v>0</v>
          </cell>
        </row>
        <row r="16">
          <cell r="Q16">
            <v>0</v>
          </cell>
        </row>
        <row r="17">
          <cell r="Q17">
            <v>0</v>
          </cell>
        </row>
        <row r="18">
          <cell r="Q18">
            <v>0</v>
          </cell>
        </row>
      </sheetData>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summary"/>
      <sheetName val="jul"/>
      <sheetName val="aug"/>
      <sheetName val="sep"/>
      <sheetName val="oct"/>
      <sheetName val="nov"/>
      <sheetName val="dec"/>
      <sheetName val="jan"/>
      <sheetName val="feb"/>
      <sheetName val="mar"/>
      <sheetName val="apr"/>
      <sheetName val="may"/>
      <sheetName val="jun"/>
      <sheetName val="Projected Maint Practices"/>
      <sheetName val="True Maint Practices"/>
      <sheetName val="PM LIST"/>
      <sheetName val="PM LIST (2)"/>
      <sheetName val="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Q7">
            <v>4913</v>
          </cell>
        </row>
        <row r="8">
          <cell r="Q8">
            <v>4913</v>
          </cell>
        </row>
        <row r="9">
          <cell r="Q9">
            <v>4913</v>
          </cell>
        </row>
        <row r="10">
          <cell r="Q10">
            <v>4913</v>
          </cell>
        </row>
        <row r="11">
          <cell r="Q11">
            <v>17239.669999999998</v>
          </cell>
        </row>
        <row r="12">
          <cell r="Q12">
            <v>4913</v>
          </cell>
        </row>
        <row r="13">
          <cell r="Q13">
            <v>4913</v>
          </cell>
        </row>
        <row r="14">
          <cell r="Q14">
            <v>4913</v>
          </cell>
        </row>
        <row r="15">
          <cell r="Q15">
            <v>4913</v>
          </cell>
        </row>
        <row r="16">
          <cell r="Q16">
            <v>4913</v>
          </cell>
        </row>
        <row r="17">
          <cell r="Q17">
            <v>4913</v>
          </cell>
        </row>
        <row r="18">
          <cell r="Q18">
            <v>4913</v>
          </cell>
        </row>
      </sheetData>
      <sheetData sheetId="15">
        <row r="7">
          <cell r="Q7">
            <v>3679</v>
          </cell>
        </row>
        <row r="8">
          <cell r="Q8">
            <v>5073.5</v>
          </cell>
        </row>
        <row r="9">
          <cell r="Q9">
            <v>5781</v>
          </cell>
        </row>
        <row r="10">
          <cell r="Q10">
            <v>11517</v>
          </cell>
        </row>
        <row r="11">
          <cell r="Q11">
            <v>1640.5</v>
          </cell>
        </row>
        <row r="12">
          <cell r="Q12">
            <v>0</v>
          </cell>
        </row>
        <row r="13">
          <cell r="Q13">
            <v>0</v>
          </cell>
        </row>
        <row r="14">
          <cell r="Q14">
            <v>0</v>
          </cell>
        </row>
        <row r="15">
          <cell r="Q15">
            <v>0</v>
          </cell>
        </row>
        <row r="16">
          <cell r="Q16">
            <v>0</v>
          </cell>
        </row>
        <row r="17">
          <cell r="Q17">
            <v>0</v>
          </cell>
        </row>
        <row r="18">
          <cell r="Q18">
            <v>0</v>
          </cell>
        </row>
      </sheetData>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summary"/>
      <sheetName val="jul"/>
      <sheetName val="aug"/>
      <sheetName val="sep"/>
      <sheetName val="oct"/>
      <sheetName val="nov"/>
      <sheetName val="dec"/>
      <sheetName val="jan"/>
      <sheetName val="feb"/>
      <sheetName val="mar"/>
      <sheetName val="apr"/>
      <sheetName val="may"/>
      <sheetName val="jun"/>
      <sheetName val="Projected Maint Practices"/>
      <sheetName val="True Maint Practices"/>
      <sheetName val="PM LIST"/>
      <sheetName val="PM LIST (2)"/>
      <sheetName val="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Q7">
            <v>4913</v>
          </cell>
        </row>
        <row r="8">
          <cell r="Q8">
            <v>4913</v>
          </cell>
        </row>
        <row r="9">
          <cell r="Q9">
            <v>4913</v>
          </cell>
        </row>
        <row r="10">
          <cell r="Q10">
            <v>4913</v>
          </cell>
        </row>
        <row r="11">
          <cell r="Q11">
            <v>17239.669999999998</v>
          </cell>
        </row>
        <row r="12">
          <cell r="Q12">
            <v>4913</v>
          </cell>
        </row>
        <row r="13">
          <cell r="Q13">
            <v>4913</v>
          </cell>
        </row>
        <row r="14">
          <cell r="Q14">
            <v>0</v>
          </cell>
        </row>
        <row r="15">
          <cell r="Q15">
            <v>0</v>
          </cell>
        </row>
        <row r="16">
          <cell r="Q16">
            <v>0</v>
          </cell>
        </row>
        <row r="17">
          <cell r="Q17">
            <v>0</v>
          </cell>
        </row>
        <row r="18">
          <cell r="Q18">
            <v>0</v>
          </cell>
        </row>
      </sheetData>
      <sheetData sheetId="15">
        <row r="7">
          <cell r="Q7">
            <v>3761</v>
          </cell>
        </row>
        <row r="8">
          <cell r="Q8">
            <v>4538</v>
          </cell>
        </row>
        <row r="9">
          <cell r="Q9">
            <v>6872</v>
          </cell>
        </row>
        <row r="10">
          <cell r="Q10">
            <v>4124</v>
          </cell>
        </row>
        <row r="11">
          <cell r="Q11">
            <v>2915</v>
          </cell>
        </row>
        <row r="12">
          <cell r="Q12">
            <v>0</v>
          </cell>
        </row>
        <row r="13">
          <cell r="Q13">
            <v>0</v>
          </cell>
        </row>
        <row r="14">
          <cell r="Q14">
            <v>0</v>
          </cell>
        </row>
        <row r="15">
          <cell r="Q15">
            <v>0</v>
          </cell>
        </row>
        <row r="16">
          <cell r="Q16">
            <v>0</v>
          </cell>
        </row>
        <row r="17">
          <cell r="Q17">
            <v>0</v>
          </cell>
        </row>
        <row r="18">
          <cell r="Q18">
            <v>0</v>
          </cell>
        </row>
      </sheetData>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summary"/>
      <sheetName val="jul"/>
      <sheetName val="aug"/>
      <sheetName val="sep"/>
      <sheetName val="oct"/>
      <sheetName val="nov"/>
      <sheetName val="dec"/>
      <sheetName val="jan"/>
      <sheetName val="feb"/>
      <sheetName val="mar"/>
      <sheetName val="apr"/>
      <sheetName val="may"/>
      <sheetName val="jun"/>
      <sheetName val="Projected Maint Practices"/>
      <sheetName val="True Maint Practices"/>
      <sheetName val="PM LIST"/>
      <sheetName val="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Q7">
            <v>4913</v>
          </cell>
        </row>
        <row r="8">
          <cell r="Q8">
            <v>4913</v>
          </cell>
        </row>
        <row r="9">
          <cell r="Q9">
            <v>4913</v>
          </cell>
        </row>
        <row r="10">
          <cell r="Q10">
            <v>4913</v>
          </cell>
        </row>
        <row r="11">
          <cell r="Q11">
            <v>17239.669999999998</v>
          </cell>
        </row>
        <row r="12">
          <cell r="Q12">
            <v>4913</v>
          </cell>
        </row>
        <row r="13">
          <cell r="Q13">
            <v>4913</v>
          </cell>
        </row>
        <row r="14">
          <cell r="Q14">
            <v>4913</v>
          </cell>
        </row>
        <row r="15">
          <cell r="Q15">
            <v>4913</v>
          </cell>
        </row>
        <row r="16">
          <cell r="Q16">
            <v>4913</v>
          </cell>
        </row>
        <row r="17">
          <cell r="Q17">
            <v>4913</v>
          </cell>
        </row>
        <row r="18">
          <cell r="Q18">
            <v>4913</v>
          </cell>
        </row>
      </sheetData>
      <sheetData sheetId="15">
        <row r="7">
          <cell r="Q7">
            <v>2827</v>
          </cell>
        </row>
        <row r="8">
          <cell r="Q8">
            <v>2499</v>
          </cell>
        </row>
        <row r="9">
          <cell r="Q9">
            <v>3530.5</v>
          </cell>
        </row>
        <row r="10">
          <cell r="Q10">
            <v>9602</v>
          </cell>
        </row>
        <row r="11">
          <cell r="Q11">
            <v>1457.5</v>
          </cell>
        </row>
        <row r="12">
          <cell r="Q12">
            <v>0</v>
          </cell>
        </row>
        <row r="13">
          <cell r="Q13">
            <v>0</v>
          </cell>
        </row>
        <row r="14">
          <cell r="Q14">
            <v>0</v>
          </cell>
        </row>
        <row r="15">
          <cell r="Q15">
            <v>0</v>
          </cell>
        </row>
        <row r="16">
          <cell r="Q16">
            <v>0</v>
          </cell>
        </row>
        <row r="17">
          <cell r="Q17">
            <v>0</v>
          </cell>
        </row>
        <row r="18">
          <cell r="Q18">
            <v>0</v>
          </cell>
        </row>
      </sheetData>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summary"/>
      <sheetName val="jul"/>
      <sheetName val="aug"/>
      <sheetName val="sep"/>
      <sheetName val="oct"/>
      <sheetName val="nov"/>
      <sheetName val="dec"/>
      <sheetName val="jan"/>
      <sheetName val="feb"/>
      <sheetName val="mar"/>
      <sheetName val="apr"/>
      <sheetName val="may"/>
      <sheetName val="jun"/>
      <sheetName val="Projected Maint Practices"/>
      <sheetName val="True Maint Practices"/>
      <sheetName val="PM LIST"/>
      <sheetName val="PM LIST (2)"/>
      <sheetName val="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Q7">
            <v>4913</v>
          </cell>
        </row>
        <row r="8">
          <cell r="Q8">
            <v>4913</v>
          </cell>
        </row>
        <row r="9">
          <cell r="Q9">
            <v>4913</v>
          </cell>
        </row>
        <row r="10">
          <cell r="Q10">
            <v>4913</v>
          </cell>
        </row>
        <row r="11">
          <cell r="Q11">
            <v>17239.669999999998</v>
          </cell>
        </row>
        <row r="12">
          <cell r="Q12">
            <v>4913</v>
          </cell>
        </row>
        <row r="13">
          <cell r="Q13">
            <v>4913</v>
          </cell>
        </row>
        <row r="14">
          <cell r="Q14">
            <v>4913</v>
          </cell>
        </row>
        <row r="15">
          <cell r="Q15">
            <v>4913</v>
          </cell>
        </row>
        <row r="16">
          <cell r="Q16">
            <v>4913</v>
          </cell>
        </row>
        <row r="17">
          <cell r="Q17">
            <v>4913</v>
          </cell>
        </row>
        <row r="18">
          <cell r="Q18">
            <v>4913</v>
          </cell>
        </row>
      </sheetData>
      <sheetData sheetId="15">
        <row r="7">
          <cell r="Q7">
            <v>2750</v>
          </cell>
        </row>
        <row r="8">
          <cell r="Q8">
            <v>7575.96</v>
          </cell>
        </row>
        <row r="9">
          <cell r="Q9">
            <v>5336</v>
          </cell>
        </row>
        <row r="10">
          <cell r="Q10">
            <v>4095</v>
          </cell>
        </row>
        <row r="11">
          <cell r="Q11">
            <v>3812</v>
          </cell>
        </row>
        <row r="12">
          <cell r="Q12">
            <v>0</v>
          </cell>
        </row>
        <row r="13">
          <cell r="Q13">
            <v>0</v>
          </cell>
        </row>
        <row r="14">
          <cell r="Q14">
            <v>0</v>
          </cell>
        </row>
        <row r="15">
          <cell r="Q15">
            <v>0</v>
          </cell>
        </row>
        <row r="16">
          <cell r="Q16">
            <v>0</v>
          </cell>
        </row>
        <row r="17">
          <cell r="Q17">
            <v>0</v>
          </cell>
        </row>
        <row r="18">
          <cell r="Q18">
            <v>0</v>
          </cell>
        </row>
      </sheetData>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summary"/>
      <sheetName val="jan"/>
      <sheetName val="feb"/>
      <sheetName val="mar"/>
      <sheetName val="apr"/>
      <sheetName val="may"/>
      <sheetName val="jun"/>
      <sheetName val="jul"/>
      <sheetName val="aug"/>
      <sheetName val="sep"/>
      <sheetName val="oct"/>
      <sheetName val="nov"/>
      <sheetName val="dec"/>
      <sheetName val="Projected Maint Practices"/>
      <sheetName val="True Maint Practices"/>
      <sheetName val="PM LIST"/>
      <sheetName val="Chart"/>
      <sheetName val="BUS 309 Year 4 20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Q7">
            <v>4913</v>
          </cell>
        </row>
        <row r="8">
          <cell r="Q8">
            <v>4913</v>
          </cell>
        </row>
        <row r="9">
          <cell r="Q9">
            <v>4913</v>
          </cell>
        </row>
        <row r="10">
          <cell r="Q10">
            <v>4913</v>
          </cell>
        </row>
        <row r="11">
          <cell r="Q11">
            <v>17239.669999999998</v>
          </cell>
        </row>
        <row r="12">
          <cell r="Q12">
            <v>4913</v>
          </cell>
        </row>
        <row r="13">
          <cell r="Q13">
            <v>4913</v>
          </cell>
        </row>
        <row r="14">
          <cell r="Q14">
            <v>0</v>
          </cell>
        </row>
        <row r="15">
          <cell r="Q15">
            <v>0</v>
          </cell>
        </row>
        <row r="16">
          <cell r="Q16">
            <v>0</v>
          </cell>
        </row>
        <row r="17">
          <cell r="Q17">
            <v>0</v>
          </cell>
        </row>
        <row r="18">
          <cell r="Q18">
            <v>0</v>
          </cell>
        </row>
      </sheetData>
      <sheetData sheetId="15">
        <row r="7">
          <cell r="Q7">
            <v>3761</v>
          </cell>
        </row>
        <row r="8">
          <cell r="Q8">
            <v>4538</v>
          </cell>
        </row>
        <row r="9">
          <cell r="Q9">
            <v>6872</v>
          </cell>
        </row>
        <row r="10">
          <cell r="Q10">
            <v>728</v>
          </cell>
        </row>
        <row r="11">
          <cell r="Q11">
            <v>0</v>
          </cell>
        </row>
        <row r="12">
          <cell r="Q12">
            <v>0</v>
          </cell>
        </row>
        <row r="13">
          <cell r="Q13">
            <v>0</v>
          </cell>
        </row>
        <row r="14">
          <cell r="Q14">
            <v>0</v>
          </cell>
        </row>
        <row r="15">
          <cell r="Q15">
            <v>0</v>
          </cell>
        </row>
        <row r="16">
          <cell r="Q16">
            <v>0</v>
          </cell>
        </row>
        <row r="17">
          <cell r="Q17">
            <v>0</v>
          </cell>
        </row>
        <row r="18">
          <cell r="Q18">
            <v>0</v>
          </cell>
        </row>
      </sheetData>
      <sheetData sheetId="16"/>
      <sheetData sheetId="17"/>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summary"/>
      <sheetName val="jan"/>
      <sheetName val="feb"/>
      <sheetName val="mar"/>
      <sheetName val="apr"/>
      <sheetName val="may"/>
      <sheetName val="jun"/>
      <sheetName val="jul"/>
      <sheetName val="aug"/>
      <sheetName val="sep"/>
      <sheetName val="oct"/>
      <sheetName val="nov"/>
      <sheetName val="dec"/>
      <sheetName val="Projected Maint Practices"/>
      <sheetName val="True Maint Practices"/>
      <sheetName val="Chart (2)"/>
      <sheetName val="PM'S"/>
      <sheetName val="BUS 202 Year 1 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aug"/>
      <sheetName val="sep"/>
      <sheetName val="oct"/>
      <sheetName val="nov"/>
      <sheetName val="dec"/>
      <sheetName val="jan"/>
      <sheetName val="feb"/>
      <sheetName val="mar"/>
      <sheetName val="apr"/>
      <sheetName val="may"/>
      <sheetName val="jun"/>
      <sheetName val="Projected Maint Practices"/>
      <sheetName val="True Maint Practices"/>
      <sheetName val="PM LIST (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
          <cell r="Q7">
            <v>4913</v>
          </cell>
        </row>
        <row r="8">
          <cell r="Q8">
            <v>4913</v>
          </cell>
        </row>
        <row r="9">
          <cell r="Q9">
            <v>4913</v>
          </cell>
        </row>
        <row r="10">
          <cell r="Q10">
            <v>4913</v>
          </cell>
        </row>
        <row r="11">
          <cell r="Q11">
            <v>17239.669999999998</v>
          </cell>
        </row>
        <row r="12">
          <cell r="Q12">
            <v>4913</v>
          </cell>
        </row>
        <row r="13">
          <cell r="Q13">
            <v>4913</v>
          </cell>
        </row>
        <row r="14">
          <cell r="Q14">
            <v>4913</v>
          </cell>
        </row>
        <row r="15">
          <cell r="Q15">
            <v>4913</v>
          </cell>
        </row>
        <row r="16">
          <cell r="Q16">
            <v>4913</v>
          </cell>
        </row>
        <row r="17">
          <cell r="Q17">
            <v>4913</v>
          </cell>
        </row>
        <row r="18">
          <cell r="Q18">
            <v>4913</v>
          </cell>
        </row>
      </sheetData>
      <sheetData sheetId="13">
        <row r="7">
          <cell r="Q7">
            <v>2175</v>
          </cell>
        </row>
        <row r="8">
          <cell r="Q8">
            <v>2298</v>
          </cell>
        </row>
        <row r="9">
          <cell r="Q9">
            <v>0</v>
          </cell>
        </row>
        <row r="10">
          <cell r="Q10">
            <v>0</v>
          </cell>
        </row>
        <row r="11">
          <cell r="Q11">
            <v>0</v>
          </cell>
        </row>
        <row r="12">
          <cell r="Q12">
            <v>0</v>
          </cell>
        </row>
        <row r="13">
          <cell r="Q13">
            <v>0</v>
          </cell>
        </row>
        <row r="14">
          <cell r="Q14">
            <v>0</v>
          </cell>
        </row>
        <row r="15">
          <cell r="Q15">
            <v>0</v>
          </cell>
        </row>
        <row r="16">
          <cell r="Q16">
            <v>0</v>
          </cell>
        </row>
        <row r="17">
          <cell r="Q17">
            <v>0</v>
          </cell>
        </row>
        <row r="18">
          <cell r="Q18">
            <v>0</v>
          </cell>
        </row>
      </sheetData>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summary"/>
      <sheetName val="jul"/>
      <sheetName val="aug"/>
      <sheetName val="sep"/>
      <sheetName val="oct"/>
      <sheetName val="nov"/>
      <sheetName val="dec"/>
      <sheetName val="jan"/>
      <sheetName val="feb"/>
      <sheetName val="mar"/>
      <sheetName val="apr"/>
      <sheetName val="may"/>
      <sheetName val="jun"/>
      <sheetName val="PRO CAT"/>
      <sheetName val="TRUE CAT"/>
      <sheetName val="BUS 201 Year 6 FY 2018"/>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ug"/>
      <sheetName val="sep"/>
      <sheetName val="oct"/>
      <sheetName val="nov"/>
      <sheetName val="dec"/>
      <sheetName val="jan"/>
      <sheetName val="feb"/>
      <sheetName val="mar"/>
      <sheetName val="apr"/>
      <sheetName val="may"/>
      <sheetName val="jun"/>
      <sheetName val="Projected Maint Practices"/>
      <sheetName val="True Maint Practices"/>
      <sheetName val="BUS 202 FY 18  Year 6"/>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Q7">
            <v>3863</v>
          </cell>
        </row>
        <row r="8">
          <cell r="Q8">
            <v>3863</v>
          </cell>
        </row>
        <row r="9">
          <cell r="Q9">
            <v>3863</v>
          </cell>
        </row>
        <row r="10">
          <cell r="Q10">
            <v>3863</v>
          </cell>
        </row>
        <row r="11">
          <cell r="Q11">
            <v>0</v>
          </cell>
        </row>
        <row r="12">
          <cell r="Q12">
            <v>0</v>
          </cell>
        </row>
        <row r="13">
          <cell r="Q13">
            <v>0</v>
          </cell>
        </row>
        <row r="14">
          <cell r="Q14">
            <v>0</v>
          </cell>
        </row>
        <row r="15">
          <cell r="Q15">
            <v>0</v>
          </cell>
        </row>
        <row r="16">
          <cell r="Q16">
            <v>0</v>
          </cell>
        </row>
        <row r="17">
          <cell r="Q17">
            <v>0</v>
          </cell>
        </row>
        <row r="18">
          <cell r="Q18">
            <v>0</v>
          </cell>
        </row>
      </sheetData>
      <sheetData sheetId="13">
        <row r="7">
          <cell r="Q7">
            <v>1456</v>
          </cell>
        </row>
        <row r="8">
          <cell r="Q8">
            <v>4035</v>
          </cell>
        </row>
        <row r="9">
          <cell r="Q9">
            <v>2202.5</v>
          </cell>
        </row>
        <row r="10">
          <cell r="Q10">
            <v>1964.5</v>
          </cell>
        </row>
        <row r="11">
          <cell r="Q11">
            <v>3800</v>
          </cell>
        </row>
        <row r="12">
          <cell r="Q12">
            <v>1618</v>
          </cell>
        </row>
        <row r="13">
          <cell r="Q13">
            <v>0</v>
          </cell>
        </row>
        <row r="14">
          <cell r="Q14">
            <v>0</v>
          </cell>
        </row>
        <row r="15">
          <cell r="Q15">
            <v>0</v>
          </cell>
        </row>
        <row r="16">
          <cell r="Q16">
            <v>0</v>
          </cell>
        </row>
        <row r="17">
          <cell r="Q17">
            <v>0</v>
          </cell>
        </row>
        <row r="18">
          <cell r="Q18">
            <v>0</v>
          </cell>
        </row>
      </sheetData>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summary"/>
      <sheetName val="jul"/>
      <sheetName val="aug"/>
      <sheetName val="sep"/>
      <sheetName val="oct"/>
      <sheetName val="nov"/>
      <sheetName val="dec"/>
      <sheetName val="jan"/>
      <sheetName val="feb"/>
      <sheetName val="mar"/>
      <sheetName val="apr"/>
      <sheetName val="may"/>
      <sheetName val="jun"/>
      <sheetName val="Projected Maint Practices"/>
      <sheetName val="True Maint Practices"/>
      <sheetName val="BUS 301 Year 6 FY 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ow r="7">
          <cell r="Q7">
            <v>5237</v>
          </cell>
        </row>
        <row r="8">
          <cell r="Q8">
            <v>5237</v>
          </cell>
        </row>
        <row r="9">
          <cell r="Q9">
            <v>5237</v>
          </cell>
        </row>
        <row r="10">
          <cell r="Q10">
            <v>5237</v>
          </cell>
        </row>
        <row r="11">
          <cell r="Q11">
            <v>15604</v>
          </cell>
        </row>
        <row r="12">
          <cell r="Q12">
            <v>5237</v>
          </cell>
        </row>
        <row r="13">
          <cell r="Q13">
            <v>5237</v>
          </cell>
        </row>
        <row r="14">
          <cell r="Q14">
            <v>5237</v>
          </cell>
        </row>
        <row r="15">
          <cell r="Q15">
            <v>5237</v>
          </cell>
        </row>
        <row r="16">
          <cell r="Q16">
            <v>5237</v>
          </cell>
        </row>
        <row r="17">
          <cell r="Q17">
            <v>5237</v>
          </cell>
        </row>
        <row r="18">
          <cell r="Q18">
            <v>5237</v>
          </cell>
        </row>
      </sheetData>
      <sheetData sheetId="15">
        <row r="7">
          <cell r="Q7">
            <v>3022</v>
          </cell>
        </row>
        <row r="8">
          <cell r="Q8">
            <v>2080.92</v>
          </cell>
        </row>
        <row r="9">
          <cell r="Q9">
            <v>7410</v>
          </cell>
        </row>
        <row r="10">
          <cell r="Q10">
            <v>1000</v>
          </cell>
        </row>
        <row r="11">
          <cell r="Q11">
            <v>559</v>
          </cell>
        </row>
        <row r="12">
          <cell r="Q12">
            <v>0</v>
          </cell>
        </row>
        <row r="13">
          <cell r="Q13">
            <v>0</v>
          </cell>
        </row>
        <row r="14">
          <cell r="Q14">
            <v>0</v>
          </cell>
        </row>
        <row r="15">
          <cell r="Q15">
            <v>0</v>
          </cell>
        </row>
        <row r="16">
          <cell r="Q16">
            <v>0</v>
          </cell>
        </row>
        <row r="17">
          <cell r="Q17">
            <v>0</v>
          </cell>
        </row>
        <row r="18">
          <cell r="Q18">
            <v>0</v>
          </cell>
        </row>
      </sheetData>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summary"/>
      <sheetName val="jan"/>
      <sheetName val="feb"/>
      <sheetName val="mar"/>
      <sheetName val="apr"/>
      <sheetName val="may"/>
      <sheetName val="jun"/>
      <sheetName val="jul"/>
      <sheetName val="aug"/>
      <sheetName val="sep"/>
      <sheetName val="oct"/>
      <sheetName val="nov"/>
      <sheetName val="dec"/>
      <sheetName val="Projected Maint Practices"/>
      <sheetName val="True Maint Practices"/>
      <sheetName val="PM LIST"/>
      <sheetName val="Chart"/>
      <sheetName val="BUS 304 Year 4 201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Q7">
            <v>5237</v>
          </cell>
        </row>
        <row r="8">
          <cell r="Q8">
            <v>5237</v>
          </cell>
        </row>
        <row r="9">
          <cell r="Q9">
            <v>5237</v>
          </cell>
        </row>
        <row r="10">
          <cell r="Q10">
            <v>5237</v>
          </cell>
        </row>
        <row r="11">
          <cell r="Q11">
            <v>14091.25</v>
          </cell>
        </row>
        <row r="12">
          <cell r="Q12">
            <v>5237</v>
          </cell>
        </row>
        <row r="13">
          <cell r="Q13">
            <v>5237</v>
          </cell>
        </row>
        <row r="14">
          <cell r="Q14">
            <v>5237</v>
          </cell>
        </row>
        <row r="15">
          <cell r="Q15">
            <v>5237</v>
          </cell>
        </row>
        <row r="16">
          <cell r="Q16">
            <v>5237</v>
          </cell>
        </row>
        <row r="17">
          <cell r="Q17">
            <v>5237</v>
          </cell>
        </row>
        <row r="18">
          <cell r="Q18">
            <v>5237</v>
          </cell>
        </row>
      </sheetData>
      <sheetData sheetId="15">
        <row r="7">
          <cell r="Q7">
            <v>2698</v>
          </cell>
        </row>
        <row r="8">
          <cell r="Q8">
            <v>2897</v>
          </cell>
        </row>
        <row r="9">
          <cell r="Q9">
            <v>9047.25</v>
          </cell>
        </row>
        <row r="10">
          <cell r="Q10">
            <v>12786.25</v>
          </cell>
        </row>
        <row r="11">
          <cell r="Q11">
            <v>0</v>
          </cell>
        </row>
        <row r="12">
          <cell r="Q12">
            <v>0</v>
          </cell>
        </row>
        <row r="13">
          <cell r="Q13">
            <v>0</v>
          </cell>
        </row>
        <row r="14">
          <cell r="Q14">
            <v>0</v>
          </cell>
        </row>
        <row r="15">
          <cell r="Q15">
            <v>0</v>
          </cell>
        </row>
        <row r="16">
          <cell r="Q16">
            <v>0</v>
          </cell>
        </row>
        <row r="17">
          <cell r="Q17">
            <v>0</v>
          </cell>
        </row>
        <row r="18">
          <cell r="Q18">
            <v>0</v>
          </cell>
        </row>
      </sheetData>
      <sheetData sheetId="16" refreshError="1"/>
      <sheetData sheetId="17">
        <row r="4">
          <cell r="C4" t="str">
            <v xml:space="preserve">Projected Cost-Current Maintenance Practices, $109,252  </v>
          </cell>
        </row>
      </sheetData>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summary"/>
      <sheetName val="jan"/>
      <sheetName val="feb"/>
      <sheetName val="mar"/>
      <sheetName val="apr"/>
      <sheetName val="may"/>
      <sheetName val="jun"/>
      <sheetName val="jul"/>
      <sheetName val="aug"/>
      <sheetName val="sep"/>
      <sheetName val="oct"/>
      <sheetName val="nov"/>
      <sheetName val="dec"/>
      <sheetName val="Projected Maint Practices"/>
      <sheetName val="True Maint Practices"/>
      <sheetName val="PM LIST"/>
      <sheetName val="Chart"/>
      <sheetName val="BUS 310 Year 1 201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Q7">
            <v>4913</v>
          </cell>
        </row>
        <row r="8">
          <cell r="Q8">
            <v>4913</v>
          </cell>
        </row>
        <row r="9">
          <cell r="Q9">
            <v>4913</v>
          </cell>
        </row>
        <row r="10">
          <cell r="Q10">
            <v>4913</v>
          </cell>
        </row>
        <row r="11">
          <cell r="Q11">
            <v>17239.669999999998</v>
          </cell>
        </row>
        <row r="12">
          <cell r="Q12">
            <v>4913</v>
          </cell>
        </row>
        <row r="13">
          <cell r="Q13">
            <v>4913</v>
          </cell>
        </row>
        <row r="14">
          <cell r="Q14">
            <v>4913</v>
          </cell>
        </row>
        <row r="15">
          <cell r="Q15">
            <v>4913</v>
          </cell>
        </row>
        <row r="16">
          <cell r="Q16">
            <v>4913</v>
          </cell>
        </row>
        <row r="17">
          <cell r="Q17">
            <v>4913</v>
          </cell>
        </row>
        <row r="18">
          <cell r="Q18">
            <v>4913</v>
          </cell>
        </row>
      </sheetData>
      <sheetData sheetId="15">
        <row r="7">
          <cell r="Q7">
            <v>2827</v>
          </cell>
        </row>
        <row r="8">
          <cell r="Q8">
            <v>2499</v>
          </cell>
        </row>
        <row r="9">
          <cell r="Q9">
            <v>3530.5</v>
          </cell>
        </row>
        <row r="10">
          <cell r="Q10">
            <v>125</v>
          </cell>
        </row>
        <row r="11">
          <cell r="Q11">
            <v>0</v>
          </cell>
        </row>
        <row r="12">
          <cell r="Q12">
            <v>0</v>
          </cell>
        </row>
        <row r="13">
          <cell r="Q13">
            <v>0</v>
          </cell>
        </row>
        <row r="14">
          <cell r="Q14">
            <v>0</v>
          </cell>
        </row>
        <row r="15">
          <cell r="Q15">
            <v>0</v>
          </cell>
        </row>
        <row r="16">
          <cell r="Q16">
            <v>0</v>
          </cell>
        </row>
        <row r="17">
          <cell r="Q17">
            <v>0</v>
          </cell>
        </row>
        <row r="18">
          <cell r="Q18">
            <v>0</v>
          </cell>
        </row>
      </sheetData>
      <sheetData sheetId="16" refreshError="1"/>
      <sheetData sheetId="17">
        <row r="4">
          <cell r="C4" t="str">
            <v xml:space="preserve">Projected Cost-Current Maintenance Practices, $109,252  </v>
          </cell>
        </row>
      </sheetData>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summary"/>
      <sheetName val="jan"/>
      <sheetName val="feb"/>
      <sheetName val="mar"/>
      <sheetName val="apr"/>
      <sheetName val="may"/>
      <sheetName val="jun"/>
      <sheetName val="jul"/>
      <sheetName val="aug"/>
      <sheetName val="sep"/>
      <sheetName val="oct"/>
      <sheetName val="nov"/>
      <sheetName val="dec"/>
      <sheetName val="Projected Maint Practices"/>
      <sheetName val="True Maint Practices"/>
      <sheetName val="PM LIST"/>
      <sheetName val="Chart"/>
      <sheetName val="BUS 310 Year 5 2017"/>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Q7">
            <v>4913</v>
          </cell>
        </row>
        <row r="8">
          <cell r="Q8">
            <v>4913</v>
          </cell>
        </row>
        <row r="9">
          <cell r="Q9">
            <v>4913</v>
          </cell>
        </row>
        <row r="10">
          <cell r="Q10">
            <v>4913</v>
          </cell>
        </row>
        <row r="11">
          <cell r="Q11">
            <v>17239.669999999998</v>
          </cell>
        </row>
        <row r="12">
          <cell r="Q12">
            <v>4913</v>
          </cell>
        </row>
        <row r="13">
          <cell r="Q13">
            <v>4913</v>
          </cell>
        </row>
        <row r="14">
          <cell r="Q14">
            <v>4913</v>
          </cell>
        </row>
        <row r="15">
          <cell r="Q15">
            <v>4913</v>
          </cell>
        </row>
        <row r="16">
          <cell r="Q16">
            <v>4913</v>
          </cell>
        </row>
        <row r="17">
          <cell r="Q17">
            <v>4913</v>
          </cell>
        </row>
        <row r="18">
          <cell r="Q18">
            <v>4913</v>
          </cell>
        </row>
      </sheetData>
      <sheetData sheetId="15">
        <row r="7">
          <cell r="Q7">
            <v>2827</v>
          </cell>
        </row>
        <row r="8">
          <cell r="Q8">
            <v>2499</v>
          </cell>
        </row>
        <row r="9">
          <cell r="Q9">
            <v>3530.5</v>
          </cell>
        </row>
        <row r="10">
          <cell r="Q10">
            <v>2735</v>
          </cell>
        </row>
        <row r="11">
          <cell r="Q11">
            <v>0</v>
          </cell>
        </row>
        <row r="12">
          <cell r="Q12">
            <v>0</v>
          </cell>
        </row>
        <row r="13">
          <cell r="Q13">
            <v>0</v>
          </cell>
        </row>
        <row r="14">
          <cell r="Q14">
            <v>0</v>
          </cell>
        </row>
        <row r="15">
          <cell r="Q15">
            <v>0</v>
          </cell>
        </row>
        <row r="16">
          <cell r="Q16">
            <v>0</v>
          </cell>
        </row>
        <row r="17">
          <cell r="Q17">
            <v>0</v>
          </cell>
        </row>
        <row r="18">
          <cell r="Q18">
            <v>0</v>
          </cell>
        </row>
      </sheetData>
      <sheetData sheetId="16" refreshError="1"/>
      <sheetData sheetId="17">
        <row r="4">
          <cell r="C4" t="str">
            <v xml:space="preserve">Projected Cost-Current Maintenance Practices, $109,252  </v>
          </cell>
        </row>
      </sheetData>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dex"/>
      <sheetName val="GASOLINE  "/>
      <sheetName val="DIESEL"/>
      <sheetName val="Wood Co Part #1"/>
      <sheetName val="Wood Co Part #2"/>
      <sheetName val="Wood Co Part #3"/>
      <sheetName val="Wood Co Part #4"/>
      <sheetName val="DEF Used "/>
      <sheetName val="ACCIDENT REG 2017"/>
      <sheetName val="ACCIDENT REG 2017 (2)"/>
      <sheetName val="Accident Contact"/>
      <sheetName val="Accident Contact (2)"/>
      <sheetName val="MOVTA BRIM Loss Runs 1-17-17 (0"/>
      <sheetName val="Accident Register 2016"/>
      <sheetName val="ABEP"/>
      <sheetName val="Out Of Service"/>
      <sheetName val="Out Of Service (2)"/>
      <sheetName val="F&amp;S System"/>
      <sheetName val="Safety Point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
          <cell r="F2">
            <v>0.25</v>
          </cell>
        </row>
      </sheetData>
      <sheetData sheetId="17" refreshError="1"/>
      <sheetData sheetId="18" refreshError="1"/>
      <sheetData sheetId="19" refreshError="1"/>
    </sheetDataSet>
  </externalBook>
</externalLink>
</file>

<file path=xl/tables/table1.xml><?xml version="1.0" encoding="utf-8"?>
<table xmlns="http://schemas.openxmlformats.org/spreadsheetml/2006/main" id="1" name="ExpenseSummary" displayName="ExpenseSummary" ref="B18:P39" totalsRowCount="1" headerRowDxfId="4289" dataDxfId="4287" totalsRowDxfId="4288">
  <autoFilter ref="B18:P38">
    <filterColumn colId="0">
      <customFilters>
        <customFilter operator="notEqual" val=" "/>
      </customFilters>
    </filterColumn>
  </autoFilter>
  <tableColumns count="15">
    <tableColumn id="1" name="Expenses" totalsRowLabel="Total" dataDxfId="4319" totalsRowDxfId="4318" dataCellStyle="Normal 2"/>
    <tableColumn id="2" name="Jan" totalsRowFunction="sum" dataDxfId="4317" totalsRowDxfId="4316" dataCellStyle="Normal 2"/>
    <tableColumn id="3" name="Feb" totalsRowFunction="sum" dataDxfId="4315" totalsRowDxfId="4314" dataCellStyle="Normal 2"/>
    <tableColumn id="4" name="Mar" totalsRowFunction="sum" dataDxfId="4313" totalsRowDxfId="4312" dataCellStyle="Normal 2"/>
    <tableColumn id="5" name="Apr" totalsRowFunction="sum" dataDxfId="4311" totalsRowDxfId="4310" dataCellStyle="Normal 2"/>
    <tableColumn id="6" name="May" totalsRowFunction="sum" dataDxfId="4309" totalsRowDxfId="4308" dataCellStyle="Normal 2"/>
    <tableColumn id="7" name="Jun" totalsRowFunction="sum" dataDxfId="4307" totalsRowDxfId="4306" dataCellStyle="Normal 2"/>
    <tableColumn id="8" name="Jul" totalsRowFunction="sum" dataDxfId="4305" totalsRowDxfId="4304" dataCellStyle="Normal 2"/>
    <tableColumn id="9" name="Aug" totalsRowFunction="sum" dataDxfId="4303" totalsRowDxfId="4302" dataCellStyle="Normal 2"/>
    <tableColumn id="10" name="Sep" totalsRowFunction="sum" dataDxfId="4301" totalsRowDxfId="4300" dataCellStyle="Normal 2"/>
    <tableColumn id="11" name="Oct" totalsRowFunction="sum" dataDxfId="4299" totalsRowDxfId="4298" dataCellStyle="Normal 2"/>
    <tableColumn id="12" name="Nov" totalsRowFunction="sum" dataDxfId="4297" totalsRowDxfId="4296" dataCellStyle="Normal 2"/>
    <tableColumn id="13" name="Dec" totalsRowFunction="sum" dataDxfId="4295" totalsRowDxfId="4294" dataCellStyle="Normal 2"/>
    <tableColumn id="14" name="Total" totalsRowFunction="sum" dataDxfId="4293" totalsRowDxfId="4292" dataCellStyle="Normal 2">
      <calculatedColumnFormula>SUM(C19:N19)</calculatedColumnFormula>
    </tableColumn>
    <tableColumn id="15" name="Trend" dataDxfId="4291" totalsRowDxfId="4290" dataCellStyle="Normal 2"/>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10.xml><?xml version="1.0" encoding="utf-8"?>
<table xmlns="http://schemas.openxmlformats.org/spreadsheetml/2006/main" id="17" name="ExpMar" displayName="ExpMar" ref="B160:G176" totalsRowCount="1" headerRowDxfId="4154" dataDxfId="4152" totalsRowDxfId="4153">
  <autoFilter ref="B160:G175"/>
  <tableColumns count="6">
    <tableColumn id="1" name="Date" totalsRowLabel="Total" dataDxfId="4166" totalsRowDxfId="4165"/>
    <tableColumn id="2" name="W/O" dataDxfId="4164" totalsRowDxfId="4163"/>
    <tableColumn id="3" name="Amount" totalsRowFunction="sum" dataDxfId="4162" totalsRowDxfId="4161"/>
    <tableColumn id="4" name="Category" dataDxfId="4160" totalsRowDxfId="4159"/>
    <tableColumn id="6" name="Column1" dataDxfId="4158" totalsRowDxfId="4157"/>
    <tableColumn id="5" name="Description" dataDxfId="4156" totalsRowDxfId="4155"/>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100.xml><?xml version="1.0" encoding="utf-8"?>
<table xmlns="http://schemas.openxmlformats.org/spreadsheetml/2006/main" id="100" name="ExpFeb101" displayName="ExpFeb101" ref="B126:G140" totalsRowCount="1" headerRowDxfId="2696" dataDxfId="2694" totalsRowDxfId="2695">
  <autoFilter ref="B126:G139"/>
  <tableColumns count="6">
    <tableColumn id="1" name="Date" totalsRowLabel="Total" dataDxfId="2708" totalsRowDxfId="2707"/>
    <tableColumn id="2" name="W/O" dataDxfId="2706" totalsRowDxfId="2705"/>
    <tableColumn id="3" name="Amount" totalsRowFunction="sum" dataDxfId="2704" totalsRowDxfId="2703"/>
    <tableColumn id="4" name="Category" dataDxfId="2702" totalsRowDxfId="2701"/>
    <tableColumn id="5" name="Description           Bin Number          # Used" dataDxfId="2700" totalsRowDxfId="2699"/>
    <tableColumn id="6" name="Part Number - Mileage - Mech Name" dataDxfId="2698" totalsRowDxfId="2697"/>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101.xml><?xml version="1.0" encoding="utf-8"?>
<table xmlns="http://schemas.openxmlformats.org/spreadsheetml/2006/main" id="101" name="ExpMar102" displayName="ExpMar102" ref="B144:G154" totalsRowCount="1" headerRowDxfId="2681" dataDxfId="2679" totalsRowDxfId="2680">
  <autoFilter ref="B144:G153"/>
  <tableColumns count="6">
    <tableColumn id="1" name="Date" totalsRowLabel="Total" dataDxfId="2693" totalsRowDxfId="2692"/>
    <tableColumn id="2" name="W/O" dataDxfId="2691" totalsRowDxfId="2690"/>
    <tableColumn id="3" name="Amount" totalsRowFunction="sum" dataDxfId="2689" totalsRowDxfId="2688"/>
    <tableColumn id="4" name="Category" dataDxfId="2687" totalsRowDxfId="2686"/>
    <tableColumn id="6" name="Description           Bin Number          # Used" dataDxfId="2685" totalsRowDxfId="2684"/>
    <tableColumn id="5" name="Part Number - Mileage - Mech Name" dataDxfId="2683" totalsRowDxfId="2682"/>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102.xml><?xml version="1.0" encoding="utf-8"?>
<table xmlns="http://schemas.openxmlformats.org/spreadsheetml/2006/main" id="102" name="ExpApr103" displayName="ExpApr103" ref="B158:G174" totalsRowCount="1" headerRowDxfId="2666" dataDxfId="2664" totalsRowDxfId="2665">
  <autoFilter ref="B158:G173"/>
  <tableColumns count="6">
    <tableColumn id="1" name="Date" totalsRowLabel="Total" dataDxfId="2678" totalsRowDxfId="2677"/>
    <tableColumn id="2" name="w/o" dataDxfId="2676" totalsRowDxfId="2675"/>
    <tableColumn id="3" name="Amount" totalsRowFunction="sum" dataDxfId="2674" totalsRowDxfId="2673"/>
    <tableColumn id="4" name="Category" dataDxfId="2672" totalsRowDxfId="2671"/>
    <tableColumn id="6" name="Description           Bin Number          # Used" dataDxfId="2670" totalsRowDxfId="2669"/>
    <tableColumn id="5" name="Part Number - Mileage - Mech Name" dataDxfId="2668" totalsRowDxfId="2667"/>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103.xml><?xml version="1.0" encoding="utf-8"?>
<table xmlns="http://schemas.openxmlformats.org/spreadsheetml/2006/main" id="103" name="ExpMay104" displayName="ExpMay104" ref="B178:G188" totalsRowCount="1" headerRowDxfId="2651" dataDxfId="2649" totalsRowDxfId="2650">
  <autoFilter ref="B178:G187"/>
  <tableColumns count="6">
    <tableColumn id="1" name="Date" totalsRowLabel="Total" dataDxfId="2663" totalsRowDxfId="2662"/>
    <tableColumn id="2" name="W/O" dataDxfId="2661" totalsRowDxfId="2660"/>
    <tableColumn id="3" name="Amount" totalsRowFunction="sum" dataDxfId="2659" totalsRowDxfId="2658"/>
    <tableColumn id="4" name="Category" dataDxfId="2657" totalsRowDxfId="2656"/>
    <tableColumn id="6" name="Description           Bin Number          # Used" dataDxfId="2655" totalsRowDxfId="2654"/>
    <tableColumn id="5" name="Part Number - Mileage - Mech Name" dataDxfId="2653" totalsRowDxfId="2652"/>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104.xml><?xml version="1.0" encoding="utf-8"?>
<table xmlns="http://schemas.openxmlformats.org/spreadsheetml/2006/main" id="104" name="ExpJun105" displayName="ExpJun105" ref="B192:G209" totalsRowCount="1" headerRowDxfId="2636" dataDxfId="2634" totalsRowDxfId="2635">
  <autoFilter ref="B192:G208"/>
  <tableColumns count="6">
    <tableColumn id="1" name="Date" totalsRowLabel="Total" dataDxfId="2648" totalsRowDxfId="2647"/>
    <tableColumn id="2" name="W/O #" dataDxfId="2646" totalsRowDxfId="2645"/>
    <tableColumn id="3" name="Amount" totalsRowFunction="sum" dataDxfId="2644" totalsRowDxfId="2643"/>
    <tableColumn id="4" name="Category" dataDxfId="2642" totalsRowDxfId="2641"/>
    <tableColumn id="6" name="Description           Bin Number          # Used" dataDxfId="2640" totalsRowDxfId="2639"/>
    <tableColumn id="5" name="Part Number - Mileage - Mech Name" dataDxfId="2638" totalsRowDxfId="2637"/>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105.xml><?xml version="1.0" encoding="utf-8"?>
<table xmlns="http://schemas.openxmlformats.org/spreadsheetml/2006/main" id="105" name="ExpenseSummary106" displayName="ExpenseSummary106" ref="B18:P39" totalsRowCount="1" headerRowDxfId="2603" dataDxfId="2601" totalsRowDxfId="2602">
  <autoFilter ref="B18:P38">
    <filterColumn colId="0">
      <customFilters>
        <customFilter operator="notEqual" val=" "/>
      </customFilters>
    </filterColumn>
  </autoFilter>
  <tableColumns count="15">
    <tableColumn id="1" name="Expenses" totalsRowLabel="Total" dataDxfId="2633" totalsRowDxfId="2632"/>
    <tableColumn id="2" name="Jan" totalsRowFunction="sum" dataDxfId="2631" totalsRowDxfId="2630"/>
    <tableColumn id="3" name="Feb" totalsRowFunction="sum" dataDxfId="2629" totalsRowDxfId="2628"/>
    <tableColumn id="4" name="Mar" totalsRowFunction="sum" dataDxfId="2627" totalsRowDxfId="2626"/>
    <tableColumn id="5" name="Apr" totalsRowFunction="sum" dataDxfId="2625" totalsRowDxfId="2624"/>
    <tableColumn id="6" name="May" totalsRowFunction="sum" dataDxfId="2623" totalsRowDxfId="2622"/>
    <tableColumn id="7" name="Jun" totalsRowFunction="sum" dataDxfId="2621" totalsRowDxfId="2620"/>
    <tableColumn id="8" name="Jul" totalsRowFunction="sum" dataDxfId="2619" totalsRowDxfId="2618"/>
    <tableColumn id="9" name="Aug" totalsRowFunction="sum" dataDxfId="2617" totalsRowDxfId="2616"/>
    <tableColumn id="10" name="Sep" totalsRowFunction="sum" dataDxfId="2615" totalsRowDxfId="2614"/>
    <tableColumn id="11" name="Oct" totalsRowFunction="sum" dataDxfId="2613" totalsRowDxfId="2612"/>
    <tableColumn id="12" name="Nov" totalsRowFunction="sum" dataDxfId="2611" totalsRowDxfId="2610"/>
    <tableColumn id="13" name="Dec" totalsRowFunction="sum" dataDxfId="2609" totalsRowDxfId="2608"/>
    <tableColumn id="14" name="Total" totalsRowFunction="sum" dataDxfId="2607" totalsRowDxfId="2606">
      <calculatedColumnFormula>SUM(C19:N19)</calculatedColumnFormula>
    </tableColumn>
    <tableColumn id="15" name="Trend" dataDxfId="2605" totalsRowDxfId="2604"/>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106.xml><?xml version="1.0" encoding="utf-8"?>
<table xmlns="http://schemas.openxmlformats.org/spreadsheetml/2006/main" id="106" name="ExpJul107" displayName="ExpJul107" ref="B4:G22" totalsRowCount="1" headerRowDxfId="2588" dataDxfId="2586" totalsRowDxfId="2587">
  <autoFilter ref="B4:G21"/>
  <tableColumns count="6">
    <tableColumn id="1" name="Date" totalsRowLabel="Total" dataDxfId="2600" totalsRowDxfId="2599"/>
    <tableColumn id="2" name="W/O#" dataDxfId="2598" totalsRowDxfId="2597"/>
    <tableColumn id="3" name="Amount" totalsRowFunction="sum" dataDxfId="2596" totalsRowDxfId="2595"/>
    <tableColumn id="4" name="Category" dataDxfId="2594" totalsRowDxfId="2593"/>
    <tableColumn id="6" name="Description           Bin Number          # Used" dataDxfId="2592" totalsRowDxfId="2591"/>
    <tableColumn id="5" name="Part Number - Mileage - Mech Name" dataDxfId="2590" totalsRowDxfId="2589"/>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107.xml><?xml version="1.0" encoding="utf-8"?>
<table xmlns="http://schemas.openxmlformats.org/spreadsheetml/2006/main" id="107" name="ExpAug108" displayName="ExpAug108" ref="B26:G38" totalsRowCount="1" headerRowDxfId="2573" dataDxfId="2571" totalsRowDxfId="2572">
  <autoFilter ref="B26:G37"/>
  <tableColumns count="6">
    <tableColumn id="1" name="Date" totalsRowLabel="Total" dataDxfId="2585" totalsRowDxfId="2584"/>
    <tableColumn id="2" name="PO#" dataDxfId="2583" totalsRowDxfId="2582"/>
    <tableColumn id="3" name="Amount" totalsRowFunction="sum" dataDxfId="2581" totalsRowDxfId="2580"/>
    <tableColumn id="4" name="Category" dataDxfId="2579" totalsRowDxfId="2578"/>
    <tableColumn id="6" name="Description           Bin Number          # Used" dataDxfId="2577" totalsRowDxfId="2576"/>
    <tableColumn id="5" name="Part Number - Mileage - Mech Name" dataDxfId="2575" totalsRowDxfId="2574"/>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108.xml><?xml version="1.0" encoding="utf-8"?>
<table xmlns="http://schemas.openxmlformats.org/spreadsheetml/2006/main" id="108" name="ExpSep109" displayName="ExpSep109" ref="B42:G52" totalsRowCount="1" headerRowDxfId="2558" dataDxfId="2556" totalsRowDxfId="2557">
  <autoFilter ref="B42:G51"/>
  <tableColumns count="6">
    <tableColumn id="1" name="Date" totalsRowLabel="Total" dataDxfId="2570" totalsRowDxfId="2569"/>
    <tableColumn id="2" name="PO#" dataDxfId="2568" totalsRowDxfId="2567"/>
    <tableColumn id="3" name="Amount" totalsRowFunction="sum" dataDxfId="2566" totalsRowDxfId="2565"/>
    <tableColumn id="4" name="Category" dataDxfId="2564" totalsRowDxfId="2563"/>
    <tableColumn id="6" name="Column1" dataDxfId="2562" totalsRowDxfId="2561"/>
    <tableColumn id="5" name="Description" dataDxfId="2560" totalsRowDxfId="2559"/>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109.xml><?xml version="1.0" encoding="utf-8"?>
<table xmlns="http://schemas.openxmlformats.org/spreadsheetml/2006/main" id="109" name="ExpenseSummary110" displayName="ExpenseSummary110" ref="B18:P39" totalsRowCount="1" headerRowDxfId="2525" dataDxfId="2523" totalsRowDxfId="2524">
  <autoFilter ref="B18:P38">
    <filterColumn colId="0">
      <customFilters>
        <customFilter operator="notEqual" val=" "/>
      </customFilters>
    </filterColumn>
  </autoFilter>
  <tableColumns count="15">
    <tableColumn id="1" name="Expenses" totalsRowLabel="Total" dataDxfId="2555" totalsRowDxfId="2554"/>
    <tableColumn id="2" name="Jan" totalsRowFunction="sum" dataDxfId="2553" totalsRowDxfId="2552"/>
    <tableColumn id="3" name="Feb" totalsRowFunction="sum" dataDxfId="2551" totalsRowDxfId="2550"/>
    <tableColumn id="4" name="Mar" totalsRowFunction="sum" dataDxfId="2549" totalsRowDxfId="2548"/>
    <tableColumn id="5" name="Apr" totalsRowFunction="sum" dataDxfId="2547" totalsRowDxfId="2546"/>
    <tableColumn id="6" name="May" totalsRowFunction="sum" dataDxfId="2545" totalsRowDxfId="2544"/>
    <tableColumn id="7" name="Jun" totalsRowFunction="sum" dataDxfId="2543" totalsRowDxfId="2542"/>
    <tableColumn id="8" name="Jul" totalsRowFunction="sum" dataDxfId="2541" totalsRowDxfId="2540"/>
    <tableColumn id="9" name="Aug" totalsRowFunction="sum" dataDxfId="2539" totalsRowDxfId="2538"/>
    <tableColumn id="10" name="Sep" totalsRowFunction="sum" dataDxfId="2537" totalsRowDxfId="2536"/>
    <tableColumn id="11" name="Oct" totalsRowFunction="sum" dataDxfId="2535" totalsRowDxfId="2534"/>
    <tableColumn id="12" name="Nov" totalsRowFunction="sum" dataDxfId="2533" totalsRowDxfId="2532"/>
    <tableColumn id="13" name="Dec" totalsRowFunction="sum" dataDxfId="2531" totalsRowDxfId="2530"/>
    <tableColumn id="14" name="Total" totalsRowFunction="sum" dataDxfId="2529" totalsRowDxfId="2528">
      <calculatedColumnFormula>SUM(C19:N19)</calculatedColumnFormula>
    </tableColumn>
    <tableColumn id="15" name="Trend" dataDxfId="2527" totalsRowDxfId="2526"/>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11.xml><?xml version="1.0" encoding="utf-8"?>
<table xmlns="http://schemas.openxmlformats.org/spreadsheetml/2006/main" id="18" name="ExpApr" displayName="ExpApr" ref="B180:G191" totalsRowCount="1" headerRowDxfId="4139" dataDxfId="4137" totalsRowDxfId="4138">
  <autoFilter ref="B180:G190"/>
  <tableColumns count="6">
    <tableColumn id="1" name="Date" totalsRowLabel="Total" dataDxfId="4151" totalsRowDxfId="4150"/>
    <tableColumn id="2" name="w/o" dataDxfId="4149" totalsRowDxfId="4148"/>
    <tableColumn id="3" name="Amount" totalsRowFunction="sum" dataDxfId="4147" totalsRowDxfId="4146"/>
    <tableColumn id="4" name="Category" dataDxfId="4145" totalsRowDxfId="4144"/>
    <tableColumn id="6" name="Description         Bin Number    number used" dataDxfId="4143" totalsRowDxfId="4142"/>
    <tableColumn id="5" name="Part Number - Mileage - Mech Name" dataDxfId="4141" totalsRowDxfId="4140"/>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110.xml><?xml version="1.0" encoding="utf-8"?>
<table xmlns="http://schemas.openxmlformats.org/spreadsheetml/2006/main" id="110" name="ExpJul111" displayName="ExpJul111" ref="B4:G18" totalsRowCount="1" headerRowDxfId="2510" dataDxfId="2508" totalsRowDxfId="2509">
  <autoFilter ref="B4:G17"/>
  <tableColumns count="6">
    <tableColumn id="1" name="Date" totalsRowLabel="Total" dataDxfId="2522" totalsRowDxfId="2521"/>
    <tableColumn id="2" name="W/O#" dataDxfId="2520" totalsRowDxfId="2519"/>
    <tableColumn id="3" name="Amount" totalsRowFunction="sum" dataDxfId="2518" totalsRowDxfId="2517"/>
    <tableColumn id="4" name="Category" dataDxfId="2516" totalsRowDxfId="2515"/>
    <tableColumn id="6" name="Description           Bin Number          # Used" dataDxfId="2514" totalsRowDxfId="2513"/>
    <tableColumn id="5" name="Part Number - Mileage - Mech Name" dataDxfId="2512" totalsRowDxfId="2511"/>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111.xml><?xml version="1.0" encoding="utf-8"?>
<table xmlns="http://schemas.openxmlformats.org/spreadsheetml/2006/main" id="111" name="ExpAug112" displayName="ExpAug112" ref="B22:G42" totalsRowCount="1" headerRowDxfId="2495" dataDxfId="2493" totalsRowDxfId="2494">
  <autoFilter ref="B22:G41"/>
  <tableColumns count="6">
    <tableColumn id="1" name="Date" totalsRowLabel="Total" dataDxfId="2507" totalsRowDxfId="2506"/>
    <tableColumn id="2" name="PO#" dataDxfId="2505" totalsRowDxfId="2504"/>
    <tableColumn id="3" name="Amount" totalsRowFunction="sum" dataDxfId="2503" totalsRowDxfId="2502"/>
    <tableColumn id="4" name="Category" dataDxfId="2501" totalsRowDxfId="2500"/>
    <tableColumn id="6" name="Description           Bin Number          # Used" dataDxfId="2499" totalsRowDxfId="2498"/>
    <tableColumn id="5" name="Part Number - Mileage - Mech Name" dataDxfId="2497" totalsRowDxfId="2496"/>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112.xml><?xml version="1.0" encoding="utf-8"?>
<table xmlns="http://schemas.openxmlformats.org/spreadsheetml/2006/main" id="112" name="ExpSep113" displayName="ExpSep113" ref="B46:G67" totalsRowCount="1" headerRowDxfId="2480" dataDxfId="2478" totalsRowDxfId="2479">
  <autoFilter ref="B46:G66"/>
  <tableColumns count="6">
    <tableColumn id="1" name="Date" totalsRowLabel="Total" dataDxfId="2492" totalsRowDxfId="2491"/>
    <tableColumn id="2" name="PO#" dataDxfId="2490" totalsRowDxfId="2489"/>
    <tableColumn id="3" name="Amount" totalsRowFunction="sum" dataDxfId="2488" totalsRowDxfId="2487"/>
    <tableColumn id="4" name="Category" dataDxfId="2486" totalsRowDxfId="2485"/>
    <tableColumn id="6" name="Description           Bin Number          # Used" dataDxfId="2484" totalsRowDxfId="2483"/>
    <tableColumn id="5" name="Part Number - Mileage - Mech Name" dataDxfId="2482" totalsRowDxfId="2481"/>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113.xml><?xml version="1.0" encoding="utf-8"?>
<table xmlns="http://schemas.openxmlformats.org/spreadsheetml/2006/main" id="113" name="ExpOct114" displayName="ExpOct114" ref="B71:G83" totalsRowCount="1" headerRowDxfId="2465" dataDxfId="2463" totalsRowDxfId="2464">
  <autoFilter ref="B71:G82"/>
  <tableColumns count="6">
    <tableColumn id="1" name="Date" totalsRowLabel="Total" dataDxfId="2477" totalsRowDxfId="2476"/>
    <tableColumn id="2" name="W/O" dataDxfId="2475" totalsRowDxfId="2474"/>
    <tableColumn id="3" name="Amount" totalsRowFunction="sum" dataDxfId="2473" totalsRowDxfId="2472"/>
    <tableColumn id="4" name="Category" dataDxfId="2471" totalsRowDxfId="2470"/>
    <tableColumn id="6" name="Description           Bin Number          # Used" dataDxfId="2469" totalsRowDxfId="2468"/>
    <tableColumn id="5" name="Part Number - Mileage - Mech Name" dataDxfId="2467" totalsRowDxfId="2466"/>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114.xml><?xml version="1.0" encoding="utf-8"?>
<table xmlns="http://schemas.openxmlformats.org/spreadsheetml/2006/main" id="114" name="ExpNov115" displayName="ExpNov115" ref="B87:G98" totalsRowCount="1" headerRowDxfId="2450" dataDxfId="2448" totalsRowDxfId="2449">
  <autoFilter ref="B87:G97"/>
  <tableColumns count="6">
    <tableColumn id="1" name="Date" totalsRowLabel="Total" dataDxfId="2462" totalsRowDxfId="2461"/>
    <tableColumn id="2" name="W/O" dataDxfId="2460" totalsRowDxfId="2459"/>
    <tableColumn id="3" name="Amount" totalsRowFunction="sum" dataDxfId="2458" totalsRowDxfId="2457"/>
    <tableColumn id="4" name="Category" dataDxfId="2456" totalsRowDxfId="2455"/>
    <tableColumn id="6" name="Column1" dataDxfId="2454" totalsRowDxfId="2453"/>
    <tableColumn id="5" name="Description" dataDxfId="2452" totalsRowDxfId="2451"/>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115.xml><?xml version="1.0" encoding="utf-8"?>
<table xmlns="http://schemas.openxmlformats.org/spreadsheetml/2006/main" id="115" name="ExpDec116" displayName="ExpDec116" ref="B102:G109" totalsRowCount="1" headerRowDxfId="2435" dataDxfId="2433" totalsRowDxfId="2434">
  <autoFilter ref="B102:G108"/>
  <tableColumns count="6">
    <tableColumn id="1" name="Date" totalsRowLabel="Total" dataDxfId="2447" totalsRowDxfId="2446"/>
    <tableColumn id="2" name="W/O" dataDxfId="2445" totalsRowDxfId="2444"/>
    <tableColumn id="3" name="Amount" totalsRowFunction="sum" dataDxfId="2443" totalsRowDxfId="2442"/>
    <tableColumn id="4" name="Category" dataDxfId="2441" totalsRowDxfId="2440"/>
    <tableColumn id="6" name="Column1" dataDxfId="2439" totalsRowDxfId="2438"/>
    <tableColumn id="5" name="Description" dataDxfId="2437" totalsRowDxfId="2436"/>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116.xml><?xml version="1.0" encoding="utf-8"?>
<table xmlns="http://schemas.openxmlformats.org/spreadsheetml/2006/main" id="116" name="ExpJan117" displayName="ExpJan117" ref="B113:G122" totalsRowCount="1" headerRowDxfId="2420" dataDxfId="2418" totalsRowDxfId="2419">
  <autoFilter ref="B113:G121"/>
  <tableColumns count="6">
    <tableColumn id="1" name="Date" totalsRowLabel="Total" dataDxfId="2432" totalsRowDxfId="2431"/>
    <tableColumn id="2" name="Work Order" dataDxfId="2430" totalsRowDxfId="2429"/>
    <tableColumn id="3" name="Amount" totalsRowFunction="sum" dataDxfId="2428" totalsRowDxfId="2427"/>
    <tableColumn id="4" name="Category" dataDxfId="2426" totalsRowDxfId="2425"/>
    <tableColumn id="6" name="Column1" dataDxfId="2424" totalsRowDxfId="2423"/>
    <tableColumn id="5" name="Description" dataDxfId="2422" totalsRowDxfId="2421"/>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117.xml><?xml version="1.0" encoding="utf-8"?>
<table xmlns="http://schemas.openxmlformats.org/spreadsheetml/2006/main" id="117" name="ExpFeb118" displayName="ExpFeb118" ref="B126:G135" totalsRowCount="1" headerRowDxfId="2405" dataDxfId="2403" totalsRowDxfId="2404">
  <autoFilter ref="B126:G134"/>
  <tableColumns count="6">
    <tableColumn id="1" name="Date" totalsRowLabel="Total" dataDxfId="2417" totalsRowDxfId="2416"/>
    <tableColumn id="2" name="W/O" dataDxfId="2415" totalsRowDxfId="2414"/>
    <tableColumn id="3" name="Amount" totalsRowFunction="sum" dataDxfId="2413" totalsRowDxfId="2412"/>
    <tableColumn id="4" name="Category" dataDxfId="2411" totalsRowDxfId="2410"/>
    <tableColumn id="5" name="Description           Bin Number          # Used" dataDxfId="2409" totalsRowDxfId="2408"/>
    <tableColumn id="6" name="Part Number - Mileage - Mech Name" dataDxfId="2407" totalsRowDxfId="2406"/>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118.xml><?xml version="1.0" encoding="utf-8"?>
<table xmlns="http://schemas.openxmlformats.org/spreadsheetml/2006/main" id="118" name="ExpMar119" displayName="ExpMar119" ref="B139:G154" totalsRowCount="1" headerRowDxfId="2390" dataDxfId="2388" totalsRowDxfId="2389">
  <autoFilter ref="B139:G153"/>
  <tableColumns count="6">
    <tableColumn id="1" name="Date" totalsRowLabel="Total" dataDxfId="2402" totalsRowDxfId="2401"/>
    <tableColumn id="2" name="W/O" dataDxfId="2400" totalsRowDxfId="2399"/>
    <tableColumn id="3" name="Amount" totalsRowFunction="sum" dataDxfId="2398" totalsRowDxfId="2397"/>
    <tableColumn id="4" name="Category" dataDxfId="2396" totalsRowDxfId="2395"/>
    <tableColumn id="6" name="Description           Bin Number          # Used" dataDxfId="2394" totalsRowDxfId="2393"/>
    <tableColumn id="5" name="Part Number - Mileage - Mech Name" dataDxfId="2392" totalsRowDxfId="2391"/>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119.xml><?xml version="1.0" encoding="utf-8"?>
<table xmlns="http://schemas.openxmlformats.org/spreadsheetml/2006/main" id="119" name="ExpApr120" displayName="ExpApr120" ref="B158:G171" totalsRowCount="1" headerRowDxfId="2375" dataDxfId="2373" totalsRowDxfId="2374">
  <autoFilter ref="B158:G170"/>
  <tableColumns count="6">
    <tableColumn id="1" name="Date" totalsRowLabel="Total" dataDxfId="2387" totalsRowDxfId="2386"/>
    <tableColumn id="2" name="w/o" dataDxfId="2385" totalsRowDxfId="2384"/>
    <tableColumn id="3" name="Amount" totalsRowFunction="sum" dataDxfId="2383" totalsRowDxfId="2382"/>
    <tableColumn id="4" name="Category" dataDxfId="2381" totalsRowDxfId="2380"/>
    <tableColumn id="6" name="Description           Bin Number          # Used" dataDxfId="2379" totalsRowDxfId="2378"/>
    <tableColumn id="5" name="Part Number - Mileage - Mech Name" dataDxfId="2377" totalsRowDxfId="2376"/>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12.xml><?xml version="1.0" encoding="utf-8"?>
<table xmlns="http://schemas.openxmlformats.org/spreadsheetml/2006/main" id="19" name="ExpMay" displayName="ExpMay" ref="B195:G210" totalsRowCount="1" headerRowDxfId="4124" dataDxfId="4122" totalsRowDxfId="4123" dataCellStyle="Normal">
  <autoFilter ref="B195:G209"/>
  <tableColumns count="6">
    <tableColumn id="1" name="Date" totalsRowLabel="Total" dataDxfId="4136" totalsRowDxfId="4135" dataCellStyle="Normal"/>
    <tableColumn id="2" name="W/O" dataDxfId="4134" totalsRowDxfId="4133" dataCellStyle="Normal"/>
    <tableColumn id="3" name="Amount" totalsRowFunction="sum" dataDxfId="4132" totalsRowDxfId="4131" dataCellStyle="Normal"/>
    <tableColumn id="4" name="Category" dataDxfId="4130" totalsRowDxfId="4129" dataCellStyle="Normal"/>
    <tableColumn id="5" name="Description         Bin Number    number used" dataDxfId="4128" totalsRowDxfId="4127" dataCellStyle="Normal"/>
    <tableColumn id="6" name="Part Number - Mileage - Mech Name" dataDxfId="4126" totalsRowDxfId="4125" dataCellStyle="Normal"/>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120.xml><?xml version="1.0" encoding="utf-8"?>
<table xmlns="http://schemas.openxmlformats.org/spreadsheetml/2006/main" id="120" name="ExpMay121" displayName="ExpMay121" ref="B175:G183" totalsRowCount="1" headerRowDxfId="2360" dataDxfId="2358" totalsRowDxfId="2359">
  <autoFilter ref="B175:G182"/>
  <tableColumns count="6">
    <tableColumn id="1" name="Date" totalsRowLabel="Total" dataDxfId="2372" totalsRowDxfId="2371"/>
    <tableColumn id="2" name="W/O" dataDxfId="2370" totalsRowDxfId="2369"/>
    <tableColumn id="3" name="Amount" totalsRowFunction="sum" dataDxfId="2368" totalsRowDxfId="2367"/>
    <tableColumn id="4" name="Category" dataDxfId="2366" totalsRowDxfId="2365"/>
    <tableColumn id="6" name="Description           Bin Number          # Used" dataDxfId="2364" totalsRowDxfId="2363"/>
    <tableColumn id="5" name="Part Number - Mileage - Mech Name" dataDxfId="2362" totalsRowDxfId="2361"/>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121.xml><?xml version="1.0" encoding="utf-8"?>
<table xmlns="http://schemas.openxmlformats.org/spreadsheetml/2006/main" id="121" name="ExpJun122" displayName="ExpJun122" ref="B187:G199" totalsRowCount="1" headerRowDxfId="2345" dataDxfId="2343" totalsRowDxfId="2344">
  <autoFilter ref="B187:G198"/>
  <tableColumns count="6">
    <tableColumn id="1" name="Date" totalsRowLabel="Total" dataDxfId="2357" totalsRowDxfId="2356"/>
    <tableColumn id="2" name="W/O #" dataDxfId="2355" totalsRowDxfId="2354"/>
    <tableColumn id="3" name="Amount" totalsRowFunction="sum" dataDxfId="2353" totalsRowDxfId="2352"/>
    <tableColumn id="4" name="Category" dataDxfId="2351" totalsRowDxfId="2350"/>
    <tableColumn id="6" name="Description           Bin Number          # Used" dataDxfId="2349" totalsRowDxfId="2348"/>
    <tableColumn id="5" name="Part Number - Mileage - Mech Name" dataDxfId="2347" totalsRowDxfId="2346"/>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122.xml><?xml version="1.0" encoding="utf-8"?>
<table xmlns="http://schemas.openxmlformats.org/spreadsheetml/2006/main" id="122" name="ExpenseSummary123" displayName="ExpenseSummary123" ref="B18:P39" totalsRowCount="1" headerRowDxfId="2312" dataDxfId="2310" totalsRowDxfId="2311">
  <autoFilter ref="B18:P38">
    <filterColumn colId="0">
      <customFilters>
        <customFilter operator="notEqual" val=" "/>
      </customFilters>
    </filterColumn>
  </autoFilter>
  <tableColumns count="15">
    <tableColumn id="1" name="Expenses" totalsRowLabel="Total" dataDxfId="2342" totalsRowDxfId="2341" dataCellStyle="Normal 2"/>
    <tableColumn id="2" name="Jan" totalsRowFunction="sum" dataDxfId="2340" totalsRowDxfId="2339" dataCellStyle="Normal 2"/>
    <tableColumn id="3" name="Feb" totalsRowFunction="sum" dataDxfId="2338" totalsRowDxfId="2337" dataCellStyle="Normal 2"/>
    <tableColumn id="4" name="Mar" totalsRowFunction="sum" dataDxfId="2336" totalsRowDxfId="2335" dataCellStyle="Normal 2"/>
    <tableColumn id="5" name="Apr" totalsRowFunction="sum" dataDxfId="2334" totalsRowDxfId="2333" dataCellStyle="Normal 2"/>
    <tableColumn id="6" name="May" totalsRowFunction="sum" dataDxfId="2332" totalsRowDxfId="2331" dataCellStyle="Normal 2"/>
    <tableColumn id="7" name="Jun" totalsRowFunction="sum" dataDxfId="2330" totalsRowDxfId="2329" dataCellStyle="Normal 2"/>
    <tableColumn id="8" name="Jul" totalsRowFunction="sum" dataDxfId="2328" totalsRowDxfId="2327" dataCellStyle="Normal 2"/>
    <tableColumn id="9" name="Aug" totalsRowFunction="sum" dataDxfId="2326" totalsRowDxfId="2325" dataCellStyle="Normal 2"/>
    <tableColumn id="10" name="Sep" totalsRowFunction="sum" dataDxfId="2324" totalsRowDxfId="2323" dataCellStyle="Normal 2"/>
    <tableColumn id="11" name="Oct" totalsRowFunction="sum" dataDxfId="2322" totalsRowDxfId="2321" dataCellStyle="Normal 2"/>
    <tableColumn id="12" name="Nov" totalsRowFunction="sum" dataDxfId="2320" totalsRowDxfId="2319" dataCellStyle="Normal 2"/>
    <tableColumn id="13" name="Dec" totalsRowFunction="sum" dataDxfId="2318" totalsRowDxfId="2317" dataCellStyle="Normal 2"/>
    <tableColumn id="14" name="Total" totalsRowFunction="sum" dataDxfId="2316" totalsRowDxfId="2315" dataCellStyle="Normal 2">
      <calculatedColumnFormula>SUM(C19:N19)</calculatedColumnFormula>
    </tableColumn>
    <tableColumn id="15" name="Trend" dataDxfId="2314" totalsRowDxfId="2313" dataCellStyle="Normal 2"/>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123.xml><?xml version="1.0" encoding="utf-8"?>
<table xmlns="http://schemas.openxmlformats.org/spreadsheetml/2006/main" id="123" name="ExpJul124" displayName="ExpJul124" ref="B4:G11" totalsRowCount="1" headerRowDxfId="2297" dataDxfId="2295" totalsRowDxfId="2296">
  <autoFilter ref="B4:G10"/>
  <tableColumns count="6">
    <tableColumn id="1" name="Date" totalsRowLabel="Total" dataDxfId="2309" totalsRowDxfId="2308"/>
    <tableColumn id="2" name="W/O#" dataDxfId="2307" totalsRowDxfId="2306"/>
    <tableColumn id="3" name="Amount" totalsRowFunction="sum" dataDxfId="2305" totalsRowDxfId="2304"/>
    <tableColumn id="4" name="Category" dataDxfId="2303" totalsRowDxfId="2302"/>
    <tableColumn id="6" name="Description           Bin Number          # Used" dataDxfId="2301" totalsRowDxfId="2300"/>
    <tableColumn id="5" name="Part Number - Mileage - Mech Name" dataDxfId="2299" totalsRowDxfId="2298"/>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124.xml><?xml version="1.0" encoding="utf-8"?>
<table xmlns="http://schemas.openxmlformats.org/spreadsheetml/2006/main" id="124" name="ExpAug125" displayName="ExpAug125" ref="B15:G28" totalsRowCount="1" headerRowDxfId="2282" dataDxfId="2280" totalsRowDxfId="2281">
  <autoFilter ref="B15:G27"/>
  <tableColumns count="6">
    <tableColumn id="1" name="Date" totalsRowLabel="Total" dataDxfId="2294" totalsRowDxfId="2293"/>
    <tableColumn id="2" name="PO#" dataDxfId="2292" totalsRowDxfId="2291"/>
    <tableColumn id="3" name="Amount" totalsRowFunction="sum" dataDxfId="2290" totalsRowDxfId="2289"/>
    <tableColumn id="4" name="Category" dataDxfId="2288" totalsRowDxfId="2287"/>
    <tableColumn id="6" name="Description           Bin Number          # Used" dataDxfId="2286" totalsRowDxfId="2285"/>
    <tableColumn id="5" name="Part Number - Mileage - Mech Name" dataDxfId="2284" totalsRowDxfId="2283"/>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125.xml><?xml version="1.0" encoding="utf-8"?>
<table xmlns="http://schemas.openxmlformats.org/spreadsheetml/2006/main" id="125" name="ExpSep126" displayName="ExpSep126" ref="B32:G42" totalsRowCount="1" headerRowDxfId="2267" dataDxfId="2265" totalsRowDxfId="2266">
  <autoFilter ref="B32:G41"/>
  <tableColumns count="6">
    <tableColumn id="1" name="Date" totalsRowLabel="Total" dataDxfId="2279" totalsRowDxfId="2278"/>
    <tableColumn id="2" name="PO#" dataDxfId="2277" totalsRowDxfId="2276"/>
    <tableColumn id="3" name="Amount" totalsRowFunction="sum" dataDxfId="2275" totalsRowDxfId="2274"/>
    <tableColumn id="4" name="Category" dataDxfId="2273" totalsRowDxfId="2272"/>
    <tableColumn id="6" name="Description           Bin Number          # Used" dataDxfId="2271" totalsRowDxfId="2270"/>
    <tableColumn id="5" name="Part Number - Mileage - Mech Name" dataDxfId="2269" totalsRowDxfId="2268"/>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126.xml><?xml version="1.0" encoding="utf-8"?>
<table xmlns="http://schemas.openxmlformats.org/spreadsheetml/2006/main" id="126" name="ExpOct127" displayName="ExpOct127" ref="B46:G58" totalsRowCount="1" headerRowDxfId="2252" dataDxfId="2250" totalsRowDxfId="2251">
  <autoFilter ref="B46:G57"/>
  <tableColumns count="6">
    <tableColumn id="1" name="Date" totalsRowLabel="Total" dataDxfId="2264" totalsRowDxfId="2263"/>
    <tableColumn id="2" name="W/O" dataDxfId="2262" totalsRowDxfId="2261"/>
    <tableColumn id="3" name="Amount" totalsRowFunction="sum" dataDxfId="2260" totalsRowDxfId="2259"/>
    <tableColumn id="4" name="Category" dataDxfId="2258" totalsRowDxfId="2257"/>
    <tableColumn id="6" name="Description           Bin Number          # Used" dataDxfId="2256" totalsRowDxfId="2255"/>
    <tableColumn id="5" name="Part Number - Mileage - Mech Name" dataDxfId="2254" totalsRowDxfId="2253"/>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127.xml><?xml version="1.0" encoding="utf-8"?>
<table xmlns="http://schemas.openxmlformats.org/spreadsheetml/2006/main" id="127" name="ExpNov128" displayName="ExpNov128" ref="B62:G73" totalsRowCount="1" headerRowDxfId="2237" dataDxfId="2235" totalsRowDxfId="2236">
  <autoFilter ref="B62:G72"/>
  <tableColumns count="6">
    <tableColumn id="1" name="Date" totalsRowLabel="Total" dataDxfId="2249" totalsRowDxfId="2248"/>
    <tableColumn id="2" name="W/O" dataDxfId="2247" totalsRowDxfId="2246"/>
    <tableColumn id="3" name="Amount" totalsRowFunction="sum" dataDxfId="2245" totalsRowDxfId="2244"/>
    <tableColumn id="4" name="Category" dataDxfId="2243" totalsRowDxfId="2242"/>
    <tableColumn id="6" name="Column1" dataDxfId="2241" totalsRowDxfId="2240"/>
    <tableColumn id="5" name="Description" dataDxfId="2239" totalsRowDxfId="2238"/>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128.xml><?xml version="1.0" encoding="utf-8"?>
<table xmlns="http://schemas.openxmlformats.org/spreadsheetml/2006/main" id="128" name="ExpDec129" displayName="ExpDec129" ref="B77:G84" totalsRowCount="1" headerRowDxfId="2222" dataDxfId="2220" totalsRowDxfId="2221">
  <autoFilter ref="B77:G83"/>
  <tableColumns count="6">
    <tableColumn id="1" name="Date" totalsRowLabel="Total" dataDxfId="2234" totalsRowDxfId="2233"/>
    <tableColumn id="2" name="W/O" dataDxfId="2232" totalsRowDxfId="2231"/>
    <tableColumn id="3" name="Amount" totalsRowFunction="sum" dataDxfId="2230" totalsRowDxfId="2229"/>
    <tableColumn id="4" name="Category" dataDxfId="2228" totalsRowDxfId="2227"/>
    <tableColumn id="6" name="Column1" dataDxfId="2226" totalsRowDxfId="2225"/>
    <tableColumn id="5" name="Description" dataDxfId="2224" totalsRowDxfId="2223"/>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129.xml><?xml version="1.0" encoding="utf-8"?>
<table xmlns="http://schemas.openxmlformats.org/spreadsheetml/2006/main" id="129" name="ExpJan130" displayName="ExpJan130" ref="B88:G97" totalsRowCount="1" headerRowDxfId="2207" dataDxfId="2205" totalsRowDxfId="2206">
  <autoFilter ref="B88:G96"/>
  <tableColumns count="6">
    <tableColumn id="1" name="Date" totalsRowLabel="Total" dataDxfId="2219" totalsRowDxfId="2218"/>
    <tableColumn id="2" name="Work Order" dataDxfId="2217" totalsRowDxfId="2216"/>
    <tableColumn id="3" name="Amount" totalsRowFunction="sum" dataDxfId="2215" totalsRowDxfId="2214"/>
    <tableColumn id="4" name="Category" dataDxfId="2213" totalsRowDxfId="2212"/>
    <tableColumn id="6" name="Column1" dataDxfId="2211" totalsRowDxfId="2210"/>
    <tableColumn id="5" name="Description" dataDxfId="2209" totalsRowDxfId="2208"/>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13.xml><?xml version="1.0" encoding="utf-8"?>
<table xmlns="http://schemas.openxmlformats.org/spreadsheetml/2006/main" id="20" name="ExpJun" displayName="ExpJun" ref="B214:G230" totalsRowCount="1" headerRowDxfId="4109" dataDxfId="4107" totalsRowDxfId="4108">
  <autoFilter ref="B214:G229"/>
  <tableColumns count="6">
    <tableColumn id="1" name="Date" totalsRowLabel="Total" dataDxfId="4121" totalsRowDxfId="4120"/>
    <tableColumn id="2" name="W/O #" dataDxfId="4119" totalsRowDxfId="4118"/>
    <tableColumn id="3" name="Amount" totalsRowFunction="sum" dataDxfId="4117" totalsRowDxfId="4116"/>
    <tableColumn id="4" name="Category" dataDxfId="4115" totalsRowDxfId="4114"/>
    <tableColumn id="6" name="Description         Bin Number    number used" dataDxfId="4113" totalsRowDxfId="4112"/>
    <tableColumn id="5" name="Part Number - Mileage - Mech Name" dataDxfId="4111" totalsRowDxfId="4110"/>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130.xml><?xml version="1.0" encoding="utf-8"?>
<table xmlns="http://schemas.openxmlformats.org/spreadsheetml/2006/main" id="130" name="ExpFeb131" displayName="ExpFeb131" ref="B101:G113" totalsRowCount="1" headerRowDxfId="2192" dataDxfId="2190" totalsRowDxfId="2191">
  <autoFilter ref="B101:G112"/>
  <tableColumns count="6">
    <tableColumn id="1" name="Date" totalsRowLabel="Total" dataDxfId="2204" totalsRowDxfId="2203"/>
    <tableColumn id="2" name="W/O" dataDxfId="2202" totalsRowDxfId="2201"/>
    <tableColumn id="3" name="Amount" totalsRowFunction="sum" dataDxfId="2200" totalsRowDxfId="2199"/>
    <tableColumn id="4" name="Category" dataDxfId="2198" totalsRowDxfId="2197"/>
    <tableColumn id="5" name="Description           Bin Number          # Used" dataDxfId="2196" totalsRowDxfId="2195"/>
    <tableColumn id="6" name="Part Number - Mileage - Mech Name" dataDxfId="2194" totalsRowDxfId="2193"/>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131.xml><?xml version="1.0" encoding="utf-8"?>
<table xmlns="http://schemas.openxmlformats.org/spreadsheetml/2006/main" id="131" name="ExpMar132" displayName="ExpMar132" ref="B117:G131" totalsRowCount="1" headerRowDxfId="2177" dataDxfId="2175" totalsRowDxfId="2176">
  <autoFilter ref="B117:G130"/>
  <tableColumns count="6">
    <tableColumn id="1" name="Date" totalsRowLabel="Total" dataDxfId="2189" totalsRowDxfId="2188"/>
    <tableColumn id="2" name="W/O" dataDxfId="2187" totalsRowDxfId="2186"/>
    <tableColumn id="3" name="Amount" totalsRowFunction="sum" dataDxfId="2185" totalsRowDxfId="2184"/>
    <tableColumn id="4" name="Category" dataDxfId="2183" totalsRowDxfId="2182"/>
    <tableColumn id="6" name="Description           Bin Number          # Used" dataDxfId="2181" totalsRowDxfId="2180"/>
    <tableColumn id="5" name="Part Number - Mileage - Mech Name" dataDxfId="2179" totalsRowDxfId="2178"/>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132.xml><?xml version="1.0" encoding="utf-8"?>
<table xmlns="http://schemas.openxmlformats.org/spreadsheetml/2006/main" id="132" name="ExpApr133" displayName="ExpApr133" ref="B135:G147" totalsRowCount="1" headerRowDxfId="2162" dataDxfId="2160" totalsRowDxfId="2161">
  <autoFilter ref="B135:G146"/>
  <tableColumns count="6">
    <tableColumn id="1" name="Date" totalsRowLabel="Total" dataDxfId="2174" totalsRowDxfId="2173"/>
    <tableColumn id="2" name="w/o" dataDxfId="2172" totalsRowDxfId="2171"/>
    <tableColumn id="3" name="Amount" totalsRowFunction="sum" dataDxfId="2170" totalsRowDxfId="2169"/>
    <tableColumn id="4" name="Category" dataDxfId="2168" totalsRowDxfId="2167"/>
    <tableColumn id="6" name="Description           Bin Number          # Used" dataDxfId="2166" totalsRowDxfId="2165"/>
    <tableColumn id="5" name="Part Number - Mileage - Mech Name" dataDxfId="2164" totalsRowDxfId="2163"/>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133.xml><?xml version="1.0" encoding="utf-8"?>
<table xmlns="http://schemas.openxmlformats.org/spreadsheetml/2006/main" id="133" name="ExpMay134" displayName="ExpMay134" ref="B151:G164" totalsRowCount="1" headerRowDxfId="2147" dataDxfId="2145" totalsRowDxfId="2146">
  <autoFilter ref="B151:G163"/>
  <tableColumns count="6">
    <tableColumn id="1" name="Date" totalsRowLabel="Total" dataDxfId="2159" totalsRowDxfId="2158"/>
    <tableColumn id="2" name="W/O" dataDxfId="2157" totalsRowDxfId="2156"/>
    <tableColumn id="3" name="Amount" totalsRowFunction="sum" dataDxfId="2155" totalsRowDxfId="2154"/>
    <tableColumn id="4" name="Category" dataDxfId="2153" totalsRowDxfId="2152"/>
    <tableColumn id="6" name="Description           Bin Number          # Used" dataDxfId="2151" totalsRowDxfId="2150"/>
    <tableColumn id="5" name="Part Number - Mileage - Mech Name" dataDxfId="2149" totalsRowDxfId="2148"/>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134.xml><?xml version="1.0" encoding="utf-8"?>
<table xmlns="http://schemas.openxmlformats.org/spreadsheetml/2006/main" id="134" name="ExpJun135" displayName="ExpJun135" ref="B168:G180" totalsRowCount="1" headerRowDxfId="2132" dataDxfId="2130" totalsRowDxfId="2131">
  <autoFilter ref="B168:G179"/>
  <tableColumns count="6">
    <tableColumn id="1" name="Date" totalsRowLabel="Total" dataDxfId="2144" totalsRowDxfId="2143"/>
    <tableColumn id="2" name="W/O #" dataDxfId="2142" totalsRowDxfId="2141"/>
    <tableColumn id="3" name="Amount" totalsRowFunction="sum" dataDxfId="2140" totalsRowDxfId="2139"/>
    <tableColumn id="4" name="Category" dataDxfId="2138" totalsRowDxfId="2137"/>
    <tableColumn id="6" name="Description           Bin Number          # Used" dataDxfId="2136" totalsRowDxfId="2135"/>
    <tableColumn id="5" name="Part Number - Mileage - Mech Name" dataDxfId="2134" totalsRowDxfId="2133"/>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135.xml><?xml version="1.0" encoding="utf-8"?>
<table xmlns="http://schemas.openxmlformats.org/spreadsheetml/2006/main" id="135" name="ExpenseSummary136" displayName="ExpenseSummary136" ref="B18:P39" totalsRowCount="1" headerRowDxfId="2099" dataDxfId="2097" totalsRowDxfId="2098">
  <autoFilter ref="B18:P38">
    <filterColumn colId="0">
      <customFilters>
        <customFilter operator="notEqual" val=" "/>
      </customFilters>
    </filterColumn>
  </autoFilter>
  <tableColumns count="15">
    <tableColumn id="1" name="Expenses" totalsRowLabel="Total" dataDxfId="2129" totalsRowDxfId="2128"/>
    <tableColumn id="2" name="Jan" totalsRowFunction="sum" dataDxfId="2127" totalsRowDxfId="2126"/>
    <tableColumn id="3" name="Feb" totalsRowFunction="sum" dataDxfId="2125" totalsRowDxfId="2124"/>
    <tableColumn id="4" name="Mar" totalsRowFunction="sum" dataDxfId="2123" totalsRowDxfId="2122"/>
    <tableColumn id="5" name="Apr" totalsRowFunction="sum" dataDxfId="2121" totalsRowDxfId="2120"/>
    <tableColumn id="6" name="May" totalsRowFunction="sum" dataDxfId="2119" totalsRowDxfId="2118"/>
    <tableColumn id="7" name="Jun" totalsRowFunction="sum" dataDxfId="2117" totalsRowDxfId="2116"/>
    <tableColumn id="8" name="Jul" totalsRowFunction="sum" dataDxfId="2115" totalsRowDxfId="2114"/>
    <tableColumn id="9" name="Aug" totalsRowFunction="sum" dataDxfId="2113" totalsRowDxfId="2112"/>
    <tableColumn id="10" name="Sep" totalsRowFunction="sum" dataDxfId="2111" totalsRowDxfId="2110"/>
    <tableColumn id="11" name="Oct" totalsRowFunction="sum" dataDxfId="2109" totalsRowDxfId="2108"/>
    <tableColumn id="12" name="Nov" totalsRowFunction="sum" dataDxfId="2107" totalsRowDxfId="2106"/>
    <tableColumn id="13" name="Dec" totalsRowFunction="sum" dataDxfId="2105" totalsRowDxfId="2104"/>
    <tableColumn id="14" name="Total" totalsRowFunction="sum" dataDxfId="2103" totalsRowDxfId="2102">
      <calculatedColumnFormula>SUM(C19:N19)</calculatedColumnFormula>
    </tableColumn>
    <tableColumn id="15" name="Trend" dataDxfId="2101" totalsRowDxfId="2100"/>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136.xml><?xml version="1.0" encoding="utf-8"?>
<table xmlns="http://schemas.openxmlformats.org/spreadsheetml/2006/main" id="136" name="ExpJul137" displayName="ExpJul137" ref="B4:G12" totalsRowCount="1" headerRowDxfId="2084" dataDxfId="2082" totalsRowDxfId="2083">
  <autoFilter ref="B4:G11"/>
  <tableColumns count="6">
    <tableColumn id="1" name="Date" totalsRowLabel="Total" dataDxfId="2096" totalsRowDxfId="2095"/>
    <tableColumn id="2" name="W/O#" dataDxfId="2094" totalsRowDxfId="2093"/>
    <tableColumn id="3" name="Amount" totalsRowFunction="sum" dataDxfId="2092" totalsRowDxfId="2091"/>
    <tableColumn id="4" name="Category" dataDxfId="2090" totalsRowDxfId="2089"/>
    <tableColumn id="6" name="Description           Bin Number          # Used" dataDxfId="2088" totalsRowDxfId="2087"/>
    <tableColumn id="5" name="Part Number - Mileage - Mech Name" dataDxfId="2086" totalsRowDxfId="2085"/>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137.xml><?xml version="1.0" encoding="utf-8"?>
<table xmlns="http://schemas.openxmlformats.org/spreadsheetml/2006/main" id="137" name="ExpAug138" displayName="ExpAug138" ref="B16:G28" totalsRowCount="1" headerRowDxfId="2069" dataDxfId="2067" totalsRowDxfId="2068">
  <autoFilter ref="B16:G27"/>
  <tableColumns count="6">
    <tableColumn id="1" name="Date" totalsRowLabel="Total" dataDxfId="2081" totalsRowDxfId="2080"/>
    <tableColumn id="2" name="Work Ord" dataDxfId="2079" totalsRowDxfId="2078"/>
    <tableColumn id="3" name="Amount" totalsRowFunction="sum" dataDxfId="2077" totalsRowDxfId="2076"/>
    <tableColumn id="4" name="Category" dataDxfId="2075" totalsRowDxfId="2074"/>
    <tableColumn id="6" name="Description           Bin Number          # Used" dataDxfId="2073" totalsRowDxfId="2072"/>
    <tableColumn id="5" name="Part Number - Mileage - Mech Name" dataDxfId="2071" totalsRowDxfId="2070"/>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138.xml><?xml version="1.0" encoding="utf-8"?>
<table xmlns="http://schemas.openxmlformats.org/spreadsheetml/2006/main" id="138" name="ExpSep139" displayName="ExpSep139" ref="B32:G43" totalsRowCount="1" headerRowDxfId="2054" dataDxfId="2052" totalsRowDxfId="2053">
  <autoFilter ref="B32:G42"/>
  <tableColumns count="6">
    <tableColumn id="1" name="Date" totalsRowLabel="Total" dataDxfId="2066" totalsRowDxfId="2065"/>
    <tableColumn id="2" name="Work Ord " dataDxfId="2064" totalsRowDxfId="2063"/>
    <tableColumn id="3" name="Amount" totalsRowFunction="sum" dataDxfId="2062" totalsRowDxfId="2061"/>
    <tableColumn id="4" name="Category" dataDxfId="2060" totalsRowDxfId="2059"/>
    <tableColumn id="6" name="Description           Bin Number          # Used" dataDxfId="2058" totalsRowDxfId="2057"/>
    <tableColumn id="5" name="Part Number - Mileage - Mech Name" dataDxfId="2056" totalsRowDxfId="2055"/>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139.xml><?xml version="1.0" encoding="utf-8"?>
<table xmlns="http://schemas.openxmlformats.org/spreadsheetml/2006/main" id="139" name="ExpOct140" displayName="ExpOct140" ref="B47:G59" totalsRowCount="1" headerRowDxfId="2039" dataDxfId="2037" totalsRowDxfId="2038">
  <autoFilter ref="B47:G58"/>
  <tableColumns count="6">
    <tableColumn id="1" name="Date" totalsRowLabel="Total" dataDxfId="2051" totalsRowDxfId="2050"/>
    <tableColumn id="2" name="W/O" dataDxfId="2049" totalsRowDxfId="2048"/>
    <tableColumn id="3" name="Amount" totalsRowFunction="sum" dataDxfId="2047" totalsRowDxfId="2046"/>
    <tableColumn id="4" name="Category" dataDxfId="2045" totalsRowDxfId="2044"/>
    <tableColumn id="6" name="Description           Bin Number          # Used" dataDxfId="2043" totalsRowDxfId="2042"/>
    <tableColumn id="5" name="Part Number - Mileage - Mech Name" dataDxfId="2041" totalsRowDxfId="2040"/>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14.xml><?xml version="1.0" encoding="utf-8"?>
<table xmlns="http://schemas.openxmlformats.org/spreadsheetml/2006/main" id="21" name="ExpenseSummary22" displayName="ExpenseSummary22" ref="B18:P39" totalsRowCount="1" headerRowDxfId="4076" dataDxfId="4074" totalsRowDxfId="4075">
  <autoFilter ref="B18:P38">
    <filterColumn colId="0">
      <customFilters>
        <customFilter operator="notEqual" val=" "/>
      </customFilters>
    </filterColumn>
    <filterColumn colId="13">
      <filters blank="1"/>
    </filterColumn>
  </autoFilter>
  <tableColumns count="15">
    <tableColumn id="1" name="Expenses" totalsRowLabel="Total" dataDxfId="4106" totalsRowDxfId="4105"/>
    <tableColumn id="2" name="Jan" totalsRowFunction="sum" dataDxfId="4104" totalsRowDxfId="4103"/>
    <tableColumn id="3" name="Feb" totalsRowFunction="sum" dataDxfId="4102" totalsRowDxfId="4101"/>
    <tableColumn id="4" name="Mar" totalsRowFunction="sum" dataDxfId="4100" totalsRowDxfId="4099"/>
    <tableColumn id="5" name="Apr" totalsRowFunction="sum" dataDxfId="4098" totalsRowDxfId="4097"/>
    <tableColumn id="6" name="May" totalsRowFunction="sum" dataDxfId="4096" totalsRowDxfId="4095"/>
    <tableColumn id="7" name="Jun" totalsRowFunction="sum" dataDxfId="4094" totalsRowDxfId="4093"/>
    <tableColumn id="8" name="Jul" totalsRowFunction="sum" dataDxfId="4092" totalsRowDxfId="4091"/>
    <tableColumn id="9" name="Aug" totalsRowFunction="sum" dataDxfId="4090" totalsRowDxfId="4089"/>
    <tableColumn id="10" name="Sep" totalsRowFunction="sum" dataDxfId="4088" totalsRowDxfId="4087"/>
    <tableColumn id="11" name="Oct" totalsRowFunction="sum" dataDxfId="4086" totalsRowDxfId="4085"/>
    <tableColumn id="12" name="Nov" totalsRowFunction="sum" dataDxfId="4084" totalsRowDxfId="4083"/>
    <tableColumn id="13" name="Dec" totalsRowFunction="sum" dataDxfId="4082" totalsRowDxfId="4081"/>
    <tableColumn id="14" name="Total" totalsRowFunction="sum" dataDxfId="4080" totalsRowDxfId="4079">
      <calculatedColumnFormula>SUM(C19:N19)</calculatedColumnFormula>
    </tableColumn>
    <tableColumn id="15" name="Trend" dataDxfId="4078" totalsRowDxfId="4077"/>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140.xml><?xml version="1.0" encoding="utf-8"?>
<table xmlns="http://schemas.openxmlformats.org/spreadsheetml/2006/main" id="140" name="ExpNov128141" displayName="ExpNov128141" ref="B63:G74" totalsRowCount="1" headerRowDxfId="2024" dataDxfId="2022" totalsRowDxfId="2023">
  <autoFilter ref="B63:G73"/>
  <tableColumns count="6">
    <tableColumn id="1" name="Date" totalsRowLabel="Total" dataDxfId="2036" totalsRowDxfId="2035"/>
    <tableColumn id="2" name="W/O" dataDxfId="2034" totalsRowDxfId="2033"/>
    <tableColumn id="3" name="Amount" totalsRowFunction="sum" dataDxfId="2032" totalsRowDxfId="2031"/>
    <tableColumn id="4" name="Category" dataDxfId="2030" totalsRowDxfId="2029"/>
    <tableColumn id="6" name="Column1" dataDxfId="2028" totalsRowDxfId="2027"/>
    <tableColumn id="5" name="Description" dataDxfId="2026" totalsRowDxfId="2025"/>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141.xml><?xml version="1.0" encoding="utf-8"?>
<table xmlns="http://schemas.openxmlformats.org/spreadsheetml/2006/main" id="141" name="ExpDec129142" displayName="ExpDec129142" ref="B78:G85" totalsRowCount="1" headerRowDxfId="2009" dataDxfId="2007" totalsRowDxfId="2008">
  <autoFilter ref="B78:G84"/>
  <tableColumns count="6">
    <tableColumn id="1" name="Date" totalsRowLabel="Total" dataDxfId="2021" totalsRowDxfId="2020"/>
    <tableColumn id="2" name="W/O" dataDxfId="2019" totalsRowDxfId="2018"/>
    <tableColumn id="3" name="Amount" totalsRowFunction="sum" dataDxfId="2017" totalsRowDxfId="2016"/>
    <tableColumn id="4" name="Category" dataDxfId="2015" totalsRowDxfId="2014"/>
    <tableColumn id="6" name="Column1" dataDxfId="2013" totalsRowDxfId="2012"/>
    <tableColumn id="5" name="Description" dataDxfId="2011" totalsRowDxfId="2010"/>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142.xml><?xml version="1.0" encoding="utf-8"?>
<table xmlns="http://schemas.openxmlformats.org/spreadsheetml/2006/main" id="142" name="ExpJan130143" displayName="ExpJan130143" ref="B89:G98" totalsRowCount="1" headerRowDxfId="1994" dataDxfId="1992" totalsRowDxfId="1993">
  <autoFilter ref="B89:G97"/>
  <tableColumns count="6">
    <tableColumn id="1" name="Date" totalsRowLabel="Total" dataDxfId="2006" totalsRowDxfId="2005"/>
    <tableColumn id="2" name="Work Order" dataDxfId="2004" totalsRowDxfId="2003"/>
    <tableColumn id="3" name="Amount" totalsRowFunction="sum" dataDxfId="2002" totalsRowDxfId="2001"/>
    <tableColumn id="4" name="Category" dataDxfId="2000" totalsRowDxfId="1999"/>
    <tableColumn id="6" name="Column1" dataDxfId="1998" totalsRowDxfId="1997"/>
    <tableColumn id="5" name="Description" dataDxfId="1996" totalsRowDxfId="1995"/>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143.xml><?xml version="1.0" encoding="utf-8"?>
<table xmlns="http://schemas.openxmlformats.org/spreadsheetml/2006/main" id="143" name="ExpFeb131144" displayName="ExpFeb131144" ref="B102:G114" totalsRowCount="1" headerRowDxfId="1979" dataDxfId="1977" totalsRowDxfId="1978">
  <autoFilter ref="B102:G113"/>
  <tableColumns count="6">
    <tableColumn id="1" name="Date" totalsRowLabel="Total" dataDxfId="1991" totalsRowDxfId="1990"/>
    <tableColumn id="2" name="W/O" dataDxfId="1989" totalsRowDxfId="1988"/>
    <tableColumn id="3" name="Amount" totalsRowFunction="sum" dataDxfId="1987" totalsRowDxfId="1986"/>
    <tableColumn id="4" name="Category" dataDxfId="1985" totalsRowDxfId="1984"/>
    <tableColumn id="5" name="Description           Bin Number          # Used" dataDxfId="1983" totalsRowDxfId="1982"/>
    <tableColumn id="6" name="Part Number - Mileage - Mech Name" dataDxfId="1981" totalsRowDxfId="1980"/>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144.xml><?xml version="1.0" encoding="utf-8"?>
<table xmlns="http://schemas.openxmlformats.org/spreadsheetml/2006/main" id="144" name="ExpMar132145" displayName="ExpMar132145" ref="B118:G132" totalsRowCount="1" headerRowDxfId="1964" dataDxfId="1962" totalsRowDxfId="1963">
  <autoFilter ref="B118:G131"/>
  <tableColumns count="6">
    <tableColumn id="1" name="Date" totalsRowLabel="Total" dataDxfId="1976" totalsRowDxfId="1975"/>
    <tableColumn id="2" name="W/O" dataDxfId="1974" totalsRowDxfId="1973"/>
    <tableColumn id="3" name="Amount" totalsRowFunction="sum" dataDxfId="1972" totalsRowDxfId="1971"/>
    <tableColumn id="4" name="Category" dataDxfId="1970" totalsRowDxfId="1969"/>
    <tableColumn id="6" name="Description           Bin Number          # Used" dataDxfId="1968" totalsRowDxfId="1967"/>
    <tableColumn id="5" name="Part Number - Mileage - Mech Name" dataDxfId="1966" totalsRowDxfId="1965"/>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145.xml><?xml version="1.0" encoding="utf-8"?>
<table xmlns="http://schemas.openxmlformats.org/spreadsheetml/2006/main" id="145" name="ExpApr133146" displayName="ExpApr133146" ref="B136:G148" totalsRowCount="1" headerRowDxfId="1949" dataDxfId="1947" totalsRowDxfId="1948">
  <autoFilter ref="B136:G147"/>
  <tableColumns count="6">
    <tableColumn id="1" name="Date" totalsRowLabel="Total" dataDxfId="1961" totalsRowDxfId="1960"/>
    <tableColumn id="2" name="w/o" dataDxfId="1959" totalsRowDxfId="1958"/>
    <tableColumn id="3" name="Amount" totalsRowFunction="sum" dataDxfId="1957" totalsRowDxfId="1956"/>
    <tableColumn id="4" name="Category" dataDxfId="1955" totalsRowDxfId="1954"/>
    <tableColumn id="6" name="Description           Bin Number          # Used" dataDxfId="1953" totalsRowDxfId="1952"/>
    <tableColumn id="5" name="Part Number - Mileage - Mech Name" dataDxfId="1951" totalsRowDxfId="1950"/>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146.xml><?xml version="1.0" encoding="utf-8"?>
<table xmlns="http://schemas.openxmlformats.org/spreadsheetml/2006/main" id="146" name="ExpMay134147" displayName="ExpMay134147" ref="B152:G165" totalsRowCount="1" headerRowDxfId="1934" dataDxfId="1932" totalsRowDxfId="1933">
  <autoFilter ref="B152:G164"/>
  <tableColumns count="6">
    <tableColumn id="1" name="Date" totalsRowLabel="Total" dataDxfId="1946" totalsRowDxfId="1945"/>
    <tableColumn id="2" name="W/O" dataDxfId="1944" totalsRowDxfId="1943"/>
    <tableColumn id="3" name="Amount" totalsRowFunction="sum" dataDxfId="1942" totalsRowDxfId="1941"/>
    <tableColumn id="4" name="Category" dataDxfId="1940" totalsRowDxfId="1939"/>
    <tableColumn id="6" name="Description           Bin Number          # Used" dataDxfId="1938" totalsRowDxfId="1937"/>
    <tableColumn id="5" name="Part Number - Mileage - Mech Name" dataDxfId="1936" totalsRowDxfId="1935"/>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147.xml><?xml version="1.0" encoding="utf-8"?>
<table xmlns="http://schemas.openxmlformats.org/spreadsheetml/2006/main" id="147" name="ExpJun135148" displayName="ExpJun135148" ref="B169:G181" totalsRowCount="1" headerRowDxfId="1919" dataDxfId="1917" totalsRowDxfId="1918">
  <autoFilter ref="B169:G180"/>
  <tableColumns count="6">
    <tableColumn id="1" name="Date" totalsRowLabel="Total" dataDxfId="1931" totalsRowDxfId="1930"/>
    <tableColumn id="2" name="W/O #" dataDxfId="1929" totalsRowDxfId="1928"/>
    <tableColumn id="3" name="Amount" totalsRowFunction="sum" dataDxfId="1927" totalsRowDxfId="1926"/>
    <tableColumn id="4" name="Category" dataDxfId="1925" totalsRowDxfId="1924"/>
    <tableColumn id="6" name="Description           Bin Number          # Used" dataDxfId="1923" totalsRowDxfId="1922"/>
    <tableColumn id="5" name="Part Number - Mileage - Mech Name" dataDxfId="1921" totalsRowDxfId="1920"/>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148.xml><?xml version="1.0" encoding="utf-8"?>
<table xmlns="http://schemas.openxmlformats.org/spreadsheetml/2006/main" id="148" name="ExpenseSummary149" displayName="ExpenseSummary149" ref="B18:P39" totalsRowCount="1" headerRowDxfId="1886" dataDxfId="1884" totalsRowDxfId="1885">
  <autoFilter ref="B18:P38">
    <filterColumn colId="0">
      <customFilters>
        <customFilter operator="notEqual" val=" "/>
      </customFilters>
    </filterColumn>
  </autoFilter>
  <tableColumns count="15">
    <tableColumn id="1" name="Expenses" totalsRowLabel="Total" dataDxfId="1916" totalsRowDxfId="1915" dataCellStyle="Normal 2"/>
    <tableColumn id="2" name="Jan" totalsRowFunction="sum" dataDxfId="1914" totalsRowDxfId="1913" dataCellStyle="Normal 2"/>
    <tableColumn id="3" name="Feb" totalsRowFunction="sum" dataDxfId="1912" totalsRowDxfId="1911" dataCellStyle="Normal 2"/>
    <tableColumn id="4" name="Mar" totalsRowFunction="sum" dataDxfId="1910" totalsRowDxfId="1909" dataCellStyle="Normal 2"/>
    <tableColumn id="5" name="Apr" totalsRowFunction="sum" dataDxfId="1908" totalsRowDxfId="1907" dataCellStyle="Normal 2"/>
    <tableColumn id="6" name="May" totalsRowFunction="sum" dataDxfId="1906" totalsRowDxfId="1905" dataCellStyle="Normal 2"/>
    <tableColumn id="7" name="Jun" totalsRowFunction="sum" dataDxfId="1904" totalsRowDxfId="1903" dataCellStyle="Normal 2"/>
    <tableColumn id="8" name="Jul" totalsRowFunction="sum" dataDxfId="1902" totalsRowDxfId="1901" dataCellStyle="Normal 2"/>
    <tableColumn id="9" name="Aug" totalsRowFunction="sum" dataDxfId="1900" totalsRowDxfId="1899" dataCellStyle="Normal 2"/>
    <tableColumn id="10" name="Sep" totalsRowFunction="sum" dataDxfId="1898" totalsRowDxfId="1897" dataCellStyle="Normal 2"/>
    <tableColumn id="11" name="Oct" totalsRowFunction="sum" dataDxfId="1896" totalsRowDxfId="1895" dataCellStyle="Normal 2"/>
    <tableColumn id="12" name="Nov" totalsRowFunction="sum" dataDxfId="1894" totalsRowDxfId="1893" dataCellStyle="Normal 2"/>
    <tableColumn id="13" name="Dec" totalsRowFunction="sum" dataDxfId="1892" totalsRowDxfId="1891" dataCellStyle="Normal 2"/>
    <tableColumn id="14" name="Total" totalsRowFunction="sum" dataDxfId="1890" totalsRowDxfId="1889" dataCellStyle="Normal 2">
      <calculatedColumnFormula>SUM(C19:N19)</calculatedColumnFormula>
    </tableColumn>
    <tableColumn id="15" name="Trend" dataDxfId="1888" totalsRowDxfId="1887" dataCellStyle="Normal 2"/>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149.xml><?xml version="1.0" encoding="utf-8"?>
<table xmlns="http://schemas.openxmlformats.org/spreadsheetml/2006/main" id="149" name="ExpJul150" displayName="ExpJul150" ref="B4:G15" totalsRowCount="1" headerRowDxfId="1871" dataDxfId="1869" totalsRowDxfId="1870">
  <autoFilter ref="B4:G14"/>
  <tableColumns count="6">
    <tableColumn id="1" name="Date" totalsRowLabel="Total" dataDxfId="1883" totalsRowDxfId="1882"/>
    <tableColumn id="2" name="W/O#" dataDxfId="1881" totalsRowDxfId="1880"/>
    <tableColumn id="3" name="Amount" totalsRowFunction="sum" dataDxfId="1879" totalsRowDxfId="1878"/>
    <tableColumn id="4" name="Category" dataDxfId="1877" totalsRowDxfId="1876"/>
    <tableColumn id="6" name="Description           Bin Number          # Used" dataDxfId="1875" totalsRowDxfId="1874"/>
    <tableColumn id="5" name="Part Number - Mileage - Mech Name" dataDxfId="1873" totalsRowDxfId="1872"/>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15.xml><?xml version="1.0" encoding="utf-8"?>
<table xmlns="http://schemas.openxmlformats.org/spreadsheetml/2006/main" id="3" name="ExpJul4" displayName="ExpJul4" ref="B4:G16" totalsRowCount="1" headerRowDxfId="4061" dataDxfId="4059" totalsRowDxfId="4060">
  <autoFilter ref="B4:G15"/>
  <tableColumns count="6">
    <tableColumn id="1" name="Date" totalsRowLabel="Total" dataDxfId="4073" totalsRowDxfId="4072"/>
    <tableColumn id="2" name="W/O#" dataDxfId="4071" totalsRowDxfId="4070"/>
    <tableColumn id="3" name="Amount" totalsRowFunction="sum" dataDxfId="4069" totalsRowDxfId="4068"/>
    <tableColumn id="4" name="Category" dataDxfId="4067" totalsRowDxfId="4066"/>
    <tableColumn id="6" name="Description         Bin Number    number used" dataDxfId="4065" totalsRowDxfId="4064"/>
    <tableColumn id="5" name="Part Number - Mileage - Mech Name" dataDxfId="4063" totalsRowDxfId="4062"/>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150.xml><?xml version="1.0" encoding="utf-8"?>
<table xmlns="http://schemas.openxmlformats.org/spreadsheetml/2006/main" id="150" name="ExpAug151" displayName="ExpAug151" ref="B19:G33" totalsRowCount="1" headerRowDxfId="1856" dataDxfId="1854" totalsRowDxfId="1855">
  <autoFilter ref="B19:G32"/>
  <tableColumns count="6">
    <tableColumn id="1" name="Date" totalsRowLabel="Total" dataDxfId="1868" totalsRowDxfId="1867"/>
    <tableColumn id="2" name="PO#" dataDxfId="1866" totalsRowDxfId="1865"/>
    <tableColumn id="3" name="Amount" totalsRowFunction="sum" dataDxfId="1864" totalsRowDxfId="1863"/>
    <tableColumn id="4" name="Category" dataDxfId="1862" totalsRowDxfId="1861"/>
    <tableColumn id="6" name="Description           Bin Number          # Used" dataDxfId="1860" totalsRowDxfId="1859"/>
    <tableColumn id="5" name="Part Number - Mileage - Mech Name" dataDxfId="1858" totalsRowDxfId="1857"/>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151.xml><?xml version="1.0" encoding="utf-8"?>
<table xmlns="http://schemas.openxmlformats.org/spreadsheetml/2006/main" id="151" name="ExpSep152" displayName="ExpSep152" ref="B37:G54" totalsRowCount="1" headerRowDxfId="1841" dataDxfId="1839" totalsRowDxfId="1840">
  <autoFilter ref="B37:G53"/>
  <tableColumns count="6">
    <tableColumn id="1" name="Date" totalsRowLabel="Total" dataDxfId="1853" totalsRowDxfId="1852"/>
    <tableColumn id="2" name="PO#" dataDxfId="1851" totalsRowDxfId="1850"/>
    <tableColumn id="3" name="Amount" totalsRowFunction="sum" dataDxfId="1849" totalsRowDxfId="1848"/>
    <tableColumn id="4" name="Category" dataDxfId="1847" totalsRowDxfId="1846"/>
    <tableColumn id="6" name="Description           Bin Number          # Used" dataDxfId="1845" totalsRowDxfId="1844"/>
    <tableColumn id="5" name="Part Number - Mileage - Mech Name" dataDxfId="1843" totalsRowDxfId="1842"/>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152.xml><?xml version="1.0" encoding="utf-8"?>
<table xmlns="http://schemas.openxmlformats.org/spreadsheetml/2006/main" id="152" name="ExpOct140153" displayName="ExpOct140153" ref="B59:G72" totalsRowCount="1" headerRowDxfId="1826" dataDxfId="1824" totalsRowDxfId="1825">
  <autoFilter ref="B59:G71"/>
  <tableColumns count="6">
    <tableColumn id="1" name="Date" totalsRowLabel="Total" dataDxfId="1838" totalsRowDxfId="1837"/>
    <tableColumn id="2" name="W/O" dataDxfId="1836" totalsRowDxfId="1835"/>
    <tableColumn id="3" name="Amount" totalsRowFunction="sum" dataDxfId="1834" totalsRowDxfId="1833"/>
    <tableColumn id="4" name="Category" dataDxfId="1832" totalsRowDxfId="1831"/>
    <tableColumn id="6" name="Description           Bin Number          # Used" dataDxfId="1830" totalsRowDxfId="1829"/>
    <tableColumn id="5" name="Part Number - Mileage - Mech Name" dataDxfId="1828" totalsRowDxfId="1827"/>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153.xml><?xml version="1.0" encoding="utf-8"?>
<table xmlns="http://schemas.openxmlformats.org/spreadsheetml/2006/main" id="153" name="ExpNov128141154" displayName="ExpNov128141154" ref="B75:G86" totalsRowCount="1" headerRowDxfId="1811" dataDxfId="1809" totalsRowDxfId="1810">
  <autoFilter ref="B75:G85"/>
  <tableColumns count="6">
    <tableColumn id="1" name="Date" totalsRowLabel="Total" dataDxfId="1823" totalsRowDxfId="1822"/>
    <tableColumn id="2" name="W/O" dataDxfId="1821" totalsRowDxfId="1820"/>
    <tableColumn id="3" name="Amount" totalsRowFunction="sum" dataDxfId="1819" totalsRowDxfId="1818"/>
    <tableColumn id="4" name="Category" dataDxfId="1817" totalsRowDxfId="1816"/>
    <tableColumn id="6" name="Column1" dataDxfId="1815" totalsRowDxfId="1814"/>
    <tableColumn id="5" name="Description" dataDxfId="1813" totalsRowDxfId="1812"/>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154.xml><?xml version="1.0" encoding="utf-8"?>
<table xmlns="http://schemas.openxmlformats.org/spreadsheetml/2006/main" id="154" name="ExpDec129142155" displayName="ExpDec129142155" ref="B90:G97" totalsRowCount="1" headerRowDxfId="1796" dataDxfId="1794" totalsRowDxfId="1795">
  <autoFilter ref="B90:G96"/>
  <tableColumns count="6">
    <tableColumn id="1" name="Date" totalsRowLabel="Total" dataDxfId="1808" totalsRowDxfId="1807"/>
    <tableColumn id="2" name="W/O" dataDxfId="1806" totalsRowDxfId="1805"/>
    <tableColumn id="3" name="Amount" totalsRowFunction="sum" dataDxfId="1804" totalsRowDxfId="1803"/>
    <tableColumn id="4" name="Category" dataDxfId="1802" totalsRowDxfId="1801"/>
    <tableColumn id="6" name="Column1" dataDxfId="1800" totalsRowDxfId="1799"/>
    <tableColumn id="5" name="Description" dataDxfId="1798" totalsRowDxfId="1797"/>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155.xml><?xml version="1.0" encoding="utf-8"?>
<table xmlns="http://schemas.openxmlformats.org/spreadsheetml/2006/main" id="155" name="ExpJan130143156" displayName="ExpJan130143156" ref="B101:G110" totalsRowCount="1" headerRowDxfId="1781" dataDxfId="1779" totalsRowDxfId="1780">
  <autoFilter ref="B101:G109"/>
  <tableColumns count="6">
    <tableColumn id="1" name="Date" totalsRowLabel="Total" dataDxfId="1793" totalsRowDxfId="1792"/>
    <tableColumn id="2" name="Work Order" dataDxfId="1791" totalsRowDxfId="1790"/>
    <tableColumn id="3" name="Amount" totalsRowFunction="sum" dataDxfId="1789" totalsRowDxfId="1788"/>
    <tableColumn id="4" name="Category" dataDxfId="1787" totalsRowDxfId="1786"/>
    <tableColumn id="6" name="Column1" dataDxfId="1785" totalsRowDxfId="1784"/>
    <tableColumn id="5" name="Description" dataDxfId="1783" totalsRowDxfId="1782"/>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156.xml><?xml version="1.0" encoding="utf-8"?>
<table xmlns="http://schemas.openxmlformats.org/spreadsheetml/2006/main" id="156" name="ExpFeb131144157" displayName="ExpFeb131144157" ref="B114:G126" totalsRowCount="1" headerRowDxfId="1766" dataDxfId="1764" totalsRowDxfId="1765">
  <autoFilter ref="B114:G125"/>
  <tableColumns count="6">
    <tableColumn id="1" name="Date" totalsRowLabel="Total" dataDxfId="1778" totalsRowDxfId="1777"/>
    <tableColumn id="2" name="W/O" dataDxfId="1776" totalsRowDxfId="1775"/>
    <tableColumn id="3" name="Amount" totalsRowFunction="sum" dataDxfId="1774" totalsRowDxfId="1773"/>
    <tableColumn id="4" name="Category" dataDxfId="1772" totalsRowDxfId="1771"/>
    <tableColumn id="5" name="Description           Bin Number          # Used" dataDxfId="1770" totalsRowDxfId="1769"/>
    <tableColumn id="6" name="Part Number - Mileage - Mech Name" dataDxfId="1768" totalsRowDxfId="1767"/>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157.xml><?xml version="1.0" encoding="utf-8"?>
<table xmlns="http://schemas.openxmlformats.org/spreadsheetml/2006/main" id="157" name="ExpMar132145158" displayName="ExpMar132145158" ref="B130:G144" totalsRowCount="1" headerRowDxfId="1751" dataDxfId="1749" totalsRowDxfId="1750">
  <autoFilter ref="B130:G143"/>
  <tableColumns count="6">
    <tableColumn id="1" name="Date" totalsRowLabel="Total" dataDxfId="1763" totalsRowDxfId="1762"/>
    <tableColumn id="2" name="W/O" dataDxfId="1761" totalsRowDxfId="1760"/>
    <tableColumn id="3" name="Amount" totalsRowFunction="sum" dataDxfId="1759" totalsRowDxfId="1758"/>
    <tableColumn id="4" name="Category" dataDxfId="1757" totalsRowDxfId="1756"/>
    <tableColumn id="6" name="Description           Bin Number          # Used" dataDxfId="1755" totalsRowDxfId="1754"/>
    <tableColumn id="5" name="Part Number - Mileage - Mech Name" dataDxfId="1753" totalsRowDxfId="1752"/>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158.xml><?xml version="1.0" encoding="utf-8"?>
<table xmlns="http://schemas.openxmlformats.org/spreadsheetml/2006/main" id="158" name="ExpApr133146159" displayName="ExpApr133146159" ref="B148:G160" totalsRowCount="1" headerRowDxfId="1736" dataDxfId="1734" totalsRowDxfId="1735">
  <autoFilter ref="B148:G159"/>
  <tableColumns count="6">
    <tableColumn id="1" name="Date" totalsRowLabel="Total" dataDxfId="1748" totalsRowDxfId="1747"/>
    <tableColumn id="2" name="w/o" dataDxfId="1746" totalsRowDxfId="1745"/>
    <tableColumn id="3" name="Amount" totalsRowFunction="sum" dataDxfId="1744" totalsRowDxfId="1743"/>
    <tableColumn id="4" name="Category" dataDxfId="1742" totalsRowDxfId="1741"/>
    <tableColumn id="6" name="Description           Bin Number          # Used" dataDxfId="1740" totalsRowDxfId="1739"/>
    <tableColumn id="5" name="Part Number - Mileage - Mech Name" dataDxfId="1738" totalsRowDxfId="1737"/>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159.xml><?xml version="1.0" encoding="utf-8"?>
<table xmlns="http://schemas.openxmlformats.org/spreadsheetml/2006/main" id="159" name="ExpMay134147160" displayName="ExpMay134147160" ref="B164:G177" totalsRowCount="1" headerRowDxfId="1721" dataDxfId="1719" totalsRowDxfId="1720">
  <autoFilter ref="B164:G176"/>
  <tableColumns count="6">
    <tableColumn id="1" name="Date" totalsRowLabel="Total" dataDxfId="1733" totalsRowDxfId="1732"/>
    <tableColumn id="2" name="W/O" dataDxfId="1731" totalsRowDxfId="1730"/>
    <tableColumn id="3" name="Amount" totalsRowFunction="sum" dataDxfId="1729" totalsRowDxfId="1728"/>
    <tableColumn id="4" name="Category" dataDxfId="1727" totalsRowDxfId="1726"/>
    <tableColumn id="6" name="Description           Bin Number          # Used" dataDxfId="1725" totalsRowDxfId="1724"/>
    <tableColumn id="5" name="Part Number - Mileage - Mech Name" dataDxfId="1723" totalsRowDxfId="1722"/>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16.xml><?xml version="1.0" encoding="utf-8"?>
<table xmlns="http://schemas.openxmlformats.org/spreadsheetml/2006/main" id="4" name="ExpAug" displayName="ExpAug" ref="B20:G34" totalsRowCount="1" headerRowDxfId="4046" dataDxfId="4044" totalsRowDxfId="4045">
  <autoFilter ref="B20:G33"/>
  <tableColumns count="6">
    <tableColumn id="1" name="Date" totalsRowLabel="Total" dataDxfId="4058" totalsRowDxfId="4057"/>
    <tableColumn id="2" name="PO#" dataDxfId="4056" totalsRowDxfId="4055"/>
    <tableColumn id="3" name="Amount" totalsRowFunction="sum" dataDxfId="4054" totalsRowDxfId="4053"/>
    <tableColumn id="4" name="Category" dataDxfId="4052" totalsRowDxfId="4051"/>
    <tableColumn id="6" name="Description         Bin Number    number used" dataDxfId="4050" totalsRowDxfId="4049"/>
    <tableColumn id="5" name="Part Number - Mileage - Mech Name" dataDxfId="4048" totalsRowDxfId="4047"/>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160.xml><?xml version="1.0" encoding="utf-8"?>
<table xmlns="http://schemas.openxmlformats.org/spreadsheetml/2006/main" id="160" name="ExpJun135148161" displayName="ExpJun135148161" ref="B181:G193" totalsRowCount="1" headerRowDxfId="1706" dataDxfId="1704" totalsRowDxfId="1705">
  <autoFilter ref="B181:G192"/>
  <tableColumns count="6">
    <tableColumn id="1" name="Date" totalsRowLabel="Total" dataDxfId="1718" totalsRowDxfId="1717"/>
    <tableColumn id="2" name="W/O #" dataDxfId="1716" totalsRowDxfId="1715"/>
    <tableColumn id="3" name="Amount" totalsRowFunction="sum" dataDxfId="1714" totalsRowDxfId="1713"/>
    <tableColumn id="4" name="Category" dataDxfId="1712" totalsRowDxfId="1711"/>
    <tableColumn id="6" name="Description           Bin Number          # Used" dataDxfId="1710" totalsRowDxfId="1709"/>
    <tableColumn id="5" name="Part Number - Mileage - Mech Name" dataDxfId="1708" totalsRowDxfId="1707"/>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161.xml><?xml version="1.0" encoding="utf-8"?>
<table xmlns="http://schemas.openxmlformats.org/spreadsheetml/2006/main" id="161" name="ExpenseSummary162" displayName="ExpenseSummary162" ref="B18:P39" totalsRowCount="1" headerRowDxfId="1673" dataDxfId="1671" totalsRowDxfId="1672">
  <autoFilter ref="B18:P38">
    <filterColumn colId="0">
      <customFilters>
        <customFilter operator="notEqual" val=" "/>
      </customFilters>
    </filterColumn>
  </autoFilter>
  <tableColumns count="15">
    <tableColumn id="1" name="Expenses" totalsRowLabel="Total" dataDxfId="1703" totalsRowDxfId="1702"/>
    <tableColumn id="2" name="Jan" totalsRowFunction="sum" dataDxfId="1701" totalsRowDxfId="1700"/>
    <tableColumn id="3" name="Feb" totalsRowFunction="sum" dataDxfId="1699" totalsRowDxfId="1698"/>
    <tableColumn id="4" name="Mar" totalsRowFunction="sum" dataDxfId="1697" totalsRowDxfId="1696"/>
    <tableColumn id="5" name="Apr" totalsRowFunction="sum" dataDxfId="1695" totalsRowDxfId="1694"/>
    <tableColumn id="6" name="May" totalsRowFunction="sum" dataDxfId="1693" totalsRowDxfId="1692"/>
    <tableColumn id="7" name="Jun" totalsRowFunction="sum" dataDxfId="1691" totalsRowDxfId="1690"/>
    <tableColumn id="8" name="Jul" totalsRowFunction="sum" dataDxfId="1689" totalsRowDxfId="1688"/>
    <tableColumn id="9" name="Aug" totalsRowFunction="sum" dataDxfId="1687" totalsRowDxfId="1686"/>
    <tableColumn id="10" name="Sep" totalsRowFunction="sum" dataDxfId="1685" totalsRowDxfId="1684"/>
    <tableColumn id="11" name="Oct" totalsRowFunction="sum" dataDxfId="1683" totalsRowDxfId="1682"/>
    <tableColumn id="12" name="Nov" totalsRowFunction="sum" dataDxfId="1681" totalsRowDxfId="1680"/>
    <tableColumn id="13" name="Dec" totalsRowFunction="sum" dataDxfId="1679" totalsRowDxfId="1678"/>
    <tableColumn id="14" name="Total" totalsRowFunction="sum" dataDxfId="1677" totalsRowDxfId="1676">
      <calculatedColumnFormula>SUM(C19:N19)</calculatedColumnFormula>
    </tableColumn>
    <tableColumn id="15" name="Trend" dataDxfId="1675" totalsRowDxfId="1674"/>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162.xml><?xml version="1.0" encoding="utf-8"?>
<table xmlns="http://schemas.openxmlformats.org/spreadsheetml/2006/main" id="162" name="ExpJul163" displayName="ExpJul163" ref="B4:G23" totalsRowCount="1" headerRowDxfId="1658" dataDxfId="1656" totalsRowDxfId="1657">
  <autoFilter ref="B4:G22"/>
  <tableColumns count="6">
    <tableColumn id="1" name="Date" totalsRowLabel="Total" dataDxfId="1670" totalsRowDxfId="1669"/>
    <tableColumn id="2" name="W/O#" dataDxfId="1668" totalsRowDxfId="1667"/>
    <tableColumn id="3" name="Amount" totalsRowFunction="sum" dataDxfId="1666" totalsRowDxfId="1665"/>
    <tableColumn id="4" name="Category" dataDxfId="1664" totalsRowDxfId="1663"/>
    <tableColumn id="6" name="Description           Bin Number          # Used" dataDxfId="1662" totalsRowDxfId="1661"/>
    <tableColumn id="5" name="Part Number - Mileage - Mech Name" dataDxfId="1660" totalsRowDxfId="1659"/>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163.xml><?xml version="1.0" encoding="utf-8"?>
<table xmlns="http://schemas.openxmlformats.org/spreadsheetml/2006/main" id="163" name="ExpAug164" displayName="ExpAug164" ref="B27:G40" totalsRowCount="1" headerRowDxfId="1643" dataDxfId="1641" totalsRowDxfId="1642">
  <autoFilter ref="B27:G39"/>
  <tableColumns count="6">
    <tableColumn id="1" name="Date" totalsRowLabel="Total" dataDxfId="1655" totalsRowDxfId="1654"/>
    <tableColumn id="2" name="PO#" dataDxfId="1653" totalsRowDxfId="1652"/>
    <tableColumn id="3" name="Amount" totalsRowFunction="sum" dataDxfId="1651" totalsRowDxfId="1650"/>
    <tableColumn id="4" name="Category" dataDxfId="1649" totalsRowDxfId="1648"/>
    <tableColumn id="6" name="Description           Bin Number          # Used" dataDxfId="1647" totalsRowDxfId="1646"/>
    <tableColumn id="5" name="Part Number - Mileage - Mech Name" dataDxfId="1645" totalsRowDxfId="1644"/>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164.xml><?xml version="1.0" encoding="utf-8"?>
<table xmlns="http://schemas.openxmlformats.org/spreadsheetml/2006/main" id="164" name="ExpSep165" displayName="ExpSep165" ref="B44:G62" totalsRowCount="1" headerRowDxfId="1628" dataDxfId="1626" totalsRowDxfId="1627">
  <autoFilter ref="B44:G61"/>
  <tableColumns count="6">
    <tableColumn id="1" name="Date" totalsRowLabel="Total" dataDxfId="1640" totalsRowDxfId="1639"/>
    <tableColumn id="2" name="PO#" dataDxfId="1638" totalsRowDxfId="1637"/>
    <tableColumn id="3" name="Amount" totalsRowFunction="sum" dataDxfId="1636" totalsRowDxfId="1635"/>
    <tableColumn id="4" name="Category" dataDxfId="1634" totalsRowDxfId="1633"/>
    <tableColumn id="6" name="Description           Bin Number          # Used" dataDxfId="1632" totalsRowDxfId="1631"/>
    <tableColumn id="5" name="Part Number - Mileage - Mech Name" dataDxfId="1630" totalsRowDxfId="1629"/>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165.xml><?xml version="1.0" encoding="utf-8"?>
<table xmlns="http://schemas.openxmlformats.org/spreadsheetml/2006/main" id="165" name="ExpOct166" displayName="ExpOct166" ref="B66:G78" totalsRowCount="1" headerRowDxfId="1613" dataDxfId="1611" totalsRowDxfId="1612">
  <autoFilter ref="B66:G77"/>
  <tableColumns count="6">
    <tableColumn id="1" name="Date" totalsRowLabel="Total" dataDxfId="1625" totalsRowDxfId="1624"/>
    <tableColumn id="2" name="W/O" dataDxfId="1623" totalsRowDxfId="1622"/>
    <tableColumn id="3" name="Amount" totalsRowFunction="sum" dataDxfId="1621" totalsRowDxfId="1620"/>
    <tableColumn id="4" name="Category" dataDxfId="1619" totalsRowDxfId="1618"/>
    <tableColumn id="6" name="Description           Bin Number          # Used" dataDxfId="1617" totalsRowDxfId="1616"/>
    <tableColumn id="5" name="Part Number - Mileage - Mech Name" dataDxfId="1615" totalsRowDxfId="1614"/>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166.xml><?xml version="1.0" encoding="utf-8"?>
<table xmlns="http://schemas.openxmlformats.org/spreadsheetml/2006/main" id="166" name="ExpNov128141154167" displayName="ExpNov128141154167" ref="B83:G94" totalsRowCount="1" headerRowDxfId="1598" dataDxfId="1596" totalsRowDxfId="1597">
  <autoFilter ref="B83:G93"/>
  <tableColumns count="6">
    <tableColumn id="1" name="Date" totalsRowLabel="Total" dataDxfId="1610" totalsRowDxfId="1609"/>
    <tableColumn id="2" name="W/O" dataDxfId="1608" totalsRowDxfId="1607"/>
    <tableColumn id="3" name="Amount" totalsRowFunction="sum" dataDxfId="1606" totalsRowDxfId="1605"/>
    <tableColumn id="4" name="Category" dataDxfId="1604" totalsRowDxfId="1603"/>
    <tableColumn id="6" name="Column1" dataDxfId="1602" totalsRowDxfId="1601"/>
    <tableColumn id="5" name="Description" dataDxfId="1600" totalsRowDxfId="1599"/>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167.xml><?xml version="1.0" encoding="utf-8"?>
<table xmlns="http://schemas.openxmlformats.org/spreadsheetml/2006/main" id="167" name="ExpDec129142155168" displayName="ExpDec129142155168" ref="B98:G105" totalsRowCount="1" headerRowDxfId="1583" dataDxfId="1581" totalsRowDxfId="1582">
  <autoFilter ref="B98:G104"/>
  <tableColumns count="6">
    <tableColumn id="1" name="Date" totalsRowLabel="Total" dataDxfId="1595" totalsRowDxfId="1594"/>
    <tableColumn id="2" name="W/O" dataDxfId="1593" totalsRowDxfId="1592"/>
    <tableColumn id="3" name="Amount" totalsRowFunction="sum" dataDxfId="1591" totalsRowDxfId="1590"/>
    <tableColumn id="4" name="Category" dataDxfId="1589" totalsRowDxfId="1588"/>
    <tableColumn id="6" name="Column1" dataDxfId="1587" totalsRowDxfId="1586"/>
    <tableColumn id="5" name="Description" dataDxfId="1585" totalsRowDxfId="1584"/>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168.xml><?xml version="1.0" encoding="utf-8"?>
<table xmlns="http://schemas.openxmlformats.org/spreadsheetml/2006/main" id="168" name="ExpJan130143156169" displayName="ExpJan130143156169" ref="B109:G118" totalsRowCount="1" headerRowDxfId="1568" dataDxfId="1566" totalsRowDxfId="1567">
  <autoFilter ref="B109:G117"/>
  <tableColumns count="6">
    <tableColumn id="1" name="Date" totalsRowLabel="Total" dataDxfId="1580" totalsRowDxfId="1579"/>
    <tableColumn id="2" name="Work Order" dataDxfId="1578" totalsRowDxfId="1577"/>
    <tableColumn id="3" name="Amount" totalsRowFunction="sum" dataDxfId="1576" totalsRowDxfId="1575"/>
    <tableColumn id="4" name="Category" dataDxfId="1574" totalsRowDxfId="1573"/>
    <tableColumn id="6" name="Column1" dataDxfId="1572" totalsRowDxfId="1571"/>
    <tableColumn id="5" name="Description" dataDxfId="1570" totalsRowDxfId="1569"/>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169.xml><?xml version="1.0" encoding="utf-8"?>
<table xmlns="http://schemas.openxmlformats.org/spreadsheetml/2006/main" id="169" name="ExpFeb131144157170" displayName="ExpFeb131144157170" ref="B122:G134" totalsRowCount="1" headerRowDxfId="1553" dataDxfId="1551" totalsRowDxfId="1552">
  <autoFilter ref="B122:G133"/>
  <tableColumns count="6">
    <tableColumn id="1" name="Date" totalsRowLabel="Total" dataDxfId="1565" totalsRowDxfId="1564"/>
    <tableColumn id="2" name="W/O" dataDxfId="1563" totalsRowDxfId="1562"/>
    <tableColumn id="3" name="Amount" totalsRowFunction="sum" dataDxfId="1561" totalsRowDxfId="1560"/>
    <tableColumn id="4" name="Category" dataDxfId="1559" totalsRowDxfId="1558"/>
    <tableColumn id="5" name="Description           Bin Number          # Used" dataDxfId="1557" totalsRowDxfId="1556"/>
    <tableColumn id="6" name="Part Number - Mileage - Mech Name" dataDxfId="1555" totalsRowDxfId="1554"/>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17.xml><?xml version="1.0" encoding="utf-8"?>
<table xmlns="http://schemas.openxmlformats.org/spreadsheetml/2006/main" id="5" name="ExpSep" displayName="ExpSep" ref="B38:G49" totalsRowCount="1" headerRowDxfId="4031" dataDxfId="4029" totalsRowDxfId="4030">
  <autoFilter ref="B38:G48"/>
  <tableColumns count="6">
    <tableColumn id="1" name="Date" totalsRowLabel="Total" dataDxfId="4043" totalsRowDxfId="4042"/>
    <tableColumn id="2" name="PO#" dataDxfId="4041" totalsRowDxfId="4040"/>
    <tableColumn id="3" name="Amount" totalsRowFunction="sum" dataDxfId="4039" totalsRowDxfId="4038"/>
    <tableColumn id="4" name="Category" dataDxfId="4037" totalsRowDxfId="4036"/>
    <tableColumn id="6" name="Description         Bin Number    number used" dataDxfId="4035" totalsRowDxfId="4034"/>
    <tableColumn id="5" name="Part Number - Mileage - Mech Name" dataDxfId="4033" totalsRowDxfId="4032"/>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170.xml><?xml version="1.0" encoding="utf-8"?>
<table xmlns="http://schemas.openxmlformats.org/spreadsheetml/2006/main" id="170" name="ExpMar132145158171" displayName="ExpMar132145158171" ref="B138:G152" totalsRowCount="1" headerRowDxfId="1538" dataDxfId="1536" totalsRowDxfId="1537">
  <autoFilter ref="B138:G151"/>
  <tableColumns count="6">
    <tableColumn id="1" name="Date" totalsRowLabel="Total" dataDxfId="1550" totalsRowDxfId="1549"/>
    <tableColumn id="2" name="W/O" dataDxfId="1548" totalsRowDxfId="1547"/>
    <tableColumn id="3" name="Amount" totalsRowFunction="sum" dataDxfId="1546" totalsRowDxfId="1545"/>
    <tableColumn id="4" name="Category" dataDxfId="1544" totalsRowDxfId="1543"/>
    <tableColumn id="6" name="Description           Bin Number          # Used" dataDxfId="1542" totalsRowDxfId="1541"/>
    <tableColumn id="5" name="Part Number - Mileage - Mech Name" dataDxfId="1540" totalsRowDxfId="1539"/>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171.xml><?xml version="1.0" encoding="utf-8"?>
<table xmlns="http://schemas.openxmlformats.org/spreadsheetml/2006/main" id="171" name="ExpApr133146159172" displayName="ExpApr133146159172" ref="B156:G168" totalsRowCount="1" headerRowDxfId="1523" dataDxfId="1521" totalsRowDxfId="1522">
  <autoFilter ref="B156:G167"/>
  <tableColumns count="6">
    <tableColumn id="1" name="Date" totalsRowLabel="Total" dataDxfId="1535" totalsRowDxfId="1534"/>
    <tableColumn id="2" name="w/o" dataDxfId="1533" totalsRowDxfId="1532"/>
    <tableColumn id="3" name="Amount" totalsRowFunction="sum" dataDxfId="1531" totalsRowDxfId="1530"/>
    <tableColumn id="4" name="Category" dataDxfId="1529" totalsRowDxfId="1528"/>
    <tableColumn id="6" name="Description           Bin Number          # Used" dataDxfId="1527" totalsRowDxfId="1526"/>
    <tableColumn id="5" name="Part Number - Mileage - Mech Name" dataDxfId="1525" totalsRowDxfId="1524"/>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172.xml><?xml version="1.0" encoding="utf-8"?>
<table xmlns="http://schemas.openxmlformats.org/spreadsheetml/2006/main" id="172" name="ExpMay134147160173" displayName="ExpMay134147160173" ref="B172:G185" totalsRowCount="1" headerRowDxfId="1508" dataDxfId="1506" totalsRowDxfId="1507">
  <autoFilter ref="B172:G184"/>
  <tableColumns count="6">
    <tableColumn id="1" name="Date" totalsRowLabel="Total" dataDxfId="1520" totalsRowDxfId="1519"/>
    <tableColumn id="2" name="W/O" dataDxfId="1518" totalsRowDxfId="1517"/>
    <tableColumn id="3" name="Amount" totalsRowFunction="sum" dataDxfId="1516" totalsRowDxfId="1515"/>
    <tableColumn id="4" name="Category" dataDxfId="1514" totalsRowDxfId="1513"/>
    <tableColumn id="6" name="Description           Bin Number          # Used" dataDxfId="1512" totalsRowDxfId="1511"/>
    <tableColumn id="5" name="Part Number - Mileage - Mech Name" dataDxfId="1510" totalsRowDxfId="1509"/>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173.xml><?xml version="1.0" encoding="utf-8"?>
<table xmlns="http://schemas.openxmlformats.org/spreadsheetml/2006/main" id="173" name="ExpJun135148161174" displayName="ExpJun135148161174" ref="B189:G201" totalsRowCount="1" headerRowDxfId="1493" dataDxfId="1491" totalsRowDxfId="1492">
  <autoFilter ref="B189:G200"/>
  <tableColumns count="6">
    <tableColumn id="1" name="Date" totalsRowLabel="Total" dataDxfId="1505" totalsRowDxfId="1504"/>
    <tableColumn id="2" name="W/O #" dataDxfId="1503" totalsRowDxfId="1502"/>
    <tableColumn id="3" name="Amount" totalsRowFunction="sum" dataDxfId="1501" totalsRowDxfId="1500"/>
    <tableColumn id="4" name="Category" dataDxfId="1499" totalsRowDxfId="1498"/>
    <tableColumn id="6" name="Description           Bin Number          # Used" dataDxfId="1497" totalsRowDxfId="1496"/>
    <tableColumn id="5" name="Part Number - Mileage - Mech Name" dataDxfId="1495" totalsRowDxfId="1494"/>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174.xml><?xml version="1.0" encoding="utf-8"?>
<table xmlns="http://schemas.openxmlformats.org/spreadsheetml/2006/main" id="174" name="ExpenseSummary175" displayName="ExpenseSummary175" ref="B18:P40" totalsRowCount="1" headerRowDxfId="1460" dataDxfId="1458" totalsRowDxfId="1459">
  <autoFilter ref="B18:P39">
    <filterColumn colId="0">
      <customFilters>
        <customFilter operator="notEqual" val=" "/>
      </customFilters>
    </filterColumn>
  </autoFilter>
  <tableColumns count="15">
    <tableColumn id="1" name="Expenses" totalsRowLabel="Total" dataDxfId="1490" totalsRowDxfId="1489"/>
    <tableColumn id="2" name="Jan" totalsRowFunction="sum" dataDxfId="1488" totalsRowDxfId="1487"/>
    <tableColumn id="3" name="Feb" totalsRowFunction="sum" dataDxfId="1486" totalsRowDxfId="1485"/>
    <tableColumn id="4" name="Mar" totalsRowFunction="sum" dataDxfId="1484" totalsRowDxfId="1483"/>
    <tableColumn id="5" name="Apr" totalsRowFunction="sum" dataDxfId="1482" totalsRowDxfId="1481"/>
    <tableColumn id="6" name="May" totalsRowFunction="sum" dataDxfId="1480" totalsRowDxfId="1479"/>
    <tableColumn id="7" name="Jun" totalsRowFunction="sum" dataDxfId="1478" totalsRowDxfId="1477"/>
    <tableColumn id="8" name="Jul" totalsRowFunction="sum" dataDxfId="1476" totalsRowDxfId="1475"/>
    <tableColumn id="9" name="Aug" totalsRowFunction="sum" dataDxfId="1474" totalsRowDxfId="1473"/>
    <tableColumn id="10" name="Sep" totalsRowFunction="sum" dataDxfId="1472" totalsRowDxfId="1471"/>
    <tableColumn id="11" name="Oct" totalsRowFunction="sum" dataDxfId="1470" totalsRowDxfId="1469"/>
    <tableColumn id="12" name="Nov" totalsRowFunction="sum" dataDxfId="1468" totalsRowDxfId="1467"/>
    <tableColumn id="13" name="Dec" totalsRowFunction="sum" dataDxfId="1466" totalsRowDxfId="1465"/>
    <tableColumn id="14" name="Total" totalsRowFunction="sum" dataDxfId="1464" totalsRowDxfId="1463">
      <calculatedColumnFormula>[20]summary!$R$18</calculatedColumnFormula>
    </tableColumn>
    <tableColumn id="15" name="Trend" dataDxfId="1462" totalsRowDxfId="1461"/>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175.xml><?xml version="1.0" encoding="utf-8"?>
<table xmlns="http://schemas.openxmlformats.org/spreadsheetml/2006/main" id="175" name="ExpJul176" displayName="ExpJul176" ref="B4:G17" totalsRowCount="1" headerRowDxfId="1445" dataDxfId="1443" totalsRowDxfId="1444">
  <autoFilter ref="B4:G16"/>
  <tableColumns count="6">
    <tableColumn id="1" name="Date" totalsRowLabel="Total" dataDxfId="1457" totalsRowDxfId="1456"/>
    <tableColumn id="2" name="W/O#" dataDxfId="1455" totalsRowDxfId="1454"/>
    <tableColumn id="3" name="Amount" totalsRowFunction="sum" dataDxfId="1453" totalsRowDxfId="1452"/>
    <tableColumn id="4" name="Category" dataDxfId="1451" totalsRowDxfId="1450"/>
    <tableColumn id="6" name="Description           Bin Number          # Used" dataDxfId="1449" totalsRowDxfId="1448"/>
    <tableColumn id="5" name="Part Number - Mileage - Mech Name" dataDxfId="1447" totalsRowDxfId="1446"/>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176.xml><?xml version="1.0" encoding="utf-8"?>
<table xmlns="http://schemas.openxmlformats.org/spreadsheetml/2006/main" id="176" name="ExpAug177" displayName="ExpAug177" ref="B21:G41" totalsRowCount="1" headerRowDxfId="1430" dataDxfId="1428" totalsRowDxfId="1429">
  <autoFilter ref="B21:G40"/>
  <tableColumns count="6">
    <tableColumn id="1" name="Date" totalsRowLabel="Total" dataDxfId="1442" totalsRowDxfId="1441"/>
    <tableColumn id="2" name="PO#" dataDxfId="1440" totalsRowDxfId="1439"/>
    <tableColumn id="3" name="Amount" totalsRowFunction="sum" dataDxfId="1438" totalsRowDxfId="1437"/>
    <tableColumn id="4" name="Category" dataDxfId="1436" totalsRowDxfId="1435"/>
    <tableColumn id="6" name="Description           Bin Number          # Used" dataDxfId="1434" totalsRowDxfId="1433"/>
    <tableColumn id="5" name="Part Number - Mileage - Mech Name" dataDxfId="1432" totalsRowDxfId="1431"/>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177.xml><?xml version="1.0" encoding="utf-8"?>
<table xmlns="http://schemas.openxmlformats.org/spreadsheetml/2006/main" id="177" name="ExpSep178" displayName="ExpSep178" ref="B45:G61" totalsRowCount="1" headerRowDxfId="1415" dataDxfId="1413" totalsRowDxfId="1414">
  <autoFilter ref="B45:G60"/>
  <tableColumns count="6">
    <tableColumn id="1" name="Date" totalsRowLabel="Total" dataDxfId="1427" totalsRowDxfId="1426"/>
    <tableColumn id="2" name="PO#" dataDxfId="1425" totalsRowDxfId="1424"/>
    <tableColumn id="3" name="Amount" totalsRowFunction="sum" dataDxfId="1423" totalsRowDxfId="1422"/>
    <tableColumn id="4" name="Category" dataDxfId="1421" totalsRowDxfId="1420"/>
    <tableColumn id="6" name="Description           Bin Number          # Used" dataDxfId="1419" totalsRowDxfId="1418"/>
    <tableColumn id="5" name="Part Number - Mileage - Mech Name" dataDxfId="1417" totalsRowDxfId="1416"/>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178.xml><?xml version="1.0" encoding="utf-8"?>
<table xmlns="http://schemas.openxmlformats.org/spreadsheetml/2006/main" id="178" name="ExpOct179" displayName="ExpOct179" ref="B65:G77" totalsRowCount="1" headerRowDxfId="1400" dataDxfId="1398" totalsRowDxfId="1399">
  <autoFilter ref="B65:G76"/>
  <tableColumns count="6">
    <tableColumn id="1" name="Date" totalsRowLabel="Total" dataDxfId="1412" totalsRowDxfId="1411"/>
    <tableColumn id="2" name="W/O" dataDxfId="1410" totalsRowDxfId="1409"/>
    <tableColumn id="3" name="Amount" totalsRowFunction="sum" dataDxfId="1408" totalsRowDxfId="1407"/>
    <tableColumn id="4" name="Category" dataDxfId="1406" totalsRowDxfId="1405"/>
    <tableColumn id="6" name="Description           Bin Number          # Used" dataDxfId="1404" totalsRowDxfId="1403"/>
    <tableColumn id="5" name="Part Number - Mileage - Mech Name" dataDxfId="1402" totalsRowDxfId="1401"/>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179.xml><?xml version="1.0" encoding="utf-8"?>
<table xmlns="http://schemas.openxmlformats.org/spreadsheetml/2006/main" id="179" name="ExpNov128141154167180" displayName="ExpNov128141154167180" ref="B81:G92" totalsRowCount="1" headerRowDxfId="1385" dataDxfId="1383" totalsRowDxfId="1384">
  <autoFilter ref="B81:G91"/>
  <tableColumns count="6">
    <tableColumn id="1" name="Date" totalsRowLabel="Total" dataDxfId="1397" totalsRowDxfId="1396"/>
    <tableColumn id="2" name="W/O" dataDxfId="1395" totalsRowDxfId="1394"/>
    <tableColumn id="3" name="Amount" totalsRowFunction="sum" dataDxfId="1393" totalsRowDxfId="1392"/>
    <tableColumn id="4" name="Category" dataDxfId="1391" totalsRowDxfId="1390"/>
    <tableColumn id="6" name="Column1" dataDxfId="1389" totalsRowDxfId="1388"/>
    <tableColumn id="5" name="Description" dataDxfId="1387" totalsRowDxfId="1386"/>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18.xml><?xml version="1.0" encoding="utf-8"?>
<table xmlns="http://schemas.openxmlformats.org/spreadsheetml/2006/main" id="6" name="ExpOct7" displayName="ExpOct7" ref="B53:G65" totalsRowCount="1" headerRowDxfId="4016" dataDxfId="4014" totalsRowDxfId="4015">
  <autoFilter ref="B53:G64"/>
  <tableColumns count="6">
    <tableColumn id="1" name="Date" totalsRowLabel="Total" dataDxfId="4028" totalsRowDxfId="4027"/>
    <tableColumn id="2" name="W/O" dataDxfId="4026" totalsRowDxfId="4025"/>
    <tableColumn id="3" name="Amount" totalsRowFunction="sum" dataDxfId="4024" totalsRowDxfId="4023"/>
    <tableColumn id="4" name="Category" dataDxfId="4022" totalsRowDxfId="4021"/>
    <tableColumn id="6" name="Description         Bin Number    number used" dataDxfId="4020" totalsRowDxfId="4019"/>
    <tableColumn id="5" name="Part Number - Mileage - Mech Name" dataDxfId="4018" totalsRowDxfId="4017"/>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180.xml><?xml version="1.0" encoding="utf-8"?>
<table xmlns="http://schemas.openxmlformats.org/spreadsheetml/2006/main" id="180" name="ExpDec129142155168181" displayName="ExpDec129142155168181" ref="B96:G103" totalsRowCount="1" headerRowDxfId="1370" dataDxfId="1368" totalsRowDxfId="1369">
  <autoFilter ref="B96:G102"/>
  <tableColumns count="6">
    <tableColumn id="1" name="Date" totalsRowLabel="Total" dataDxfId="1382" totalsRowDxfId="1381"/>
    <tableColumn id="2" name="W/O" dataDxfId="1380" totalsRowDxfId="1379"/>
    <tableColumn id="3" name="Amount" totalsRowFunction="sum" dataDxfId="1378" totalsRowDxfId="1377"/>
    <tableColumn id="4" name="Category" dataDxfId="1376" totalsRowDxfId="1375"/>
    <tableColumn id="6" name="Column1" dataDxfId="1374" totalsRowDxfId="1373"/>
    <tableColumn id="5" name="Description" dataDxfId="1372" totalsRowDxfId="1371"/>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181.xml><?xml version="1.0" encoding="utf-8"?>
<table xmlns="http://schemas.openxmlformats.org/spreadsheetml/2006/main" id="181" name="ExpJan130143156169182" displayName="ExpJan130143156169182" ref="B107:G116" totalsRowCount="1" headerRowDxfId="1355" dataDxfId="1353" totalsRowDxfId="1354">
  <autoFilter ref="B107:G115"/>
  <tableColumns count="6">
    <tableColumn id="1" name="Date" totalsRowLabel="Total" dataDxfId="1367" totalsRowDxfId="1366"/>
    <tableColumn id="2" name="Work Order" dataDxfId="1365" totalsRowDxfId="1364"/>
    <tableColumn id="3" name="Amount" totalsRowFunction="sum" dataDxfId="1363" totalsRowDxfId="1362"/>
    <tableColumn id="4" name="Category" dataDxfId="1361" totalsRowDxfId="1360"/>
    <tableColumn id="6" name="Column1" dataDxfId="1359" totalsRowDxfId="1358"/>
    <tableColumn id="5" name="Description" dataDxfId="1357" totalsRowDxfId="1356"/>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182.xml><?xml version="1.0" encoding="utf-8"?>
<table xmlns="http://schemas.openxmlformats.org/spreadsheetml/2006/main" id="182" name="ExpFeb131144157170183" displayName="ExpFeb131144157170183" ref="B120:G132" totalsRowCount="1" headerRowDxfId="1340" dataDxfId="1338" totalsRowDxfId="1339">
  <autoFilter ref="B120:G131"/>
  <tableColumns count="6">
    <tableColumn id="1" name="Date" totalsRowLabel="Total" dataDxfId="1352" totalsRowDxfId="1351"/>
    <tableColumn id="2" name="W/O" dataDxfId="1350" totalsRowDxfId="1349"/>
    <tableColumn id="3" name="Amount" totalsRowFunction="sum" dataDxfId="1348" totalsRowDxfId="1347"/>
    <tableColumn id="4" name="Category" dataDxfId="1346" totalsRowDxfId="1345"/>
    <tableColumn id="5" name="Description           Bin Number          # Used" dataDxfId="1344" totalsRowDxfId="1343"/>
    <tableColumn id="6" name="Part Number - Mileage - Mech Name" dataDxfId="1342" totalsRowDxfId="1341"/>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183.xml><?xml version="1.0" encoding="utf-8"?>
<table xmlns="http://schemas.openxmlformats.org/spreadsheetml/2006/main" id="183" name="ExpMar132145158171184" displayName="ExpMar132145158171184" ref="B136:G150" totalsRowCount="1" headerRowDxfId="1325" dataDxfId="1323" totalsRowDxfId="1324">
  <autoFilter ref="B136:G149"/>
  <tableColumns count="6">
    <tableColumn id="1" name="Date" totalsRowLabel="Total" dataDxfId="1337" totalsRowDxfId="1336"/>
    <tableColumn id="2" name="W/O" dataDxfId="1335" totalsRowDxfId="1334"/>
    <tableColumn id="3" name="Amount" totalsRowFunction="sum" dataDxfId="1333" totalsRowDxfId="1332"/>
    <tableColumn id="4" name="Category" dataDxfId="1331" totalsRowDxfId="1330"/>
    <tableColumn id="6" name="Description           Bin Number          # Used" dataDxfId="1329" totalsRowDxfId="1328"/>
    <tableColumn id="5" name="Part Number - Mileage - Mech Name" dataDxfId="1327" totalsRowDxfId="1326"/>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184.xml><?xml version="1.0" encoding="utf-8"?>
<table xmlns="http://schemas.openxmlformats.org/spreadsheetml/2006/main" id="184" name="ExpApr133146159172185" displayName="ExpApr133146159172185" ref="B154:G166" totalsRowCount="1" headerRowDxfId="1310" dataDxfId="1308" totalsRowDxfId="1309">
  <autoFilter ref="B154:G165"/>
  <tableColumns count="6">
    <tableColumn id="1" name="Date" totalsRowLabel="Total" dataDxfId="1322" totalsRowDxfId="1321"/>
    <tableColumn id="2" name="w/o" dataDxfId="1320" totalsRowDxfId="1319"/>
    <tableColumn id="3" name="Amount" totalsRowFunction="sum" dataDxfId="1318" totalsRowDxfId="1317"/>
    <tableColumn id="4" name="Category" dataDxfId="1316" totalsRowDxfId="1315"/>
    <tableColumn id="6" name="Description           Bin Number          # Used" dataDxfId="1314" totalsRowDxfId="1313"/>
    <tableColumn id="5" name="Part Number - Mileage - Mech Name" dataDxfId="1312" totalsRowDxfId="1311"/>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185.xml><?xml version="1.0" encoding="utf-8"?>
<table xmlns="http://schemas.openxmlformats.org/spreadsheetml/2006/main" id="185" name="ExpMay134147160173186" displayName="ExpMay134147160173186" ref="B170:G183" totalsRowCount="1" headerRowDxfId="1295" dataDxfId="1293" totalsRowDxfId="1294">
  <autoFilter ref="B170:G182"/>
  <tableColumns count="6">
    <tableColumn id="1" name="Date" totalsRowLabel="Total" dataDxfId="1307" totalsRowDxfId="1306"/>
    <tableColumn id="2" name="W/O" dataDxfId="1305" totalsRowDxfId="1304"/>
    <tableColumn id="3" name="Amount" totalsRowFunction="sum" dataDxfId="1303" totalsRowDxfId="1302"/>
    <tableColumn id="4" name="Category" dataDxfId="1301" totalsRowDxfId="1300"/>
    <tableColumn id="6" name="Description           Bin Number          # Used" dataDxfId="1299" totalsRowDxfId="1298"/>
    <tableColumn id="5" name="Part Number - Mileage - Mech Name" dataDxfId="1297" totalsRowDxfId="1296"/>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186.xml><?xml version="1.0" encoding="utf-8"?>
<table xmlns="http://schemas.openxmlformats.org/spreadsheetml/2006/main" id="186" name="ExpJun135148161174187" displayName="ExpJun135148161174187" ref="B187:G199" totalsRowCount="1" headerRowDxfId="1280" dataDxfId="1278" totalsRowDxfId="1279">
  <autoFilter ref="B187:G198"/>
  <tableColumns count="6">
    <tableColumn id="1" name="Date" totalsRowLabel="Total" dataDxfId="1292" totalsRowDxfId="1291"/>
    <tableColumn id="2" name="W/O #" dataDxfId="1290" totalsRowDxfId="1289"/>
    <tableColumn id="3" name="Amount" totalsRowFunction="sum" dataDxfId="1288" totalsRowDxfId="1287"/>
    <tableColumn id="4" name="Category" dataDxfId="1286" totalsRowDxfId="1285"/>
    <tableColumn id="6" name="Description           Bin Number          # Used" dataDxfId="1284" totalsRowDxfId="1283"/>
    <tableColumn id="5" name="Part Number - Mileage - Mech Name" dataDxfId="1282" totalsRowDxfId="1281"/>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187.xml><?xml version="1.0" encoding="utf-8"?>
<table xmlns="http://schemas.openxmlformats.org/spreadsheetml/2006/main" id="187" name="ExpenseSummary188" displayName="ExpenseSummary188" ref="B18:P40" totalsRowCount="1" headerRowDxfId="1247" dataDxfId="1245" totalsRowDxfId="1246">
  <autoFilter ref="B18:P39">
    <filterColumn colId="0">
      <customFilters>
        <customFilter operator="notEqual" val=" "/>
      </customFilters>
    </filterColumn>
  </autoFilter>
  <tableColumns count="15">
    <tableColumn id="1" name="Expenses" totalsRowLabel="Total" dataDxfId="1277" totalsRowDxfId="1276"/>
    <tableColumn id="2" name="Jan" totalsRowFunction="sum" dataDxfId="1275" totalsRowDxfId="1274"/>
    <tableColumn id="3" name="Feb" totalsRowFunction="sum" dataDxfId="1273" totalsRowDxfId="1272"/>
    <tableColumn id="4" name="Mar" totalsRowFunction="sum" dataDxfId="1271" totalsRowDxfId="1270"/>
    <tableColumn id="5" name="Apr" totalsRowFunction="sum" dataDxfId="1269" totalsRowDxfId="1268"/>
    <tableColumn id="6" name="May" totalsRowFunction="sum" dataDxfId="1267" totalsRowDxfId="1266"/>
    <tableColumn id="7" name="Jun" totalsRowFunction="sum" dataDxfId="1265" totalsRowDxfId="1264"/>
    <tableColumn id="8" name="Jul" totalsRowFunction="sum" dataDxfId="1263" totalsRowDxfId="1262"/>
    <tableColumn id="9" name="Aug" totalsRowFunction="sum" dataDxfId="1261" totalsRowDxfId="1260"/>
    <tableColumn id="10" name="Sep" totalsRowFunction="sum" dataDxfId="1259" totalsRowDxfId="1258"/>
    <tableColumn id="11" name="Oct" totalsRowFunction="sum" dataDxfId="1257" totalsRowDxfId="1256"/>
    <tableColumn id="12" name="Nov" totalsRowFunction="sum" dataDxfId="1255" totalsRowDxfId="1254"/>
    <tableColumn id="13" name="Dec" totalsRowFunction="sum" dataDxfId="1253" totalsRowDxfId="1252"/>
    <tableColumn id="14" name="Total" totalsRowFunction="sum" dataDxfId="1251" totalsRowDxfId="1250">
      <calculatedColumnFormula>[20]summary!$R$18</calculatedColumnFormula>
    </tableColumn>
    <tableColumn id="15" name="Trend" dataDxfId="1249" totalsRowDxfId="1248"/>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188.xml><?xml version="1.0" encoding="utf-8"?>
<table xmlns="http://schemas.openxmlformats.org/spreadsheetml/2006/main" id="188" name="ExpJul189" displayName="ExpJul189" ref="B4:G17" totalsRowCount="1" headerRowDxfId="1232" dataDxfId="1230" totalsRowDxfId="1231">
  <autoFilter ref="B4:G16"/>
  <tableColumns count="6">
    <tableColumn id="1" name="Date" totalsRowLabel="Total" dataDxfId="1244" totalsRowDxfId="1243"/>
    <tableColumn id="2" name="W/O#" dataDxfId="1242" totalsRowDxfId="1241"/>
    <tableColumn id="3" name="Amount" totalsRowFunction="sum" dataDxfId="1240" totalsRowDxfId="1239"/>
    <tableColumn id="4" name="Category" dataDxfId="1238" totalsRowDxfId="1237"/>
    <tableColumn id="6" name="Description           Bin Number          # Used" dataDxfId="1236" totalsRowDxfId="1235"/>
    <tableColumn id="5" name="Part Number - Mileage - Mech Name" dataDxfId="1234" totalsRowDxfId="1233"/>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189.xml><?xml version="1.0" encoding="utf-8"?>
<table xmlns="http://schemas.openxmlformats.org/spreadsheetml/2006/main" id="189" name="ExpAug190" displayName="ExpAug190" ref="B21:G36" totalsRowCount="1" headerRowDxfId="1217" dataDxfId="1215" totalsRowDxfId="1216">
  <autoFilter ref="B21:G35"/>
  <tableColumns count="6">
    <tableColumn id="1" name="Date" totalsRowLabel="Total" dataDxfId="1229" totalsRowDxfId="1228"/>
    <tableColumn id="2" name="PO#" dataDxfId="1227" totalsRowDxfId="1226"/>
    <tableColumn id="3" name="Amount" totalsRowFunction="sum" dataDxfId="1225" totalsRowDxfId="1224"/>
    <tableColumn id="4" name="Category" dataDxfId="1223" totalsRowDxfId="1222"/>
    <tableColumn id="6" name="Description           Bin Number          # Used" dataDxfId="1221" totalsRowDxfId="1220"/>
    <tableColumn id="5" name="Part Number - Mileage - Mech Name" dataDxfId="1219" totalsRowDxfId="1218"/>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19.xml><?xml version="1.0" encoding="utf-8"?>
<table xmlns="http://schemas.openxmlformats.org/spreadsheetml/2006/main" id="7" name="ExpNov8" displayName="ExpNov8" ref="B69:G78" totalsRowCount="1" headerRowDxfId="4001" dataDxfId="3999" totalsRowDxfId="4000">
  <autoFilter ref="B69:G77"/>
  <tableColumns count="6">
    <tableColumn id="1" name="Date" totalsRowLabel="Total" dataDxfId="4013" totalsRowDxfId="4012"/>
    <tableColumn id="2" name="W/O" dataDxfId="4011" totalsRowDxfId="4010"/>
    <tableColumn id="3" name="Amount" totalsRowFunction="sum" dataDxfId="4009" totalsRowDxfId="4008"/>
    <tableColumn id="4" name="Category" dataDxfId="4007" totalsRowDxfId="4006"/>
    <tableColumn id="6" name="Column1" dataDxfId="4005" totalsRowDxfId="4004"/>
    <tableColumn id="5" name="Description" dataDxfId="4003" totalsRowDxfId="4002"/>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190.xml><?xml version="1.0" encoding="utf-8"?>
<table xmlns="http://schemas.openxmlformats.org/spreadsheetml/2006/main" id="190" name="ExpSep191" displayName="ExpSep191" ref="B40:G51" totalsRowCount="1" headerRowDxfId="1202" dataDxfId="1200" totalsRowDxfId="1201">
  <autoFilter ref="B40:G50"/>
  <tableColumns count="6">
    <tableColumn id="1" name="Date" totalsRowLabel="Total" dataDxfId="1214" totalsRowDxfId="1213"/>
    <tableColumn id="2" name="PO#" dataDxfId="1212" totalsRowDxfId="1211"/>
    <tableColumn id="3" name="Amount" totalsRowFunction="sum" dataDxfId="1210" totalsRowDxfId="1209"/>
    <tableColumn id="4" name="Category" dataDxfId="1208" totalsRowDxfId="1207"/>
    <tableColumn id="6" name="Description           Bin Number          # Used" dataDxfId="1206" totalsRowDxfId="1205"/>
    <tableColumn id="5" name="Part Number - Mileage - Mech Name" dataDxfId="1204" totalsRowDxfId="1203"/>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191.xml><?xml version="1.0" encoding="utf-8"?>
<table xmlns="http://schemas.openxmlformats.org/spreadsheetml/2006/main" id="191" name="ExpOct192" displayName="ExpOct192" ref="B55:G67" totalsRowCount="1" headerRowDxfId="1187" dataDxfId="1185" totalsRowDxfId="1186">
  <autoFilter ref="B55:G66"/>
  <tableColumns count="6">
    <tableColumn id="1" name="Date" totalsRowLabel="Total" dataDxfId="1199" totalsRowDxfId="1198"/>
    <tableColumn id="2" name="W/O" dataDxfId="1197" totalsRowDxfId="1196"/>
    <tableColumn id="3" name="Amount" totalsRowFunction="sum" dataDxfId="1195" totalsRowDxfId="1194"/>
    <tableColumn id="4" name="Category" dataDxfId="1193" totalsRowDxfId="1192"/>
    <tableColumn id="6" name="Description           Bin Number          # Used" dataDxfId="1191" totalsRowDxfId="1190"/>
    <tableColumn id="5" name="Part Number - Mileage - Mech Name" dataDxfId="1189" totalsRowDxfId="1188"/>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192.xml><?xml version="1.0" encoding="utf-8"?>
<table xmlns="http://schemas.openxmlformats.org/spreadsheetml/2006/main" id="192" name="ExpNov128141154167180193" displayName="ExpNov128141154167180193" ref="B71:G82" totalsRowCount="1" headerRowDxfId="1172" dataDxfId="1170" totalsRowDxfId="1171">
  <autoFilter ref="B71:G81"/>
  <tableColumns count="6">
    <tableColumn id="1" name="Date" totalsRowLabel="Total" dataDxfId="1184" totalsRowDxfId="1183"/>
    <tableColumn id="2" name="W/O" dataDxfId="1182" totalsRowDxfId="1181"/>
    <tableColumn id="3" name="Amount" totalsRowFunction="sum" dataDxfId="1180" totalsRowDxfId="1179"/>
    <tableColumn id="4" name="Category" dataDxfId="1178" totalsRowDxfId="1177"/>
    <tableColumn id="6" name="Column1" dataDxfId="1176" totalsRowDxfId="1175"/>
    <tableColumn id="5" name="Description" dataDxfId="1174" totalsRowDxfId="1173"/>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193.xml><?xml version="1.0" encoding="utf-8"?>
<table xmlns="http://schemas.openxmlformats.org/spreadsheetml/2006/main" id="193" name="ExpDec129142155168181194" displayName="ExpDec129142155168181194" ref="B86:G93" totalsRowCount="1" headerRowDxfId="1157" dataDxfId="1155" totalsRowDxfId="1156">
  <autoFilter ref="B86:G92"/>
  <tableColumns count="6">
    <tableColumn id="1" name="Date" totalsRowLabel="Total" dataDxfId="1169" totalsRowDxfId="1168"/>
    <tableColumn id="2" name="W/O" dataDxfId="1167" totalsRowDxfId="1166"/>
    <tableColumn id="3" name="Amount" totalsRowFunction="sum" dataDxfId="1165" totalsRowDxfId="1164"/>
    <tableColumn id="4" name="Category" dataDxfId="1163" totalsRowDxfId="1162"/>
    <tableColumn id="6" name="Column1" dataDxfId="1161" totalsRowDxfId="1160"/>
    <tableColumn id="5" name="Description" dataDxfId="1159" totalsRowDxfId="1158"/>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194.xml><?xml version="1.0" encoding="utf-8"?>
<table xmlns="http://schemas.openxmlformats.org/spreadsheetml/2006/main" id="194" name="ExpJan130143156169182195" displayName="ExpJan130143156169182195" ref="B97:G106" totalsRowCount="1" headerRowDxfId="1142" dataDxfId="1140" totalsRowDxfId="1141">
  <autoFilter ref="B97:G105"/>
  <tableColumns count="6">
    <tableColumn id="1" name="Date" totalsRowLabel="Total" dataDxfId="1154" totalsRowDxfId="1153"/>
    <tableColumn id="2" name="Work Order" dataDxfId="1152" totalsRowDxfId="1151"/>
    <tableColumn id="3" name="Amount" totalsRowFunction="sum" dataDxfId="1150" totalsRowDxfId="1149"/>
    <tableColumn id="4" name="Category" dataDxfId="1148" totalsRowDxfId="1147"/>
    <tableColumn id="6" name="Column1" dataDxfId="1146" totalsRowDxfId="1145"/>
    <tableColumn id="5" name="Description" dataDxfId="1144" totalsRowDxfId="1143"/>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195.xml><?xml version="1.0" encoding="utf-8"?>
<table xmlns="http://schemas.openxmlformats.org/spreadsheetml/2006/main" id="195" name="ExpFeb131144157170183196" displayName="ExpFeb131144157170183196" ref="B110:G122" totalsRowCount="1" headerRowDxfId="1127" dataDxfId="1125" totalsRowDxfId="1126">
  <autoFilter ref="B110:G121"/>
  <tableColumns count="6">
    <tableColumn id="1" name="Date" totalsRowLabel="Total" dataDxfId="1139" totalsRowDxfId="1138"/>
    <tableColumn id="2" name="W/O" dataDxfId="1137" totalsRowDxfId="1136"/>
    <tableColumn id="3" name="Amount" totalsRowFunction="sum" dataDxfId="1135" totalsRowDxfId="1134"/>
    <tableColumn id="4" name="Category" dataDxfId="1133" totalsRowDxfId="1132"/>
    <tableColumn id="5" name="Description           Bin Number          # Used" dataDxfId="1131" totalsRowDxfId="1130"/>
    <tableColumn id="6" name="Part Number - Mileage - Mech Name" dataDxfId="1129" totalsRowDxfId="1128"/>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196.xml><?xml version="1.0" encoding="utf-8"?>
<table xmlns="http://schemas.openxmlformats.org/spreadsheetml/2006/main" id="196" name="ExpMar132145158171184197" displayName="ExpMar132145158171184197" ref="B126:G140" totalsRowCount="1" headerRowDxfId="1112" dataDxfId="1110" totalsRowDxfId="1111">
  <autoFilter ref="B126:G139"/>
  <tableColumns count="6">
    <tableColumn id="1" name="Date" totalsRowLabel="Total" dataDxfId="1124" totalsRowDxfId="1123"/>
    <tableColumn id="2" name="W/O" dataDxfId="1122" totalsRowDxfId="1121"/>
    <tableColumn id="3" name="Amount" totalsRowFunction="sum" dataDxfId="1120" totalsRowDxfId="1119"/>
    <tableColumn id="4" name="Category" dataDxfId="1118" totalsRowDxfId="1117"/>
    <tableColumn id="6" name="Description           Bin Number          # Used" dataDxfId="1116" totalsRowDxfId="1115"/>
    <tableColumn id="5" name="Part Number - Mileage - Mech Name" dataDxfId="1114" totalsRowDxfId="1113"/>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197.xml><?xml version="1.0" encoding="utf-8"?>
<table xmlns="http://schemas.openxmlformats.org/spreadsheetml/2006/main" id="197" name="ExpApr133146159172185198" displayName="ExpApr133146159172185198" ref="B144:G156" totalsRowCount="1" headerRowDxfId="1097" dataDxfId="1095" totalsRowDxfId="1096">
  <autoFilter ref="B144:G155"/>
  <tableColumns count="6">
    <tableColumn id="1" name="Date" totalsRowLabel="Total" dataDxfId="1109" totalsRowDxfId="1108"/>
    <tableColumn id="2" name="w/o" dataDxfId="1107" totalsRowDxfId="1106"/>
    <tableColumn id="3" name="Amount" totalsRowFunction="sum" dataDxfId="1105" totalsRowDxfId="1104"/>
    <tableColumn id="4" name="Category" dataDxfId="1103" totalsRowDxfId="1102"/>
    <tableColumn id="6" name="Description           Bin Number          # Used" dataDxfId="1101" totalsRowDxfId="1100"/>
    <tableColumn id="5" name="Part Number - Mileage - Mech Name" dataDxfId="1099" totalsRowDxfId="1098"/>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198.xml><?xml version="1.0" encoding="utf-8"?>
<table xmlns="http://schemas.openxmlformats.org/spreadsheetml/2006/main" id="198" name="ExpMay134147160173186199" displayName="ExpMay134147160173186199" ref="B160:G173" totalsRowCount="1" headerRowDxfId="1082" dataDxfId="1080" totalsRowDxfId="1081">
  <autoFilter ref="B160:G172"/>
  <tableColumns count="6">
    <tableColumn id="1" name="Date" totalsRowLabel="Total" dataDxfId="1094" totalsRowDxfId="1093"/>
    <tableColumn id="2" name="W/O" dataDxfId="1092" totalsRowDxfId="1091"/>
    <tableColumn id="3" name="Amount" totalsRowFunction="sum" dataDxfId="1090" totalsRowDxfId="1089"/>
    <tableColumn id="4" name="Category" dataDxfId="1088" totalsRowDxfId="1087"/>
    <tableColumn id="6" name="Description           Bin Number          # Used" dataDxfId="1086" totalsRowDxfId="1085"/>
    <tableColumn id="5" name="Part Number - Mileage - Mech Name" dataDxfId="1084" totalsRowDxfId="1083"/>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199.xml><?xml version="1.0" encoding="utf-8"?>
<table xmlns="http://schemas.openxmlformats.org/spreadsheetml/2006/main" id="199" name="ExpJun135148161174187200" displayName="ExpJun135148161174187200" ref="B177:G189" totalsRowCount="1" headerRowDxfId="1067" dataDxfId="1065" totalsRowDxfId="1066">
  <autoFilter ref="B177:G188"/>
  <tableColumns count="6">
    <tableColumn id="1" name="Date" totalsRowLabel="Total" dataDxfId="1079" totalsRowDxfId="1078"/>
    <tableColumn id="2" name="W/O #" dataDxfId="1077" totalsRowDxfId="1076"/>
    <tableColumn id="3" name="Amount" totalsRowFunction="sum" dataDxfId="1075" totalsRowDxfId="1074"/>
    <tableColumn id="4" name="Category" dataDxfId="1073" totalsRowDxfId="1072"/>
    <tableColumn id="6" name="Description           Bin Number          # Used" dataDxfId="1071" totalsRowDxfId="1070"/>
    <tableColumn id="5" name="Part Number - Mileage - Mech Name" dataDxfId="1069" totalsRowDxfId="1068"/>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2.xml><?xml version="1.0" encoding="utf-8"?>
<table xmlns="http://schemas.openxmlformats.org/spreadsheetml/2006/main" id="2" name="ExpJul" displayName="ExpJul" ref="B4:G17" totalsRowCount="1" headerRowDxfId="4274" dataDxfId="4272" totalsRowDxfId="4273">
  <autoFilter ref="B4:G16"/>
  <tableColumns count="6">
    <tableColumn id="1" name="Date" totalsRowLabel="Total" dataDxfId="4286" totalsRowDxfId="4285"/>
    <tableColumn id="2" name="W/O#" dataDxfId="4284" totalsRowDxfId="4283"/>
    <tableColumn id="3" name="Amount" totalsRowFunction="sum" dataDxfId="4282" totalsRowDxfId="4281"/>
    <tableColumn id="4" name="Category" dataDxfId="4280" totalsRowDxfId="4279"/>
    <tableColumn id="6" name="Description         Bin Number    number used" dataDxfId="4278" totalsRowDxfId="4277"/>
    <tableColumn id="5" name="Part Number - Mileage - Mech Name" dataDxfId="4276" totalsRowDxfId="4275"/>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20.xml><?xml version="1.0" encoding="utf-8"?>
<table xmlns="http://schemas.openxmlformats.org/spreadsheetml/2006/main" id="9" name="ExpDec10" displayName="ExpDec10" ref="B82:G89" totalsRowCount="1" headerRowDxfId="3986" dataDxfId="3984" totalsRowDxfId="3985">
  <autoFilter ref="B82:G88"/>
  <tableColumns count="6">
    <tableColumn id="1" name="Date" totalsRowLabel="Total" dataDxfId="3998" totalsRowDxfId="3997"/>
    <tableColumn id="2" name="W/O" dataDxfId="3996" totalsRowDxfId="3995"/>
    <tableColumn id="3" name="Amount" totalsRowFunction="sum" dataDxfId="3994" totalsRowDxfId="3993"/>
    <tableColumn id="4" name="Category" dataDxfId="3992" totalsRowDxfId="3991"/>
    <tableColumn id="6" name="Column1" dataDxfId="3990" totalsRowDxfId="3989"/>
    <tableColumn id="5" name="Description" dataDxfId="3988" totalsRowDxfId="3987"/>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200.xml><?xml version="1.0" encoding="utf-8"?>
<table xmlns="http://schemas.openxmlformats.org/spreadsheetml/2006/main" id="200" name="ExpenseSummary201" displayName="ExpenseSummary201" ref="B18:P40" totalsRowCount="1" headerRowDxfId="1034" dataDxfId="1032" totalsRowDxfId="1033">
  <autoFilter ref="B18:P39">
    <filterColumn colId="0">
      <customFilters>
        <customFilter operator="notEqual" val=" "/>
      </customFilters>
    </filterColumn>
  </autoFilter>
  <tableColumns count="15">
    <tableColumn id="1" name="Expenses" totalsRowLabel="Total" dataDxfId="1064" totalsRowDxfId="1063" dataCellStyle="Normal 2"/>
    <tableColumn id="2" name="Jan" totalsRowFunction="sum" dataDxfId="1062" totalsRowDxfId="1061" dataCellStyle="Normal 2"/>
    <tableColumn id="3" name="Feb" totalsRowFunction="sum" dataDxfId="1060" totalsRowDxfId="1059" dataCellStyle="Normal 2"/>
    <tableColumn id="4" name="Mar" totalsRowFunction="sum" dataDxfId="1058" totalsRowDxfId="1057" dataCellStyle="Normal 2"/>
    <tableColumn id="5" name="Apr" totalsRowFunction="sum" dataDxfId="1056" totalsRowDxfId="1055" dataCellStyle="Normal 2"/>
    <tableColumn id="6" name="May" totalsRowFunction="sum" dataDxfId="1054" totalsRowDxfId="1053" dataCellStyle="Normal 2"/>
    <tableColumn id="7" name="Jun" totalsRowFunction="sum" dataDxfId="1052" totalsRowDxfId="1051" dataCellStyle="Normal 2"/>
    <tableColumn id="8" name="Jul" totalsRowFunction="sum" dataDxfId="1050" totalsRowDxfId="1049" dataCellStyle="Normal 2"/>
    <tableColumn id="9" name="Aug" totalsRowFunction="sum" dataDxfId="1048" totalsRowDxfId="1047" dataCellStyle="Normal 2"/>
    <tableColumn id="10" name="Sep" totalsRowFunction="sum" dataDxfId="1046" totalsRowDxfId="1045" dataCellStyle="Normal 2"/>
    <tableColumn id="11" name="Oct" totalsRowFunction="sum" dataDxfId="1044" totalsRowDxfId="1043" dataCellStyle="Normal 2"/>
    <tableColumn id="12" name="Nov" totalsRowFunction="sum" dataDxfId="1042" totalsRowDxfId="1041" dataCellStyle="Normal 2"/>
    <tableColumn id="13" name="Dec" totalsRowFunction="sum" dataDxfId="1040" totalsRowDxfId="1039" dataCellStyle="Normal 2"/>
    <tableColumn id="14" name="Total" totalsRowFunction="sum" dataDxfId="1038" totalsRowDxfId="1037" dataCellStyle="Normal 2">
      <calculatedColumnFormula>[20]summary!$R$18</calculatedColumnFormula>
    </tableColumn>
    <tableColumn id="15" name="Trend" dataDxfId="1036" totalsRowDxfId="1035" dataCellStyle="Normal 2"/>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201.xml><?xml version="1.0" encoding="utf-8"?>
<table xmlns="http://schemas.openxmlformats.org/spreadsheetml/2006/main" id="201" name="ExpJul202" displayName="ExpJul202" ref="B4:G11" totalsRowCount="1" headerRowDxfId="1019" dataDxfId="1017" totalsRowDxfId="1018">
  <autoFilter ref="B4:G10"/>
  <tableColumns count="6">
    <tableColumn id="1" name="Date" totalsRowLabel="Total" dataDxfId="1031" totalsRowDxfId="1030"/>
    <tableColumn id="2" name="W/O#" dataDxfId="1029" totalsRowDxfId="1028"/>
    <tableColumn id="3" name="Amount" totalsRowFunction="sum" dataDxfId="1027" totalsRowDxfId="1026"/>
    <tableColumn id="4" name="Category" dataDxfId="1025" totalsRowDxfId="1024"/>
    <tableColumn id="6" name="Description           Bin Number          # Used" dataDxfId="1023" totalsRowDxfId="1022"/>
    <tableColumn id="5" name="Part Number - Mileage - Mech Name" dataDxfId="1021" totalsRowDxfId="1020"/>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202.xml><?xml version="1.0" encoding="utf-8"?>
<table xmlns="http://schemas.openxmlformats.org/spreadsheetml/2006/main" id="202" name="ExpAug203" displayName="ExpAug203" ref="B15:G27" totalsRowCount="1" headerRowDxfId="1004" dataDxfId="1002" totalsRowDxfId="1003">
  <autoFilter ref="B15:G26"/>
  <tableColumns count="6">
    <tableColumn id="1" name="Date" totalsRowLabel="Total" dataDxfId="1016" totalsRowDxfId="1015"/>
    <tableColumn id="2" name="PO#" dataDxfId="1014" totalsRowDxfId="1013"/>
    <tableColumn id="3" name="Amount" totalsRowFunction="sum" dataDxfId="1012" totalsRowDxfId="1011"/>
    <tableColumn id="4" name="Category" dataDxfId="1010" totalsRowDxfId="1009"/>
    <tableColumn id="6" name="Description           Bin Number          # Used" dataDxfId="1008" totalsRowDxfId="1007"/>
    <tableColumn id="5" name="Part Number - Mileage - Mech Name" dataDxfId="1006" totalsRowDxfId="1005"/>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203.xml><?xml version="1.0" encoding="utf-8"?>
<table xmlns="http://schemas.openxmlformats.org/spreadsheetml/2006/main" id="203" name="ExpSep204" displayName="ExpSep204" ref="B31:G46" totalsRowCount="1" headerRowDxfId="989" dataDxfId="987" totalsRowDxfId="988">
  <autoFilter ref="B31:G45"/>
  <tableColumns count="6">
    <tableColumn id="1" name="Date" totalsRowLabel="Total" dataDxfId="1001" totalsRowDxfId="1000"/>
    <tableColumn id="2" name="PO#" dataDxfId="999" totalsRowDxfId="998"/>
    <tableColumn id="3" name="Amount" totalsRowFunction="sum" dataDxfId="997" totalsRowDxfId="996"/>
    <tableColumn id="4" name="Category" dataDxfId="995" totalsRowDxfId="994"/>
    <tableColumn id="6" name="Description           Bin Number          # Used" dataDxfId="993" totalsRowDxfId="992"/>
    <tableColumn id="5" name="Part Number - Mileage - Mech Name" dataDxfId="991" totalsRowDxfId="990"/>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204.xml><?xml version="1.0" encoding="utf-8"?>
<table xmlns="http://schemas.openxmlformats.org/spreadsheetml/2006/main" id="204" name="ExpOct205" displayName="ExpOct205" ref="B50:G62" totalsRowCount="1" headerRowDxfId="974" dataDxfId="972" totalsRowDxfId="973">
  <autoFilter ref="B50:G61"/>
  <tableColumns count="6">
    <tableColumn id="1" name="Date" totalsRowLabel="Total" dataDxfId="986" totalsRowDxfId="985"/>
    <tableColumn id="2" name="W/O" dataDxfId="984" totalsRowDxfId="983"/>
    <tableColumn id="3" name="Amount" totalsRowFunction="sum" dataDxfId="982" totalsRowDxfId="981"/>
    <tableColumn id="4" name="Category" dataDxfId="980" totalsRowDxfId="979"/>
    <tableColumn id="6" name="Description           Bin Number          # Used" dataDxfId="978" totalsRowDxfId="977"/>
    <tableColumn id="5" name="Part Number - Mileage - Mech Name" dataDxfId="976" totalsRowDxfId="975"/>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205.xml><?xml version="1.0" encoding="utf-8"?>
<table xmlns="http://schemas.openxmlformats.org/spreadsheetml/2006/main" id="205" name="ExpNov128141154167180193206" displayName="ExpNov128141154167180193206" ref="B66:G77" totalsRowCount="1" headerRowDxfId="959" dataDxfId="957" totalsRowDxfId="958">
  <autoFilter ref="B66:G76"/>
  <tableColumns count="6">
    <tableColumn id="1" name="Date" totalsRowLabel="Total" dataDxfId="971" totalsRowDxfId="970"/>
    <tableColumn id="2" name="W/O" dataDxfId="969" totalsRowDxfId="968"/>
    <tableColumn id="3" name="Amount" totalsRowFunction="sum" dataDxfId="967" totalsRowDxfId="966"/>
    <tableColumn id="4" name="Category" dataDxfId="965" totalsRowDxfId="964"/>
    <tableColumn id="6" name="Column1" dataDxfId="963" totalsRowDxfId="962"/>
    <tableColumn id="5" name="Description" dataDxfId="961" totalsRowDxfId="960"/>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206.xml><?xml version="1.0" encoding="utf-8"?>
<table xmlns="http://schemas.openxmlformats.org/spreadsheetml/2006/main" id="206" name="ExpDec129142155168181194207" displayName="ExpDec129142155168181194207" ref="B81:G88" totalsRowCount="1" headerRowDxfId="944" dataDxfId="942" totalsRowDxfId="943">
  <autoFilter ref="B81:G87"/>
  <tableColumns count="6">
    <tableColumn id="1" name="Date" totalsRowLabel="Total" dataDxfId="956" totalsRowDxfId="955"/>
    <tableColumn id="2" name="W/O" dataDxfId="954" totalsRowDxfId="953"/>
    <tableColumn id="3" name="Amount" totalsRowFunction="sum" dataDxfId="952" totalsRowDxfId="951"/>
    <tableColumn id="4" name="Category" dataDxfId="950" totalsRowDxfId="949"/>
    <tableColumn id="6" name="Column1" dataDxfId="948" totalsRowDxfId="947"/>
    <tableColumn id="5" name="Description" dataDxfId="946" totalsRowDxfId="945"/>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207.xml><?xml version="1.0" encoding="utf-8"?>
<table xmlns="http://schemas.openxmlformats.org/spreadsheetml/2006/main" id="207" name="ExpJan130143156169182195208" displayName="ExpJan130143156169182195208" ref="B92:G101" totalsRowCount="1" headerRowDxfId="929" dataDxfId="927" totalsRowDxfId="928">
  <autoFilter ref="B92:G100"/>
  <tableColumns count="6">
    <tableColumn id="1" name="Date" totalsRowLabel="Total" dataDxfId="941" totalsRowDxfId="940"/>
    <tableColumn id="2" name="Work Order" dataDxfId="939" totalsRowDxfId="938"/>
    <tableColumn id="3" name="Amount" totalsRowFunction="sum" dataDxfId="937" totalsRowDxfId="936"/>
    <tableColumn id="4" name="Category" dataDxfId="935" totalsRowDxfId="934"/>
    <tableColumn id="6" name="Column1" dataDxfId="933" totalsRowDxfId="932"/>
    <tableColumn id="5" name="Description" dataDxfId="931" totalsRowDxfId="930"/>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208.xml><?xml version="1.0" encoding="utf-8"?>
<table xmlns="http://schemas.openxmlformats.org/spreadsheetml/2006/main" id="208" name="ExpFeb131144157170183196209" displayName="ExpFeb131144157170183196209" ref="B105:G117" totalsRowCount="1" headerRowDxfId="914" dataDxfId="912" totalsRowDxfId="913">
  <autoFilter ref="B105:G116"/>
  <tableColumns count="6">
    <tableColumn id="1" name="Date" totalsRowLabel="Total" dataDxfId="926" totalsRowDxfId="925"/>
    <tableColumn id="2" name="W/O" dataDxfId="924" totalsRowDxfId="923"/>
    <tableColumn id="3" name="Amount" totalsRowFunction="sum" dataDxfId="922" totalsRowDxfId="921"/>
    <tableColumn id="4" name="Category" dataDxfId="920" totalsRowDxfId="919"/>
    <tableColumn id="5" name="Description           Bin Number          # Used" dataDxfId="918" totalsRowDxfId="917"/>
    <tableColumn id="6" name="Part Number - Mileage - Mech Name" dataDxfId="916" totalsRowDxfId="915"/>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209.xml><?xml version="1.0" encoding="utf-8"?>
<table xmlns="http://schemas.openxmlformats.org/spreadsheetml/2006/main" id="209" name="ExpMar132145158171184197210" displayName="ExpMar132145158171184197210" ref="B121:G135" totalsRowCount="1" headerRowDxfId="899" dataDxfId="897" totalsRowDxfId="898">
  <autoFilter ref="B121:G134"/>
  <tableColumns count="6">
    <tableColumn id="1" name="Date" totalsRowLabel="Total" dataDxfId="911" totalsRowDxfId="910"/>
    <tableColumn id="2" name="W/O" dataDxfId="909" totalsRowDxfId="908"/>
    <tableColumn id="3" name="Amount" totalsRowFunction="sum" dataDxfId="907" totalsRowDxfId="906"/>
    <tableColumn id="4" name="Category" dataDxfId="905" totalsRowDxfId="904"/>
    <tableColumn id="6" name="Description           Bin Number          # Used" dataDxfId="903" totalsRowDxfId="902"/>
    <tableColumn id="5" name="Part Number - Mileage - Mech Name" dataDxfId="901" totalsRowDxfId="900"/>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21.xml><?xml version="1.0" encoding="utf-8"?>
<table xmlns="http://schemas.openxmlformats.org/spreadsheetml/2006/main" id="12" name="ExpJan13" displayName="ExpJan13" ref="B93:G107" totalsRowCount="1" headerRowDxfId="3971" dataDxfId="3969" totalsRowDxfId="3970">
  <autoFilter ref="B93:G106"/>
  <tableColumns count="6">
    <tableColumn id="1" name="Date" totalsRowLabel="Total" dataDxfId="3983" totalsRowDxfId="3982"/>
    <tableColumn id="2" name="Work Order" dataDxfId="3981" totalsRowDxfId="3980"/>
    <tableColumn id="3" name="Amount" totalsRowFunction="sum" dataDxfId="3979" totalsRowDxfId="3978"/>
    <tableColumn id="4" name="Category" dataDxfId="3977" totalsRowDxfId="3976"/>
    <tableColumn id="6" name="Column1" dataDxfId="3975" totalsRowDxfId="3974"/>
    <tableColumn id="5" name="Description" dataDxfId="3973" totalsRowDxfId="3972"/>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210.xml><?xml version="1.0" encoding="utf-8"?>
<table xmlns="http://schemas.openxmlformats.org/spreadsheetml/2006/main" id="210" name="ExpApr133146159172185198211" displayName="ExpApr133146159172185198211" ref="B139:G151" totalsRowCount="1" headerRowDxfId="884" dataDxfId="882" totalsRowDxfId="883">
  <autoFilter ref="B139:G150"/>
  <tableColumns count="6">
    <tableColumn id="1" name="Date" totalsRowLabel="Total" dataDxfId="896" totalsRowDxfId="895"/>
    <tableColumn id="2" name="w/o" dataDxfId="894" totalsRowDxfId="893"/>
    <tableColumn id="3" name="Amount" totalsRowFunction="sum" dataDxfId="892" totalsRowDxfId="891"/>
    <tableColumn id="4" name="Category" dataDxfId="890" totalsRowDxfId="889"/>
    <tableColumn id="6" name="Description           Bin Number          # Used" dataDxfId="888" totalsRowDxfId="887"/>
    <tableColumn id="5" name="Part Number - Mileage - Mech Name" dataDxfId="886" totalsRowDxfId="885"/>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211.xml><?xml version="1.0" encoding="utf-8"?>
<table xmlns="http://schemas.openxmlformats.org/spreadsheetml/2006/main" id="211" name="ExpMay134147160173186199212" displayName="ExpMay134147160173186199212" ref="B155:G168" totalsRowCount="1" headerRowDxfId="869" dataDxfId="867" totalsRowDxfId="868">
  <autoFilter ref="B155:G167"/>
  <tableColumns count="6">
    <tableColumn id="1" name="Date" totalsRowLabel="Total" dataDxfId="881" totalsRowDxfId="880"/>
    <tableColumn id="2" name="W/O" dataDxfId="879" totalsRowDxfId="878"/>
    <tableColumn id="3" name="Amount" totalsRowFunction="sum" dataDxfId="877" totalsRowDxfId="876"/>
    <tableColumn id="4" name="Category" dataDxfId="875" totalsRowDxfId="874"/>
    <tableColumn id="6" name="Description           Bin Number          # Used" dataDxfId="873" totalsRowDxfId="872"/>
    <tableColumn id="5" name="Part Number - Mileage - Mech Name" dataDxfId="871" totalsRowDxfId="870"/>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212.xml><?xml version="1.0" encoding="utf-8"?>
<table xmlns="http://schemas.openxmlformats.org/spreadsheetml/2006/main" id="212" name="ExpJun135148161174187200213" displayName="ExpJun135148161174187200213" ref="B172:G184" totalsRowCount="1" headerRowDxfId="854" dataDxfId="852" totalsRowDxfId="853">
  <autoFilter ref="B172:G183"/>
  <tableColumns count="6">
    <tableColumn id="1" name="Date" totalsRowLabel="Total" dataDxfId="866" totalsRowDxfId="865"/>
    <tableColumn id="2" name="W/O #" dataDxfId="864" totalsRowDxfId="863"/>
    <tableColumn id="3" name="Amount" totalsRowFunction="sum" dataDxfId="862" totalsRowDxfId="861"/>
    <tableColumn id="4" name="Category" dataDxfId="860" totalsRowDxfId="859"/>
    <tableColumn id="6" name="Description           Bin Number          # Used" dataDxfId="858" totalsRowDxfId="857"/>
    <tableColumn id="5" name="Part Number - Mileage - Mech Name" dataDxfId="856" totalsRowDxfId="855"/>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213.xml><?xml version="1.0" encoding="utf-8"?>
<table xmlns="http://schemas.openxmlformats.org/spreadsheetml/2006/main" id="213" name="ExpenseSummary214" displayName="ExpenseSummary214" ref="B18:P40" totalsRowCount="1" headerRowDxfId="821" dataDxfId="819" totalsRowDxfId="820">
  <autoFilter ref="B18:P39">
    <filterColumn colId="0">
      <customFilters>
        <customFilter operator="notEqual" val=" "/>
      </customFilters>
    </filterColumn>
  </autoFilter>
  <tableColumns count="15">
    <tableColumn id="1" name="Expenses" totalsRowLabel="Total" dataDxfId="851" totalsRowDxfId="850"/>
    <tableColumn id="2" name="Jan" totalsRowFunction="sum" dataDxfId="849" totalsRowDxfId="848"/>
    <tableColumn id="3" name="Feb" totalsRowFunction="sum" dataDxfId="847" totalsRowDxfId="846"/>
    <tableColumn id="4" name="Mar" totalsRowFunction="sum" dataDxfId="845" totalsRowDxfId="844"/>
    <tableColumn id="5" name="Apr" totalsRowFunction="sum" dataDxfId="843" totalsRowDxfId="842"/>
    <tableColumn id="6" name="May" totalsRowFunction="sum" dataDxfId="841" totalsRowDxfId="840"/>
    <tableColumn id="7" name="Jun" totalsRowFunction="sum" dataDxfId="839" totalsRowDxfId="838"/>
    <tableColumn id="8" name="Jul" totalsRowFunction="sum" dataDxfId="837" totalsRowDxfId="836"/>
    <tableColumn id="9" name="Aug" totalsRowFunction="sum" dataDxfId="835" totalsRowDxfId="834"/>
    <tableColumn id="10" name="Sep" totalsRowFunction="sum" dataDxfId="833" totalsRowDxfId="832"/>
    <tableColumn id="11" name="Oct" totalsRowFunction="sum" dataDxfId="831" totalsRowDxfId="830"/>
    <tableColumn id="12" name="Nov" totalsRowFunction="sum" dataDxfId="829" totalsRowDxfId="828"/>
    <tableColumn id="13" name="Dec" totalsRowFunction="sum" dataDxfId="827" totalsRowDxfId="826"/>
    <tableColumn id="14" name="Total" totalsRowFunction="sum" dataDxfId="825" totalsRowDxfId="824">
      <calculatedColumnFormula>[20]summary!$R$18</calculatedColumnFormula>
    </tableColumn>
    <tableColumn id="15" name="Trend" dataDxfId="823" totalsRowDxfId="822"/>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214.xml><?xml version="1.0" encoding="utf-8"?>
<table xmlns="http://schemas.openxmlformats.org/spreadsheetml/2006/main" id="214" name="ExpJul215" displayName="ExpJul215" ref="B4:G18" totalsRowCount="1" headerRowDxfId="806" dataDxfId="804" totalsRowDxfId="805">
  <autoFilter ref="B4:G17"/>
  <tableColumns count="6">
    <tableColumn id="1" name="Date" totalsRowLabel="Total" dataDxfId="818" totalsRowDxfId="817"/>
    <tableColumn id="2" name="W/O#" dataDxfId="816" totalsRowDxfId="815"/>
    <tableColumn id="3" name="Amount" totalsRowFunction="sum" dataDxfId="814" totalsRowDxfId="813"/>
    <tableColumn id="4" name="Category" dataDxfId="812" totalsRowDxfId="811"/>
    <tableColumn id="6" name="Description           Bin Number          # Used" dataDxfId="810" totalsRowDxfId="809"/>
    <tableColumn id="5" name="Part Number - Mileage - Mech Name" dataDxfId="808" totalsRowDxfId="807"/>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215.xml><?xml version="1.0" encoding="utf-8"?>
<table xmlns="http://schemas.openxmlformats.org/spreadsheetml/2006/main" id="215" name="ExpAug216" displayName="ExpAug216" ref="B22:G41" totalsRowCount="1" headerRowDxfId="791" dataDxfId="789" totalsRowDxfId="790">
  <autoFilter ref="B22:G40"/>
  <tableColumns count="6">
    <tableColumn id="1" name="Date" totalsRowLabel="Total" dataDxfId="803" totalsRowDxfId="802"/>
    <tableColumn id="2" name="PO#" dataDxfId="801" totalsRowDxfId="800"/>
    <tableColumn id="3" name="Amount" totalsRowFunction="sum" dataDxfId="799" totalsRowDxfId="798"/>
    <tableColumn id="4" name="Category" dataDxfId="797" totalsRowDxfId="796"/>
    <tableColumn id="6" name="Description           Bin Number          # Used" dataDxfId="795" totalsRowDxfId="794"/>
    <tableColumn id="5" name="Part Number - Mileage - Mech Name" dataDxfId="793" totalsRowDxfId="792"/>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216.xml><?xml version="1.0" encoding="utf-8"?>
<table xmlns="http://schemas.openxmlformats.org/spreadsheetml/2006/main" id="216" name="ExpSep217" displayName="ExpSep217" ref="B46:G56" totalsRowCount="1" headerRowDxfId="776" dataDxfId="774" totalsRowDxfId="775">
  <autoFilter ref="B46:G55"/>
  <tableColumns count="6">
    <tableColumn id="1" name="Date" totalsRowLabel="Total" dataDxfId="788" totalsRowDxfId="787"/>
    <tableColumn id="2" name="PO#" dataDxfId="786" totalsRowDxfId="785"/>
    <tableColumn id="3" name="Amount" totalsRowFunction="sum" dataDxfId="784" totalsRowDxfId="783"/>
    <tableColumn id="4" name="Category" dataDxfId="782" totalsRowDxfId="781"/>
    <tableColumn id="6" name="Description           Bin Number          # Used" dataDxfId="780" totalsRowDxfId="779"/>
    <tableColumn id="5" name="Part Number - Mileage - Mech Name" dataDxfId="778" totalsRowDxfId="777"/>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217.xml><?xml version="1.0" encoding="utf-8"?>
<table xmlns="http://schemas.openxmlformats.org/spreadsheetml/2006/main" id="217" name="ExpOct205218" displayName="ExpOct205218" ref="B60:G72" totalsRowCount="1" headerRowDxfId="761" dataDxfId="759" totalsRowDxfId="760">
  <autoFilter ref="B60:G71"/>
  <tableColumns count="6">
    <tableColumn id="1" name="Date" totalsRowLabel="Total" dataDxfId="773" totalsRowDxfId="772"/>
    <tableColumn id="2" name="W/O" dataDxfId="771" totalsRowDxfId="770"/>
    <tableColumn id="3" name="Amount" totalsRowFunction="sum" dataDxfId="769" totalsRowDxfId="768"/>
    <tableColumn id="4" name="Category" dataDxfId="767" totalsRowDxfId="766"/>
    <tableColumn id="6" name="Description           Bin Number          # Used" dataDxfId="765" totalsRowDxfId="764"/>
    <tableColumn id="5" name="Part Number - Mileage - Mech Name" dataDxfId="763" totalsRowDxfId="762"/>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218.xml><?xml version="1.0" encoding="utf-8"?>
<table xmlns="http://schemas.openxmlformats.org/spreadsheetml/2006/main" id="218" name="ExpNov128141154167180193206219" displayName="ExpNov128141154167180193206219" ref="B76:G87" totalsRowCount="1" headerRowDxfId="746" dataDxfId="744" totalsRowDxfId="745">
  <autoFilter ref="B76:G86"/>
  <tableColumns count="6">
    <tableColumn id="1" name="Date" totalsRowLabel="Total" dataDxfId="758" totalsRowDxfId="757"/>
    <tableColumn id="2" name="W/O" dataDxfId="756" totalsRowDxfId="755"/>
    <tableColumn id="3" name="Amount" totalsRowFunction="sum" dataDxfId="754" totalsRowDxfId="753"/>
    <tableColumn id="4" name="Category" dataDxfId="752" totalsRowDxfId="751"/>
    <tableColumn id="6" name="Column1" dataDxfId="750" totalsRowDxfId="749"/>
    <tableColumn id="5" name="Description" dataDxfId="748" totalsRowDxfId="747"/>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219.xml><?xml version="1.0" encoding="utf-8"?>
<table xmlns="http://schemas.openxmlformats.org/spreadsheetml/2006/main" id="219" name="ExpDec129142155168181194207220" displayName="ExpDec129142155168181194207220" ref="B91:G98" totalsRowCount="1" headerRowDxfId="731" dataDxfId="729" totalsRowDxfId="730">
  <autoFilter ref="B91:G97"/>
  <tableColumns count="6">
    <tableColumn id="1" name="Date" totalsRowLabel="Total" dataDxfId="743" totalsRowDxfId="742"/>
    <tableColumn id="2" name="W/O" dataDxfId="741" totalsRowDxfId="740"/>
    <tableColumn id="3" name="Amount" totalsRowFunction="sum" dataDxfId="739" totalsRowDxfId="738"/>
    <tableColumn id="4" name="Category" dataDxfId="737" totalsRowDxfId="736"/>
    <tableColumn id="6" name="Column1" dataDxfId="735" totalsRowDxfId="734"/>
    <tableColumn id="5" name="Description" dataDxfId="733" totalsRowDxfId="732"/>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22.xml><?xml version="1.0" encoding="utf-8"?>
<table xmlns="http://schemas.openxmlformats.org/spreadsheetml/2006/main" id="22" name="ExpFeb23" displayName="ExpFeb23" ref="B111:G124" totalsRowCount="1" headerRowDxfId="3956" dataDxfId="3954" totalsRowDxfId="3955">
  <autoFilter ref="B111:G123"/>
  <tableColumns count="6">
    <tableColumn id="1" name="Date" totalsRowLabel="Total" dataDxfId="3968" totalsRowDxfId="3967"/>
    <tableColumn id="2" name="W/O" dataDxfId="3966" totalsRowDxfId="3965"/>
    <tableColumn id="3" name="Amount" totalsRowFunction="sum" dataDxfId="3964" totalsRowDxfId="3963"/>
    <tableColumn id="4" name="Category" dataDxfId="3962" totalsRowDxfId="3961"/>
    <tableColumn id="6" name="Column1" dataDxfId="3960" totalsRowDxfId="3959"/>
    <tableColumn id="5" name="Description" dataDxfId="3958" totalsRowDxfId="3957"/>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220.xml><?xml version="1.0" encoding="utf-8"?>
<table xmlns="http://schemas.openxmlformats.org/spreadsheetml/2006/main" id="220" name="ExpJan130143156169182195208221" displayName="ExpJan130143156169182195208221" ref="B102:G111" totalsRowCount="1" headerRowDxfId="716" dataDxfId="714" totalsRowDxfId="715">
  <autoFilter ref="B102:G110"/>
  <tableColumns count="6">
    <tableColumn id="1" name="Date" totalsRowLabel="Total" dataDxfId="728" totalsRowDxfId="727"/>
    <tableColumn id="2" name="Work Order" dataDxfId="726" totalsRowDxfId="725"/>
    <tableColumn id="3" name="Amount" totalsRowFunction="sum" dataDxfId="724" totalsRowDxfId="723"/>
    <tableColumn id="4" name="Category" dataDxfId="722" totalsRowDxfId="721"/>
    <tableColumn id="6" name="Column1" dataDxfId="720" totalsRowDxfId="719"/>
    <tableColumn id="5" name="Description" dataDxfId="718" totalsRowDxfId="717"/>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221.xml><?xml version="1.0" encoding="utf-8"?>
<table xmlns="http://schemas.openxmlformats.org/spreadsheetml/2006/main" id="221" name="ExpFeb131144157170183196209222" displayName="ExpFeb131144157170183196209222" ref="B115:G127" totalsRowCount="1" headerRowDxfId="701" dataDxfId="699" totalsRowDxfId="700">
  <autoFilter ref="B115:G126"/>
  <tableColumns count="6">
    <tableColumn id="1" name="Date" totalsRowLabel="Total" dataDxfId="713" totalsRowDxfId="712"/>
    <tableColumn id="2" name="W/O" dataDxfId="711" totalsRowDxfId="710"/>
    <tableColumn id="3" name="Amount" totalsRowFunction="sum" dataDxfId="709" totalsRowDxfId="708"/>
    <tableColumn id="4" name="Category" dataDxfId="707" totalsRowDxfId="706"/>
    <tableColumn id="5" name="Description           Bin Number          # Used" dataDxfId="705" totalsRowDxfId="704"/>
    <tableColumn id="6" name="Part Number - Mileage - Mech Name" dataDxfId="703" totalsRowDxfId="702"/>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222.xml><?xml version="1.0" encoding="utf-8"?>
<table xmlns="http://schemas.openxmlformats.org/spreadsheetml/2006/main" id="222" name="ExpMar132145158171184197210223" displayName="ExpMar132145158171184197210223" ref="B131:G145" totalsRowCount="1" headerRowDxfId="686" dataDxfId="684" totalsRowDxfId="685">
  <autoFilter ref="B131:G144"/>
  <tableColumns count="6">
    <tableColumn id="1" name="Date" totalsRowLabel="Total" dataDxfId="698" totalsRowDxfId="697"/>
    <tableColumn id="2" name="W/O" dataDxfId="696" totalsRowDxfId="695"/>
    <tableColumn id="3" name="Amount" totalsRowFunction="sum" dataDxfId="694" totalsRowDxfId="693"/>
    <tableColumn id="4" name="Category" dataDxfId="692" totalsRowDxfId="691"/>
    <tableColumn id="6" name="Description           Bin Number          # Used" dataDxfId="690" totalsRowDxfId="689"/>
    <tableColumn id="5" name="Part Number - Mileage - Mech Name" dataDxfId="688" totalsRowDxfId="687"/>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223.xml><?xml version="1.0" encoding="utf-8"?>
<table xmlns="http://schemas.openxmlformats.org/spreadsheetml/2006/main" id="223" name="ExpApr133146159172185198211224" displayName="ExpApr133146159172185198211224" ref="B149:G161" totalsRowCount="1" headerRowDxfId="671" dataDxfId="669" totalsRowDxfId="670">
  <autoFilter ref="B149:G160"/>
  <tableColumns count="6">
    <tableColumn id="1" name="Date" totalsRowLabel="Total" dataDxfId="683" totalsRowDxfId="682"/>
    <tableColumn id="2" name="w/o" dataDxfId="681" totalsRowDxfId="680"/>
    <tableColumn id="3" name="Amount" totalsRowFunction="sum" dataDxfId="679" totalsRowDxfId="678"/>
    <tableColumn id="4" name="Category" dataDxfId="677" totalsRowDxfId="676"/>
    <tableColumn id="6" name="Description           Bin Number          # Used" dataDxfId="675" totalsRowDxfId="674"/>
    <tableColumn id="5" name="Part Number - Mileage - Mech Name" dataDxfId="673" totalsRowDxfId="672"/>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224.xml><?xml version="1.0" encoding="utf-8"?>
<table xmlns="http://schemas.openxmlformats.org/spreadsheetml/2006/main" id="224" name="ExpMay134147160173186199212225" displayName="ExpMay134147160173186199212225" ref="B165:G178" totalsRowCount="1" headerRowDxfId="656" dataDxfId="654" totalsRowDxfId="655">
  <autoFilter ref="B165:G177"/>
  <tableColumns count="6">
    <tableColumn id="1" name="Date" totalsRowLabel="Total" dataDxfId="668" totalsRowDxfId="667"/>
    <tableColumn id="2" name="W/O" dataDxfId="666" totalsRowDxfId="665"/>
    <tableColumn id="3" name="Amount" totalsRowFunction="sum" dataDxfId="664" totalsRowDxfId="663"/>
    <tableColumn id="4" name="Category" dataDxfId="662" totalsRowDxfId="661"/>
    <tableColumn id="6" name="Description           Bin Number          # Used" dataDxfId="660" totalsRowDxfId="659"/>
    <tableColumn id="5" name="Part Number - Mileage - Mech Name" dataDxfId="658" totalsRowDxfId="657"/>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225.xml><?xml version="1.0" encoding="utf-8"?>
<table xmlns="http://schemas.openxmlformats.org/spreadsheetml/2006/main" id="225" name="ExpJun135148161174187200213226" displayName="ExpJun135148161174187200213226" ref="B182:G194" totalsRowCount="1" headerRowDxfId="641" dataDxfId="639" totalsRowDxfId="640">
  <autoFilter ref="B182:G193"/>
  <tableColumns count="6">
    <tableColumn id="1" name="Date" totalsRowLabel="Total" dataDxfId="653" totalsRowDxfId="652"/>
    <tableColumn id="2" name="W/O #" dataDxfId="651" totalsRowDxfId="650"/>
    <tableColumn id="3" name="Amount" totalsRowFunction="sum" dataDxfId="649" totalsRowDxfId="648"/>
    <tableColumn id="4" name="Category" dataDxfId="647" totalsRowDxfId="646"/>
    <tableColumn id="6" name="Description           Bin Number          # Used" dataDxfId="645" totalsRowDxfId="644"/>
    <tableColumn id="5" name="Part Number - Mileage - Mech Name" dataDxfId="643" totalsRowDxfId="642"/>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226.xml><?xml version="1.0" encoding="utf-8"?>
<table xmlns="http://schemas.openxmlformats.org/spreadsheetml/2006/main" id="226" name="ExpenseSummary214227" displayName="ExpenseSummary214227" ref="B18:P40" totalsRowCount="1" headerRowDxfId="608" dataDxfId="606" totalsRowDxfId="607">
  <autoFilter ref="B18:P39">
    <filterColumn colId="0">
      <customFilters>
        <customFilter operator="notEqual" val=" "/>
      </customFilters>
    </filterColumn>
  </autoFilter>
  <tableColumns count="15">
    <tableColumn id="1" name="Expenses" totalsRowLabel="Total" dataDxfId="638" totalsRowDxfId="637" dataCellStyle="Normal 2"/>
    <tableColumn id="2" name="Jan" totalsRowFunction="sum" dataDxfId="636" totalsRowDxfId="635" dataCellStyle="Normal 2"/>
    <tableColumn id="3" name="Feb" totalsRowFunction="sum" dataDxfId="634" totalsRowDxfId="633" dataCellStyle="Normal 2"/>
    <tableColumn id="4" name="Mar" totalsRowFunction="sum" dataDxfId="632" totalsRowDxfId="631" dataCellStyle="Normal 2"/>
    <tableColumn id="5" name="Apr" totalsRowFunction="sum" dataDxfId="630" totalsRowDxfId="629" dataCellStyle="Normal 2"/>
    <tableColumn id="6" name="May" totalsRowFunction="sum" dataDxfId="628" totalsRowDxfId="627" dataCellStyle="Normal 2"/>
    <tableColumn id="7" name="Jun" totalsRowFunction="sum" dataDxfId="626" totalsRowDxfId="625" dataCellStyle="Normal 2"/>
    <tableColumn id="8" name="Jul" totalsRowFunction="sum" dataDxfId="624" totalsRowDxfId="623" dataCellStyle="Normal 2"/>
    <tableColumn id="9" name="Aug" totalsRowFunction="sum" dataDxfId="622" totalsRowDxfId="621" dataCellStyle="Normal 2"/>
    <tableColumn id="10" name="Sep" totalsRowFunction="sum" dataDxfId="620" totalsRowDxfId="619" dataCellStyle="Normal 2"/>
    <tableColumn id="11" name="Oct" totalsRowFunction="sum" dataDxfId="618" totalsRowDxfId="617" dataCellStyle="Normal 2"/>
    <tableColumn id="12" name="Nov" totalsRowFunction="sum" dataDxfId="616" totalsRowDxfId="615" dataCellStyle="Normal 2"/>
    <tableColumn id="13" name="Dec" totalsRowFunction="sum" dataDxfId="614" totalsRowDxfId="613" dataCellStyle="Normal 2"/>
    <tableColumn id="14" name="Total" totalsRowFunction="sum" dataDxfId="612" totalsRowDxfId="611" dataCellStyle="Normal 2">
      <calculatedColumnFormula>[20]summary!$R$18</calculatedColumnFormula>
    </tableColumn>
    <tableColumn id="15" name="Trend" dataDxfId="610" totalsRowDxfId="609" dataCellStyle="Normal 2"/>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227.xml><?xml version="1.0" encoding="utf-8"?>
<table xmlns="http://schemas.openxmlformats.org/spreadsheetml/2006/main" id="227" name="ExpJul215228" displayName="ExpJul215228" ref="B4:G18" totalsRowCount="1" headerRowDxfId="593" dataDxfId="591" totalsRowDxfId="592">
  <autoFilter ref="B4:G17"/>
  <tableColumns count="6">
    <tableColumn id="1" name="Date" totalsRowLabel="Total" dataDxfId="605" totalsRowDxfId="604" dataCellStyle="Normal 2"/>
    <tableColumn id="2" name="W/O#" dataDxfId="603" totalsRowDxfId="602" dataCellStyle="Normal 2"/>
    <tableColumn id="3" name="Amount" totalsRowFunction="sum" dataDxfId="601" totalsRowDxfId="600" dataCellStyle="Normal 2"/>
    <tableColumn id="4" name="Category" dataDxfId="599" totalsRowDxfId="598" dataCellStyle="Normal 2"/>
    <tableColumn id="6" name="Description           Bin Number          # Used" dataDxfId="597" totalsRowDxfId="596" dataCellStyle="Normal 2"/>
    <tableColumn id="5" name="Part Number - Mileage - Mech Name" dataDxfId="595" totalsRowDxfId="594" dataCellStyle="Normal 2"/>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228.xml><?xml version="1.0" encoding="utf-8"?>
<table xmlns="http://schemas.openxmlformats.org/spreadsheetml/2006/main" id="228" name="ExpAug216229" displayName="ExpAug216229" ref="B22:G41" totalsRowCount="1" headerRowDxfId="578" dataDxfId="576" totalsRowDxfId="577">
  <autoFilter ref="B22:G40"/>
  <tableColumns count="6">
    <tableColumn id="1" name="Date" totalsRowLabel="Total" dataDxfId="590" totalsRowDxfId="589"/>
    <tableColumn id="2" name="PO#" dataDxfId="588" totalsRowDxfId="587"/>
    <tableColumn id="3" name="Amount" totalsRowFunction="sum" dataDxfId="586" totalsRowDxfId="585"/>
    <tableColumn id="4" name="Category" dataDxfId="584" totalsRowDxfId="583"/>
    <tableColumn id="6" name="Description           Bin Number          # Used" dataDxfId="582" totalsRowDxfId="581"/>
    <tableColumn id="5" name="Part Number - Mileage - Mech Name" dataDxfId="580" totalsRowDxfId="579"/>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229.xml><?xml version="1.0" encoding="utf-8"?>
<table xmlns="http://schemas.openxmlformats.org/spreadsheetml/2006/main" id="229" name="ExpSep217230" displayName="ExpSep217230" ref="B46:G56" totalsRowCount="1" headerRowDxfId="563" dataDxfId="561" totalsRowDxfId="562">
  <autoFilter ref="B46:G55"/>
  <tableColumns count="6">
    <tableColumn id="1" name="Date" totalsRowLabel="Total" dataDxfId="575" totalsRowDxfId="574"/>
    <tableColumn id="2" name="PO#" dataDxfId="573" totalsRowDxfId="572"/>
    <tableColumn id="3" name="Amount" totalsRowFunction="sum" dataDxfId="571" totalsRowDxfId="570"/>
    <tableColumn id="4" name="Category" dataDxfId="569" totalsRowDxfId="568"/>
    <tableColumn id="6" name="Description           Bin Number          # Used" dataDxfId="567" totalsRowDxfId="566"/>
    <tableColumn id="5" name="Part Number - Mileage - Mech Name" dataDxfId="565" totalsRowDxfId="564"/>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23.xml><?xml version="1.0" encoding="utf-8"?>
<table xmlns="http://schemas.openxmlformats.org/spreadsheetml/2006/main" id="23" name="ExpMar24" displayName="ExpMar24" ref="B128:G138" totalsRowCount="1" headerRowDxfId="3941" dataDxfId="3939" totalsRowDxfId="3940">
  <autoFilter ref="B128:G137"/>
  <tableColumns count="6">
    <tableColumn id="1" name="Date" totalsRowLabel="Total" dataDxfId="3953" totalsRowDxfId="3952"/>
    <tableColumn id="2" name="W/O" dataDxfId="3951" totalsRowDxfId="3950"/>
    <tableColumn id="3" name="Amount" totalsRowFunction="sum" dataDxfId="3949" totalsRowDxfId="3948"/>
    <tableColumn id="4" name="Category" dataDxfId="3947" totalsRowDxfId="3946"/>
    <tableColumn id="6" name="Column1" dataDxfId="3945" totalsRowDxfId="3944"/>
    <tableColumn id="5" name="Description" dataDxfId="3943" totalsRowDxfId="3942"/>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230.xml><?xml version="1.0" encoding="utf-8"?>
<table xmlns="http://schemas.openxmlformats.org/spreadsheetml/2006/main" id="230" name="ExpOct205218231" displayName="ExpOct205218231" ref="B60:G72" totalsRowCount="1" headerRowDxfId="548" dataDxfId="546" totalsRowDxfId="547">
  <autoFilter ref="B60:G71"/>
  <tableColumns count="6">
    <tableColumn id="1" name="Date" totalsRowLabel="Total" dataDxfId="560" totalsRowDxfId="559"/>
    <tableColumn id="2" name="W/O" dataDxfId="558" totalsRowDxfId="557"/>
    <tableColumn id="3" name="Amount" totalsRowFunction="sum" dataDxfId="556" totalsRowDxfId="555"/>
    <tableColumn id="4" name="Category" dataDxfId="554" totalsRowDxfId="553"/>
    <tableColumn id="6" name="Description           Bin Number          # Used" dataDxfId="552" totalsRowDxfId="551"/>
    <tableColumn id="5" name="Part Number - Mileage - Mech Name" dataDxfId="550" totalsRowDxfId="549"/>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231.xml><?xml version="1.0" encoding="utf-8"?>
<table xmlns="http://schemas.openxmlformats.org/spreadsheetml/2006/main" id="231" name="ExpNov128141154167180193206219232" displayName="ExpNov128141154167180193206219232" ref="B76:G87" totalsRowCount="1" headerRowDxfId="533" dataDxfId="531" totalsRowDxfId="532">
  <autoFilter ref="B76:G86"/>
  <tableColumns count="6">
    <tableColumn id="1" name="Date" totalsRowLabel="Total" dataDxfId="545" totalsRowDxfId="544"/>
    <tableColumn id="2" name="W/O" dataDxfId="543" totalsRowDxfId="542"/>
    <tableColumn id="3" name="Amount" totalsRowFunction="sum" dataDxfId="541" totalsRowDxfId="540"/>
    <tableColumn id="4" name="Category" dataDxfId="539" totalsRowDxfId="538"/>
    <tableColumn id="6" name="Column1" dataDxfId="537" totalsRowDxfId="536"/>
    <tableColumn id="5" name="Description" dataDxfId="535" totalsRowDxfId="534"/>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232.xml><?xml version="1.0" encoding="utf-8"?>
<table xmlns="http://schemas.openxmlformats.org/spreadsheetml/2006/main" id="232" name="ExpDec129142155168181194207220233" displayName="ExpDec129142155168181194207220233" ref="B91:G98" totalsRowCount="1" headerRowDxfId="518" dataDxfId="516" totalsRowDxfId="517">
  <autoFilter ref="B91:G97"/>
  <tableColumns count="6">
    <tableColumn id="1" name="Date" totalsRowLabel="Total" dataDxfId="530" totalsRowDxfId="529"/>
    <tableColumn id="2" name="W/O" dataDxfId="528" totalsRowDxfId="527"/>
    <tableColumn id="3" name="Amount" totalsRowFunction="sum" dataDxfId="526" totalsRowDxfId="525"/>
    <tableColumn id="4" name="Category" dataDxfId="524" totalsRowDxfId="523"/>
    <tableColumn id="6" name="Column1" dataDxfId="522" totalsRowDxfId="521"/>
    <tableColumn id="5" name="Description" dataDxfId="520" totalsRowDxfId="519"/>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233.xml><?xml version="1.0" encoding="utf-8"?>
<table xmlns="http://schemas.openxmlformats.org/spreadsheetml/2006/main" id="233" name="ExpJan130143156169182195208221234" displayName="ExpJan130143156169182195208221234" ref="B102:G111" totalsRowCount="1" headerRowDxfId="503" dataDxfId="501" totalsRowDxfId="502">
  <autoFilter ref="B102:G110"/>
  <tableColumns count="6">
    <tableColumn id="1" name="Date" totalsRowLabel="Total" dataDxfId="515" totalsRowDxfId="514"/>
    <tableColumn id="2" name="Work Order" dataDxfId="513" totalsRowDxfId="512"/>
    <tableColumn id="3" name="Amount" totalsRowFunction="sum" dataDxfId="511" totalsRowDxfId="510"/>
    <tableColumn id="4" name="Category" dataDxfId="509" totalsRowDxfId="508"/>
    <tableColumn id="6" name="Column1" dataDxfId="507" totalsRowDxfId="506"/>
    <tableColumn id="5" name="Description" dataDxfId="505" totalsRowDxfId="504"/>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234.xml><?xml version="1.0" encoding="utf-8"?>
<table xmlns="http://schemas.openxmlformats.org/spreadsheetml/2006/main" id="234" name="ExpFeb131144157170183196209222235" displayName="ExpFeb131144157170183196209222235" ref="B115:G127" totalsRowCount="1" headerRowDxfId="488" dataDxfId="486" totalsRowDxfId="487">
  <autoFilter ref="B115:G126"/>
  <tableColumns count="6">
    <tableColumn id="1" name="Date" totalsRowLabel="Total" dataDxfId="500" totalsRowDxfId="499"/>
    <tableColumn id="2" name="W/O" dataDxfId="498" totalsRowDxfId="497"/>
    <tableColumn id="3" name="Amount" totalsRowFunction="sum" dataDxfId="496" totalsRowDxfId="495"/>
    <tableColumn id="4" name="Category" dataDxfId="494" totalsRowDxfId="493"/>
    <tableColumn id="5" name="Description           Bin Number          # Used" dataDxfId="492" totalsRowDxfId="491"/>
    <tableColumn id="6" name="Part Number - Mileage - Mech Name" dataDxfId="490" totalsRowDxfId="489"/>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235.xml><?xml version="1.0" encoding="utf-8"?>
<table xmlns="http://schemas.openxmlformats.org/spreadsheetml/2006/main" id="235" name="ExpMar132145158171184197210223236" displayName="ExpMar132145158171184197210223236" ref="B131:G145" totalsRowCount="1" headerRowDxfId="473" dataDxfId="471" totalsRowDxfId="472">
  <autoFilter ref="B131:G144"/>
  <tableColumns count="6">
    <tableColumn id="1" name="Date" totalsRowLabel="Total" dataDxfId="485" totalsRowDxfId="484"/>
    <tableColumn id="2" name="W/O" dataDxfId="483" totalsRowDxfId="482"/>
    <tableColumn id="3" name="Amount" totalsRowFunction="sum" dataDxfId="481" totalsRowDxfId="480"/>
    <tableColumn id="4" name="Category" dataDxfId="479" totalsRowDxfId="478"/>
    <tableColumn id="6" name="Description           Bin Number          # Used" dataDxfId="477" totalsRowDxfId="476"/>
    <tableColumn id="5" name="Part Number - Mileage - Mech Name" dataDxfId="475" totalsRowDxfId="474"/>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236.xml><?xml version="1.0" encoding="utf-8"?>
<table xmlns="http://schemas.openxmlformats.org/spreadsheetml/2006/main" id="236" name="ExpApr133146159172185198211224237" displayName="ExpApr133146159172185198211224237" ref="B149:G161" totalsRowCount="1" headerRowDxfId="458" dataDxfId="456" totalsRowDxfId="457">
  <autoFilter ref="B149:G160"/>
  <tableColumns count="6">
    <tableColumn id="1" name="Date" totalsRowLabel="Total" dataDxfId="470" totalsRowDxfId="469"/>
    <tableColumn id="2" name="w/o" dataDxfId="468" totalsRowDxfId="467"/>
    <tableColumn id="3" name="Amount" totalsRowFunction="sum" dataDxfId="466" totalsRowDxfId="465"/>
    <tableColumn id="4" name="Category" dataDxfId="464" totalsRowDxfId="463"/>
    <tableColumn id="6" name="Description           Bin Number          # Used" dataDxfId="462" totalsRowDxfId="461"/>
    <tableColumn id="5" name="Part Number - Mileage - Mech Name" dataDxfId="460" totalsRowDxfId="459"/>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237.xml><?xml version="1.0" encoding="utf-8"?>
<table xmlns="http://schemas.openxmlformats.org/spreadsheetml/2006/main" id="237" name="ExpMay134147160173186199212225238" displayName="ExpMay134147160173186199212225238" ref="B165:G178" totalsRowCount="1" headerRowDxfId="443" dataDxfId="441" totalsRowDxfId="442">
  <autoFilter ref="B165:G177"/>
  <tableColumns count="6">
    <tableColumn id="1" name="Date" totalsRowLabel="Total" dataDxfId="455" totalsRowDxfId="454"/>
    <tableColumn id="2" name="W/O" dataDxfId="453" totalsRowDxfId="452"/>
    <tableColumn id="3" name="Amount" totalsRowFunction="sum" dataDxfId="451" totalsRowDxfId="450"/>
    <tableColumn id="4" name="Category" dataDxfId="449" totalsRowDxfId="448"/>
    <tableColumn id="6" name="Description           Bin Number          # Used" dataDxfId="447" totalsRowDxfId="446"/>
    <tableColumn id="5" name="Part Number - Mileage - Mech Name" dataDxfId="445" totalsRowDxfId="444"/>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238.xml><?xml version="1.0" encoding="utf-8"?>
<table xmlns="http://schemas.openxmlformats.org/spreadsheetml/2006/main" id="238" name="ExpJun135148161174187200213226239" displayName="ExpJun135148161174187200213226239" ref="B182:G194" totalsRowCount="1" headerRowDxfId="428" dataDxfId="426" totalsRowDxfId="427">
  <autoFilter ref="B182:G193"/>
  <tableColumns count="6">
    <tableColumn id="1" name="Date" totalsRowLabel="Total" dataDxfId="440" totalsRowDxfId="439"/>
    <tableColumn id="2" name="W/O #" dataDxfId="438" totalsRowDxfId="437"/>
    <tableColumn id="3" name="Amount" totalsRowFunction="sum" dataDxfId="436" totalsRowDxfId="435"/>
    <tableColumn id="4" name="Category" dataDxfId="434" totalsRowDxfId="433"/>
    <tableColumn id="6" name="Description           Bin Number          # Used" dataDxfId="432" totalsRowDxfId="431"/>
    <tableColumn id="5" name="Part Number - Mileage - Mech Name" dataDxfId="430" totalsRowDxfId="429"/>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239.xml><?xml version="1.0" encoding="utf-8"?>
<table xmlns="http://schemas.openxmlformats.org/spreadsheetml/2006/main" id="239" name="ExpenseSummary214227240" displayName="ExpenseSummary214227240" ref="B18:P40" totalsRowCount="1" headerRowDxfId="395" dataDxfId="393" totalsRowDxfId="394">
  <autoFilter ref="B18:P39">
    <filterColumn colId="0">
      <customFilters>
        <customFilter operator="notEqual" val=" "/>
      </customFilters>
    </filterColumn>
  </autoFilter>
  <tableColumns count="15">
    <tableColumn id="1" name="Expenses" totalsRowLabel="Total" dataDxfId="425" totalsRowDxfId="424" dataCellStyle="Normal 2"/>
    <tableColumn id="2" name="Jan" totalsRowFunction="sum" dataDxfId="423" totalsRowDxfId="422" dataCellStyle="Normal 2"/>
    <tableColumn id="3" name="Feb" totalsRowFunction="sum" dataDxfId="421" totalsRowDxfId="420" dataCellStyle="Normal 2"/>
    <tableColumn id="4" name="Mar" totalsRowFunction="sum" dataDxfId="419" totalsRowDxfId="418" dataCellStyle="Normal 2"/>
    <tableColumn id="5" name="Apr" totalsRowFunction="sum" dataDxfId="417" totalsRowDxfId="416" dataCellStyle="Normal 2"/>
    <tableColumn id="6" name="May" totalsRowFunction="sum" dataDxfId="415" totalsRowDxfId="414" dataCellStyle="Normal 2"/>
    <tableColumn id="7" name="Jun" totalsRowFunction="sum" dataDxfId="413" totalsRowDxfId="412" dataCellStyle="Normal 2"/>
    <tableColumn id="8" name="Jul" totalsRowFunction="sum" dataDxfId="411" totalsRowDxfId="410" dataCellStyle="Normal 2"/>
    <tableColumn id="9" name="Aug" totalsRowFunction="sum" dataDxfId="409" totalsRowDxfId="408" dataCellStyle="Normal 2"/>
    <tableColumn id="10" name="Sep" totalsRowFunction="sum" dataDxfId="407" totalsRowDxfId="406" dataCellStyle="Normal 2"/>
    <tableColumn id="11" name="Oct" totalsRowFunction="sum" dataDxfId="405" totalsRowDxfId="404" dataCellStyle="Normal 2"/>
    <tableColumn id="12" name="Nov" totalsRowFunction="sum" dataDxfId="403" totalsRowDxfId="402" dataCellStyle="Normal 2"/>
    <tableColumn id="13" name="Dec" totalsRowFunction="sum" dataDxfId="401" totalsRowDxfId="400" dataCellStyle="Normal 2"/>
    <tableColumn id="14" name="Total" totalsRowFunction="sum" dataDxfId="399" totalsRowDxfId="398" dataCellStyle="Normal 2">
      <calculatedColumnFormula>[20]summary!$R$18</calculatedColumnFormula>
    </tableColumn>
    <tableColumn id="15" name="Trend" dataDxfId="397" totalsRowDxfId="396" dataCellStyle="Normal 2"/>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24.xml><?xml version="1.0" encoding="utf-8"?>
<table xmlns="http://schemas.openxmlformats.org/spreadsheetml/2006/main" id="24" name="ExpApr25" displayName="ExpApr25" ref="B142:G152" totalsRowCount="1" headerRowDxfId="3926" dataDxfId="3924" totalsRowDxfId="3925">
  <autoFilter ref="B142:G151"/>
  <tableColumns count="6">
    <tableColumn id="1" name="Date" totalsRowLabel="Total" dataDxfId="3938" totalsRowDxfId="3937"/>
    <tableColumn id="2" name="w/o" dataDxfId="3936" totalsRowDxfId="3935"/>
    <tableColumn id="3" name="Amount" totalsRowFunction="sum" dataDxfId="3934" totalsRowDxfId="3933"/>
    <tableColumn id="4" name="Category" dataDxfId="3932" totalsRowDxfId="3931"/>
    <tableColumn id="6" name="Column1" dataDxfId="3930" totalsRowDxfId="3929"/>
    <tableColumn id="5" name="Description" dataDxfId="3928" totalsRowDxfId="3927"/>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240.xml><?xml version="1.0" encoding="utf-8"?>
<table xmlns="http://schemas.openxmlformats.org/spreadsheetml/2006/main" id="240" name="ExpJul215228241" displayName="ExpJul215228241" ref="B4:G18" totalsRowCount="1" headerRowDxfId="380" dataDxfId="378" totalsRowDxfId="379">
  <autoFilter ref="B4:G17"/>
  <tableColumns count="6">
    <tableColumn id="1" name="Date" totalsRowLabel="Total" dataDxfId="392" totalsRowDxfId="391" dataCellStyle="Normal 2"/>
    <tableColumn id="2" name="W/O#" dataDxfId="390" totalsRowDxfId="389" dataCellStyle="Normal 2"/>
    <tableColumn id="3" name="Amount" totalsRowFunction="sum" dataDxfId="388" totalsRowDxfId="387" dataCellStyle="Normal 2"/>
    <tableColumn id="4" name="Category" dataDxfId="386" totalsRowDxfId="385" dataCellStyle="Normal 2"/>
    <tableColumn id="6" name="Description           Bin Number          # Used" dataDxfId="384" totalsRowDxfId="383" dataCellStyle="Normal 2"/>
    <tableColumn id="5" name="Part Number - Mileage - Mech Name" dataDxfId="382" totalsRowDxfId="381" dataCellStyle="Normal 2"/>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241.xml><?xml version="1.0" encoding="utf-8"?>
<table xmlns="http://schemas.openxmlformats.org/spreadsheetml/2006/main" id="241" name="ExpAug216229242" displayName="ExpAug216229242" ref="B22:G41" totalsRowCount="1" headerRowDxfId="365" dataDxfId="363" totalsRowDxfId="364">
  <autoFilter ref="B22:G40"/>
  <tableColumns count="6">
    <tableColumn id="1" name="Date" totalsRowLabel="Total" dataDxfId="377" totalsRowDxfId="376"/>
    <tableColumn id="2" name="PO#" dataDxfId="375" totalsRowDxfId="374"/>
    <tableColumn id="3" name="Amount" totalsRowFunction="sum" dataDxfId="373" totalsRowDxfId="372"/>
    <tableColumn id="4" name="Category" dataDxfId="371" totalsRowDxfId="370"/>
    <tableColumn id="6" name="Description           Bin Number          # Used" dataDxfId="369" totalsRowDxfId="368"/>
    <tableColumn id="5" name="Part Number - Mileage - Mech Name" dataDxfId="367" totalsRowDxfId="366"/>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242.xml><?xml version="1.0" encoding="utf-8"?>
<table xmlns="http://schemas.openxmlformats.org/spreadsheetml/2006/main" id="242" name="ExpSep217230243" displayName="ExpSep217230243" ref="B46:G56" totalsRowCount="1" headerRowDxfId="350" dataDxfId="348" totalsRowDxfId="349">
  <autoFilter ref="B46:G55"/>
  <tableColumns count="6">
    <tableColumn id="1" name="Date" totalsRowLabel="Total" dataDxfId="362" totalsRowDxfId="361"/>
    <tableColumn id="2" name="PO#" dataDxfId="360" totalsRowDxfId="359"/>
    <tableColumn id="3" name="Amount" totalsRowFunction="sum" dataDxfId="358" totalsRowDxfId="357"/>
    <tableColumn id="4" name="Category" dataDxfId="356" totalsRowDxfId="355"/>
    <tableColumn id="6" name="Description           Bin Number          # Used" dataDxfId="354" totalsRowDxfId="353"/>
    <tableColumn id="5" name="Part Number - Mileage - Mech Name" dataDxfId="352" totalsRowDxfId="351"/>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243.xml><?xml version="1.0" encoding="utf-8"?>
<table xmlns="http://schemas.openxmlformats.org/spreadsheetml/2006/main" id="243" name="ExpOct205218231244" displayName="ExpOct205218231244" ref="B60:G72" totalsRowCount="1" headerRowDxfId="335" dataDxfId="333" totalsRowDxfId="334">
  <autoFilter ref="B60:G71"/>
  <tableColumns count="6">
    <tableColumn id="1" name="Date" totalsRowLabel="Total" dataDxfId="347" totalsRowDxfId="346"/>
    <tableColumn id="2" name="W/O" dataDxfId="345" totalsRowDxfId="344"/>
    <tableColumn id="3" name="Amount" totalsRowFunction="sum" dataDxfId="343" totalsRowDxfId="342"/>
    <tableColumn id="4" name="Category" dataDxfId="341" totalsRowDxfId="340"/>
    <tableColumn id="6" name="Description           Bin Number          # Used" dataDxfId="339" totalsRowDxfId="338"/>
    <tableColumn id="5" name="Part Number - Mileage - Mech Name" dataDxfId="337" totalsRowDxfId="336"/>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244.xml><?xml version="1.0" encoding="utf-8"?>
<table xmlns="http://schemas.openxmlformats.org/spreadsheetml/2006/main" id="244" name="ExpNov128141154167180193206219232245" displayName="ExpNov128141154167180193206219232245" ref="B76:G87" totalsRowCount="1" headerRowDxfId="320" dataDxfId="318" totalsRowDxfId="319">
  <autoFilter ref="B76:G86"/>
  <tableColumns count="6">
    <tableColumn id="1" name="Date" totalsRowLabel="Total" dataDxfId="332" totalsRowDxfId="331"/>
    <tableColumn id="2" name="W/O" dataDxfId="330" totalsRowDxfId="329"/>
    <tableColumn id="3" name="Amount" totalsRowFunction="sum" dataDxfId="328" totalsRowDxfId="327"/>
    <tableColumn id="4" name="Category" dataDxfId="326" totalsRowDxfId="325"/>
    <tableColumn id="6" name="Column1" dataDxfId="324" totalsRowDxfId="323"/>
    <tableColumn id="5" name="Description" dataDxfId="322" totalsRowDxfId="321"/>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245.xml><?xml version="1.0" encoding="utf-8"?>
<table xmlns="http://schemas.openxmlformats.org/spreadsheetml/2006/main" id="245" name="ExpDec129142155168181194207220233246" displayName="ExpDec129142155168181194207220233246" ref="B91:G98" totalsRowCount="1" headerRowDxfId="305" dataDxfId="303" totalsRowDxfId="304">
  <autoFilter ref="B91:G97"/>
  <tableColumns count="6">
    <tableColumn id="1" name="Date" totalsRowLabel="Total" dataDxfId="317" totalsRowDxfId="316"/>
    <tableColumn id="2" name="W/O" dataDxfId="315" totalsRowDxfId="314"/>
    <tableColumn id="3" name="Amount" totalsRowFunction="sum" dataDxfId="313" totalsRowDxfId="312"/>
    <tableColumn id="4" name="Category" dataDxfId="311" totalsRowDxfId="310"/>
    <tableColumn id="6" name="Column1" dataDxfId="309" totalsRowDxfId="308"/>
    <tableColumn id="5" name="Description" dataDxfId="307" totalsRowDxfId="306"/>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246.xml><?xml version="1.0" encoding="utf-8"?>
<table xmlns="http://schemas.openxmlformats.org/spreadsheetml/2006/main" id="246" name="ExpJan130143156169182195208221234247" displayName="ExpJan130143156169182195208221234247" ref="B102:G111" totalsRowCount="1" headerRowDxfId="290" dataDxfId="288" totalsRowDxfId="289">
  <autoFilter ref="B102:G110"/>
  <tableColumns count="6">
    <tableColumn id="1" name="Date" totalsRowLabel="Total" dataDxfId="302" totalsRowDxfId="301"/>
    <tableColumn id="2" name="Work Order" dataDxfId="300" totalsRowDxfId="299"/>
    <tableColumn id="3" name="Amount" totalsRowFunction="sum" dataDxfId="298" totalsRowDxfId="297"/>
    <tableColumn id="4" name="Category" dataDxfId="296" totalsRowDxfId="295"/>
    <tableColumn id="6" name="Column1" dataDxfId="294" totalsRowDxfId="293"/>
    <tableColumn id="5" name="Description" dataDxfId="292" totalsRowDxfId="291"/>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247.xml><?xml version="1.0" encoding="utf-8"?>
<table xmlns="http://schemas.openxmlformats.org/spreadsheetml/2006/main" id="247" name="ExpFeb131144157170183196209222235248" displayName="ExpFeb131144157170183196209222235248" ref="B115:G127" totalsRowCount="1" headerRowDxfId="275" dataDxfId="273" totalsRowDxfId="274">
  <autoFilter ref="B115:G126"/>
  <tableColumns count="6">
    <tableColumn id="1" name="Date" totalsRowLabel="Total" dataDxfId="287" totalsRowDxfId="286"/>
    <tableColumn id="2" name="W/O" dataDxfId="285" totalsRowDxfId="284"/>
    <tableColumn id="3" name="Amount" totalsRowFunction="sum" dataDxfId="283" totalsRowDxfId="282"/>
    <tableColumn id="4" name="Category" dataDxfId="281" totalsRowDxfId="280"/>
    <tableColumn id="5" name="Description           Bin Number          # Used" dataDxfId="279" totalsRowDxfId="278"/>
    <tableColumn id="6" name="Part Number - Mileage - Mech Name" dataDxfId="277" totalsRowDxfId="276"/>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248.xml><?xml version="1.0" encoding="utf-8"?>
<table xmlns="http://schemas.openxmlformats.org/spreadsheetml/2006/main" id="248" name="ExpMar132145158171184197210223236249" displayName="ExpMar132145158171184197210223236249" ref="B131:G145" totalsRowCount="1" headerRowDxfId="260" dataDxfId="258" totalsRowDxfId="259">
  <autoFilter ref="B131:G144"/>
  <tableColumns count="6">
    <tableColumn id="1" name="Date" totalsRowLabel="Total" dataDxfId="272" totalsRowDxfId="271"/>
    <tableColumn id="2" name="W/O" dataDxfId="270" totalsRowDxfId="269"/>
    <tableColumn id="3" name="Amount" totalsRowFunction="sum" dataDxfId="268" totalsRowDxfId="267"/>
    <tableColumn id="4" name="Category" dataDxfId="266" totalsRowDxfId="265"/>
    <tableColumn id="6" name="Description           Bin Number          # Used" dataDxfId="264" totalsRowDxfId="263"/>
    <tableColumn id="5" name="Part Number - Mileage - Mech Name" dataDxfId="262" totalsRowDxfId="261"/>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249.xml><?xml version="1.0" encoding="utf-8"?>
<table xmlns="http://schemas.openxmlformats.org/spreadsheetml/2006/main" id="249" name="ExpApr133146159172185198211224237250" displayName="ExpApr133146159172185198211224237250" ref="B149:G161" totalsRowCount="1" headerRowDxfId="245" dataDxfId="243" totalsRowDxfId="244">
  <autoFilter ref="B149:G160"/>
  <tableColumns count="6">
    <tableColumn id="1" name="Date" totalsRowLabel="Total" dataDxfId="257" totalsRowDxfId="256"/>
    <tableColumn id="2" name="w/o" dataDxfId="255" totalsRowDxfId="254"/>
    <tableColumn id="3" name="Amount" totalsRowFunction="sum" dataDxfId="253" totalsRowDxfId="252"/>
    <tableColumn id="4" name="Category" dataDxfId="251" totalsRowDxfId="250"/>
    <tableColumn id="6" name="Description           Bin Number          # Used" dataDxfId="249" totalsRowDxfId="248"/>
    <tableColumn id="5" name="Part Number - Mileage - Mech Name" dataDxfId="247" totalsRowDxfId="246"/>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25.xml><?xml version="1.0" encoding="utf-8"?>
<table xmlns="http://schemas.openxmlformats.org/spreadsheetml/2006/main" id="25" name="ExpMay26" displayName="ExpMay26" ref="B156:G172" totalsRowCount="1" headerRowDxfId="3911" dataDxfId="3909" totalsRowDxfId="3910" headerRowCellStyle="Normal" dataCellStyle="Normal" totalsRowCellStyle="Normal">
  <autoFilter ref="B156:G171"/>
  <tableColumns count="6">
    <tableColumn id="1" name="Date" totalsRowLabel="Total" dataDxfId="3923" totalsRowDxfId="3922"/>
    <tableColumn id="2" name="W/O" dataDxfId="3921" totalsRowDxfId="3920" dataCellStyle="Normal"/>
    <tableColumn id="3" name="Amount" totalsRowFunction="sum" dataDxfId="3919" totalsRowDxfId="3918" dataCellStyle="Normal"/>
    <tableColumn id="4" name="Category" dataDxfId="3917" totalsRowDxfId="3916" dataCellStyle="Normal"/>
    <tableColumn id="5" name="Description         Bin Number    number used" dataDxfId="3915" totalsRowDxfId="3914" dataCellStyle="Normal"/>
    <tableColumn id="6" name="Part Number - Mileage - Mech Name" dataDxfId="3913" totalsRowDxfId="3912" dataCellStyle="Normal"/>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250.xml><?xml version="1.0" encoding="utf-8"?>
<table xmlns="http://schemas.openxmlformats.org/spreadsheetml/2006/main" id="250" name="ExpMay134147160173186199212225238251" displayName="ExpMay134147160173186199212225238251" ref="B165:G178" totalsRowCount="1" headerRowDxfId="230" dataDxfId="228" totalsRowDxfId="229">
  <autoFilter ref="B165:G177"/>
  <tableColumns count="6">
    <tableColumn id="1" name="Date" totalsRowLabel="Total" dataDxfId="242" totalsRowDxfId="241"/>
    <tableColumn id="2" name="W/O" dataDxfId="240" totalsRowDxfId="239"/>
    <tableColumn id="3" name="Amount" totalsRowFunction="sum" dataDxfId="238" totalsRowDxfId="237"/>
    <tableColumn id="4" name="Category" dataDxfId="236" totalsRowDxfId="235"/>
    <tableColumn id="6" name="Description           Bin Number          # Used" dataDxfId="234" totalsRowDxfId="233"/>
    <tableColumn id="5" name="Part Number - Mileage - Mech Name" dataDxfId="232" totalsRowDxfId="231"/>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251.xml><?xml version="1.0" encoding="utf-8"?>
<table xmlns="http://schemas.openxmlformats.org/spreadsheetml/2006/main" id="251" name="ExpJun135148161174187200213226239252" displayName="ExpJun135148161174187200213226239252" ref="B182:G194" totalsRowCount="1" headerRowDxfId="215" dataDxfId="213" totalsRowDxfId="214">
  <autoFilter ref="B182:G193"/>
  <tableColumns count="6">
    <tableColumn id="1" name="Date" totalsRowLabel="Total" dataDxfId="227" totalsRowDxfId="226"/>
    <tableColumn id="2" name="W/O #" dataDxfId="225" totalsRowDxfId="224"/>
    <tableColumn id="3" name="Amount" totalsRowFunction="sum" dataDxfId="223" totalsRowDxfId="222"/>
    <tableColumn id="4" name="Category" dataDxfId="221" totalsRowDxfId="220"/>
    <tableColumn id="6" name="Description           Bin Number          # Used" dataDxfId="219" totalsRowDxfId="218"/>
    <tableColumn id="5" name="Part Number - Mileage - Mech Name" dataDxfId="217" totalsRowDxfId="216"/>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252.xml><?xml version="1.0" encoding="utf-8"?>
<table xmlns="http://schemas.openxmlformats.org/spreadsheetml/2006/main" id="252" name="ExpenseSummary214227240253" displayName="ExpenseSummary214227240253" ref="B18:P40" totalsRowCount="1" headerRowDxfId="182" dataDxfId="180" totalsRowDxfId="181">
  <autoFilter ref="B18:P39">
    <filterColumn colId="0">
      <customFilters>
        <customFilter operator="notEqual" val=" "/>
      </customFilters>
    </filterColumn>
  </autoFilter>
  <tableColumns count="15">
    <tableColumn id="1" name="Expenses" totalsRowLabel="Total" dataDxfId="212" totalsRowDxfId="211" dataCellStyle="Normal 2"/>
    <tableColumn id="2" name="Jan" totalsRowFunction="sum" dataDxfId="210" totalsRowDxfId="209" dataCellStyle="Normal 2"/>
    <tableColumn id="3" name="Feb" totalsRowFunction="sum" dataDxfId="208" totalsRowDxfId="207" dataCellStyle="Normal 2"/>
    <tableColumn id="4" name="Mar" totalsRowFunction="sum" dataDxfId="206" totalsRowDxfId="205" dataCellStyle="Normal 2"/>
    <tableColumn id="5" name="Apr" totalsRowFunction="sum" dataDxfId="204" totalsRowDxfId="203" dataCellStyle="Normal 2"/>
    <tableColumn id="6" name="May" totalsRowFunction="sum" dataDxfId="202" totalsRowDxfId="201" dataCellStyle="Normal 2"/>
    <tableColumn id="7" name="Jun" totalsRowFunction="sum" dataDxfId="200" totalsRowDxfId="199" dataCellStyle="Normal 2"/>
    <tableColumn id="8" name="Jul" totalsRowFunction="sum" dataDxfId="198" totalsRowDxfId="197" dataCellStyle="Normal 2"/>
    <tableColumn id="9" name="Aug" totalsRowFunction="sum" dataDxfId="196" totalsRowDxfId="195" dataCellStyle="Normal 2"/>
    <tableColumn id="10" name="Sep" totalsRowFunction="sum" dataDxfId="194" totalsRowDxfId="193" dataCellStyle="Normal 2"/>
    <tableColumn id="11" name="Oct" totalsRowFunction="sum" dataDxfId="192" totalsRowDxfId="191" dataCellStyle="Normal 2"/>
    <tableColumn id="12" name="Nov" totalsRowFunction="sum" dataDxfId="190" totalsRowDxfId="189" dataCellStyle="Normal 2"/>
    <tableColumn id="13" name="Dec" totalsRowFunction="sum" dataDxfId="188" totalsRowDxfId="187" dataCellStyle="Normal 2"/>
    <tableColumn id="14" name="Total" totalsRowFunction="sum" dataDxfId="186" totalsRowDxfId="185" dataCellStyle="Normal 2">
      <calculatedColumnFormula>[20]summary!$R$18</calculatedColumnFormula>
    </tableColumn>
    <tableColumn id="15" name="Trend" dataDxfId="184" totalsRowDxfId="183" dataCellStyle="Normal 2"/>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253.xml><?xml version="1.0" encoding="utf-8"?>
<table xmlns="http://schemas.openxmlformats.org/spreadsheetml/2006/main" id="253" name="ExpJul215228241254" displayName="ExpJul215228241254" ref="B4:G18" totalsRowCount="1" headerRowDxfId="167" dataDxfId="165" totalsRowDxfId="166">
  <autoFilter ref="B4:G17"/>
  <tableColumns count="6">
    <tableColumn id="1" name="Date" totalsRowLabel="Total" dataDxfId="179" totalsRowDxfId="178" dataCellStyle="Normal 2"/>
    <tableColumn id="2" name="W/O#" dataDxfId="177" totalsRowDxfId="176" dataCellStyle="Normal 2"/>
    <tableColumn id="3" name="Amount" totalsRowFunction="sum" dataDxfId="175" totalsRowDxfId="174" dataCellStyle="Normal 2"/>
    <tableColumn id="4" name="Category" dataDxfId="173" totalsRowDxfId="172" dataCellStyle="Normal 2"/>
    <tableColumn id="6" name="Description           Bin Number          # Used" dataDxfId="171" totalsRowDxfId="170" dataCellStyle="Normal 2"/>
    <tableColumn id="5" name="Part Number - Mileage - Mech Name" dataDxfId="169" totalsRowDxfId="168" dataCellStyle="Normal 2"/>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254.xml><?xml version="1.0" encoding="utf-8"?>
<table xmlns="http://schemas.openxmlformats.org/spreadsheetml/2006/main" id="254" name="ExpAug216229242255" displayName="ExpAug216229242255" ref="B22:G41" totalsRowCount="1" headerRowDxfId="152" dataDxfId="150" totalsRowDxfId="151">
  <autoFilter ref="B22:G40"/>
  <tableColumns count="6">
    <tableColumn id="1" name="Date" totalsRowLabel="Total" dataDxfId="164" totalsRowDxfId="163"/>
    <tableColumn id="2" name="PO#" dataDxfId="162" totalsRowDxfId="161"/>
    <tableColumn id="3" name="Amount" totalsRowFunction="sum" dataDxfId="160" totalsRowDxfId="159"/>
    <tableColumn id="4" name="Category" dataDxfId="158" totalsRowDxfId="157"/>
    <tableColumn id="6" name="Description           Bin Number          # Used" dataDxfId="156" totalsRowDxfId="155"/>
    <tableColumn id="5" name="Part Number - Mileage - Mech Name" dataDxfId="154" totalsRowDxfId="153"/>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255.xml><?xml version="1.0" encoding="utf-8"?>
<table xmlns="http://schemas.openxmlformats.org/spreadsheetml/2006/main" id="255" name="ExpSep217230243256" displayName="ExpSep217230243256" ref="B46:G56" totalsRowCount="1" headerRowDxfId="137" dataDxfId="135" totalsRowDxfId="136">
  <autoFilter ref="B46:G55"/>
  <tableColumns count="6">
    <tableColumn id="1" name="Date" totalsRowLabel="Total" dataDxfId="149" totalsRowDxfId="148"/>
    <tableColumn id="2" name="PO#" dataDxfId="147" totalsRowDxfId="146"/>
    <tableColumn id="3" name="Amount" totalsRowFunction="sum" dataDxfId="145" totalsRowDxfId="144"/>
    <tableColumn id="4" name="Category" dataDxfId="143" totalsRowDxfId="142"/>
    <tableColumn id="6" name="Description           Bin Number          # Used" dataDxfId="141" totalsRowDxfId="140"/>
    <tableColumn id="5" name="Part Number - Mileage - Mech Name" dataDxfId="139" totalsRowDxfId="138"/>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256.xml><?xml version="1.0" encoding="utf-8"?>
<table xmlns="http://schemas.openxmlformats.org/spreadsheetml/2006/main" id="256" name="ExpOct205218231244257" displayName="ExpOct205218231244257" ref="B60:G72" totalsRowCount="1" headerRowDxfId="122" dataDxfId="120" totalsRowDxfId="121">
  <autoFilter ref="B60:G71"/>
  <tableColumns count="6">
    <tableColumn id="1" name="Date" totalsRowLabel="Total" dataDxfId="134" totalsRowDxfId="133"/>
    <tableColumn id="2" name="W/O" dataDxfId="132" totalsRowDxfId="131"/>
    <tableColumn id="3" name="Amount" totalsRowFunction="sum" dataDxfId="130" totalsRowDxfId="129"/>
    <tableColumn id="4" name="Category" dataDxfId="128" totalsRowDxfId="127"/>
    <tableColumn id="6" name="Description           Bin Number          # Used" dataDxfId="126" totalsRowDxfId="125"/>
    <tableColumn id="5" name="Part Number - Mileage - Mech Name" dataDxfId="124" totalsRowDxfId="123"/>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257.xml><?xml version="1.0" encoding="utf-8"?>
<table xmlns="http://schemas.openxmlformats.org/spreadsheetml/2006/main" id="257" name="ExpNov128141154167180193206219232245258" displayName="ExpNov128141154167180193206219232245258" ref="B76:G87" totalsRowCount="1" headerRowDxfId="107" dataDxfId="105" totalsRowDxfId="106">
  <autoFilter ref="B76:G86"/>
  <tableColumns count="6">
    <tableColumn id="1" name="Date" totalsRowLabel="Total" dataDxfId="119" totalsRowDxfId="118"/>
    <tableColumn id="2" name="W/O" dataDxfId="117" totalsRowDxfId="116"/>
    <tableColumn id="3" name="Amount" totalsRowFunction="sum" dataDxfId="115" totalsRowDxfId="114"/>
    <tableColumn id="4" name="Category" dataDxfId="113" totalsRowDxfId="112"/>
    <tableColumn id="6" name="Column1" dataDxfId="111" totalsRowDxfId="110"/>
    <tableColumn id="5" name="Description" dataDxfId="109" totalsRowDxfId="108"/>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258.xml><?xml version="1.0" encoding="utf-8"?>
<table xmlns="http://schemas.openxmlformats.org/spreadsheetml/2006/main" id="258" name="ExpDec129142155168181194207220233246259" displayName="ExpDec129142155168181194207220233246259" ref="B91:G98" totalsRowCount="1" headerRowDxfId="92" dataDxfId="90" totalsRowDxfId="91">
  <autoFilter ref="B91:G97"/>
  <tableColumns count="6">
    <tableColumn id="1" name="Date" totalsRowLabel="Total" dataDxfId="104" totalsRowDxfId="103"/>
    <tableColumn id="2" name="W/O" dataDxfId="102" totalsRowDxfId="101"/>
    <tableColumn id="3" name="Amount" totalsRowFunction="sum" dataDxfId="100" totalsRowDxfId="99"/>
    <tableColumn id="4" name="Category" dataDxfId="98" totalsRowDxfId="97"/>
    <tableColumn id="6" name="Column1" dataDxfId="96" totalsRowDxfId="95"/>
    <tableColumn id="5" name="Description" dataDxfId="94" totalsRowDxfId="93"/>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259.xml><?xml version="1.0" encoding="utf-8"?>
<table xmlns="http://schemas.openxmlformats.org/spreadsheetml/2006/main" id="259" name="ExpJan130143156169182195208221234247260" displayName="ExpJan130143156169182195208221234247260" ref="B102:G111" totalsRowCount="1" headerRowDxfId="77" dataDxfId="75" totalsRowDxfId="76">
  <autoFilter ref="B102:G110"/>
  <tableColumns count="6">
    <tableColumn id="1" name="Date" totalsRowLabel="Total" dataDxfId="89" totalsRowDxfId="88"/>
    <tableColumn id="2" name="Work Order" dataDxfId="87" totalsRowDxfId="86"/>
    <tableColumn id="3" name="Amount" totalsRowFunction="sum" dataDxfId="85" totalsRowDxfId="84"/>
    <tableColumn id="4" name="Category" dataDxfId="83" totalsRowDxfId="82"/>
    <tableColumn id="6" name="Column1" dataDxfId="81" totalsRowDxfId="80"/>
    <tableColumn id="5" name="Description" dataDxfId="79" totalsRowDxfId="78"/>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26.xml><?xml version="1.0" encoding="utf-8"?>
<table xmlns="http://schemas.openxmlformats.org/spreadsheetml/2006/main" id="26" name="ExpJun27" displayName="ExpJun27" ref="B176:G190" totalsRowCount="1" headerRowDxfId="3896" dataDxfId="3894" totalsRowDxfId="3895">
  <autoFilter ref="B176:G189"/>
  <tableColumns count="6">
    <tableColumn id="1" name="Date" totalsRowLabel="Total" dataDxfId="3908" totalsRowDxfId="3907"/>
    <tableColumn id="2" name="W/O #" dataDxfId="3906" totalsRowDxfId="3905"/>
    <tableColumn id="3" name="Amount" totalsRowFunction="sum" dataDxfId="3904" totalsRowDxfId="3903"/>
    <tableColumn id="4" name="Category" dataDxfId="3902" totalsRowDxfId="3901"/>
    <tableColumn id="6" name="Description         Bin Number    number used" dataDxfId="3900" totalsRowDxfId="3899"/>
    <tableColumn id="5" name="Part Number - Mileage - Mech Name" dataDxfId="3898" totalsRowDxfId="3897"/>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260.xml><?xml version="1.0" encoding="utf-8"?>
<table xmlns="http://schemas.openxmlformats.org/spreadsheetml/2006/main" id="260" name="ExpFeb131144157170183196209222235248261" displayName="ExpFeb131144157170183196209222235248261" ref="B115:G127" totalsRowCount="1" headerRowDxfId="62" dataDxfId="60" totalsRowDxfId="61">
  <autoFilter ref="B115:G126"/>
  <tableColumns count="6">
    <tableColumn id="1" name="Date" totalsRowLabel="Total" dataDxfId="74" totalsRowDxfId="73"/>
    <tableColumn id="2" name="W/O" dataDxfId="72" totalsRowDxfId="71"/>
    <tableColumn id="3" name="Amount" totalsRowFunction="sum" dataDxfId="70" totalsRowDxfId="69"/>
    <tableColumn id="4" name="Category" dataDxfId="68" totalsRowDxfId="67"/>
    <tableColumn id="5" name="Description           Bin Number          # Used" dataDxfId="66" totalsRowDxfId="65"/>
    <tableColumn id="6" name="Part Number - Mileage - Mech Name" dataDxfId="64" totalsRowDxfId="63"/>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261.xml><?xml version="1.0" encoding="utf-8"?>
<table xmlns="http://schemas.openxmlformats.org/spreadsheetml/2006/main" id="261" name="ExpMar132145158171184197210223236249262" displayName="ExpMar132145158171184197210223236249262" ref="B131:G145" totalsRowCount="1" headerRowDxfId="47" dataDxfId="45" totalsRowDxfId="46">
  <autoFilter ref="B131:G144"/>
  <tableColumns count="6">
    <tableColumn id="1" name="Date" totalsRowLabel="Total" dataDxfId="59" totalsRowDxfId="58"/>
    <tableColumn id="2" name="W/O" dataDxfId="57" totalsRowDxfId="56"/>
    <tableColumn id="3" name="Amount" totalsRowFunction="sum" dataDxfId="55" totalsRowDxfId="54"/>
    <tableColumn id="4" name="Category" dataDxfId="53" totalsRowDxfId="52"/>
    <tableColumn id="6" name="Description           Bin Number          # Used" dataDxfId="51" totalsRowDxfId="50"/>
    <tableColumn id="5" name="Part Number - Mileage - Mech Name" dataDxfId="49" totalsRowDxfId="48"/>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262.xml><?xml version="1.0" encoding="utf-8"?>
<table xmlns="http://schemas.openxmlformats.org/spreadsheetml/2006/main" id="262" name="ExpApr133146159172185198211224237250263" displayName="ExpApr133146159172185198211224237250263" ref="B149:G161" totalsRowCount="1" headerRowDxfId="32" dataDxfId="30" totalsRowDxfId="31">
  <autoFilter ref="B149:G160"/>
  <tableColumns count="6">
    <tableColumn id="1" name="Date" totalsRowLabel="Total" dataDxfId="44" totalsRowDxfId="43"/>
    <tableColumn id="2" name="w/o" dataDxfId="42" totalsRowDxfId="41"/>
    <tableColumn id="3" name="Amount" totalsRowFunction="sum" dataDxfId="40" totalsRowDxfId="39"/>
    <tableColumn id="4" name="Category" dataDxfId="38" totalsRowDxfId="37"/>
    <tableColumn id="6" name="Description           Bin Number          # Used" dataDxfId="36" totalsRowDxfId="35"/>
    <tableColumn id="5" name="Part Number - Mileage - Mech Name" dataDxfId="34" totalsRowDxfId="33"/>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263.xml><?xml version="1.0" encoding="utf-8"?>
<table xmlns="http://schemas.openxmlformats.org/spreadsheetml/2006/main" id="263" name="ExpMay134147160173186199212225238251264" displayName="ExpMay134147160173186199212225238251264" ref="B165:G178" totalsRowCount="1" headerRowDxfId="17" dataDxfId="15" totalsRowDxfId="16">
  <autoFilter ref="B165:G177"/>
  <tableColumns count="6">
    <tableColumn id="1" name="Date" totalsRowLabel="Total" dataDxfId="29" totalsRowDxfId="28"/>
    <tableColumn id="2" name="W/O" dataDxfId="27" totalsRowDxfId="26"/>
    <tableColumn id="3" name="Amount" totalsRowFunction="sum" dataDxfId="25" totalsRowDxfId="24"/>
    <tableColumn id="4" name="Category" dataDxfId="23" totalsRowDxfId="22"/>
    <tableColumn id="6" name="Description           Bin Number          # Used" dataDxfId="21" totalsRowDxfId="20"/>
    <tableColumn id="5" name="Part Number - Mileage - Mech Name" dataDxfId="19" totalsRowDxfId="18"/>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264.xml><?xml version="1.0" encoding="utf-8"?>
<table xmlns="http://schemas.openxmlformats.org/spreadsheetml/2006/main" id="264" name="ExpJun135148161174187200213226239252265" displayName="ExpJun135148161174187200213226239252265" ref="B182:G194" totalsRowCount="1" headerRowDxfId="2" dataDxfId="0" totalsRowDxfId="1">
  <autoFilter ref="B182:G193"/>
  <tableColumns count="6">
    <tableColumn id="1" name="Date" totalsRowLabel="Total" dataDxfId="14" totalsRowDxfId="13"/>
    <tableColumn id="2" name="W/O #" dataDxfId="12" totalsRowDxfId="11"/>
    <tableColumn id="3" name="Amount" totalsRowFunction="sum" dataDxfId="10" totalsRowDxfId="9"/>
    <tableColumn id="4" name="Category" dataDxfId="8" totalsRowDxfId="7"/>
    <tableColumn id="6" name="Description           Bin Number          # Used" dataDxfId="6" totalsRowDxfId="5"/>
    <tableColumn id="5" name="Part Number - Mileage - Mech Name" dataDxfId="4" totalsRowDxfId="3"/>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27.xml><?xml version="1.0" encoding="utf-8"?>
<table xmlns="http://schemas.openxmlformats.org/spreadsheetml/2006/main" id="27" name="ExpenseSummary28" displayName="ExpenseSummary28" ref="B18:P39" totalsRowCount="1" headerRowDxfId="3863" dataDxfId="3861" totalsRowDxfId="3862">
  <autoFilter ref="B18:P38">
    <filterColumn colId="0">
      <customFilters>
        <customFilter operator="notEqual" val=" "/>
      </customFilters>
    </filterColumn>
  </autoFilter>
  <tableColumns count="15">
    <tableColumn id="1" name="Expenses" totalsRowLabel="Total" dataDxfId="3893" totalsRowDxfId="3892"/>
    <tableColumn id="2" name="Jan" totalsRowFunction="sum" dataDxfId="3891" totalsRowDxfId="3890"/>
    <tableColumn id="3" name="Feb" totalsRowFunction="sum" dataDxfId="3889" totalsRowDxfId="3888"/>
    <tableColumn id="4" name="Mar" totalsRowFunction="sum" dataDxfId="3887" totalsRowDxfId="3886"/>
    <tableColumn id="5" name="Apr" totalsRowFunction="sum" dataDxfId="3885" totalsRowDxfId="3884"/>
    <tableColumn id="6" name="May" totalsRowFunction="sum" dataDxfId="3883" totalsRowDxfId="3882"/>
    <tableColumn id="7" name="Jun" totalsRowFunction="sum" dataDxfId="3881" totalsRowDxfId="3880"/>
    <tableColumn id="8" name="Jul" totalsRowFunction="sum" dataDxfId="3879" totalsRowDxfId="3878"/>
    <tableColumn id="9" name="Aug" totalsRowFunction="sum" dataDxfId="3877" totalsRowDxfId="3876"/>
    <tableColumn id="10" name="Sep" totalsRowFunction="sum" dataDxfId="3875" totalsRowDxfId="3874"/>
    <tableColumn id="11" name="Oct" totalsRowFunction="sum" dataDxfId="3873" totalsRowDxfId="3872"/>
    <tableColumn id="12" name="Nov" totalsRowFunction="sum" dataDxfId="3871" totalsRowDxfId="3870"/>
    <tableColumn id="13" name="Dec" totalsRowFunction="sum" dataDxfId="3869" totalsRowDxfId="3868"/>
    <tableColumn id="14" name="Total" totalsRowFunction="sum" dataDxfId="3867" totalsRowDxfId="3866">
      <calculatedColumnFormula>SUM(C19:N19)</calculatedColumnFormula>
    </tableColumn>
    <tableColumn id="15" name="Trend" dataDxfId="3865" totalsRowDxfId="3864"/>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28.xml><?xml version="1.0" encoding="utf-8"?>
<table xmlns="http://schemas.openxmlformats.org/spreadsheetml/2006/main" id="28" name="ExpJul29" displayName="ExpJul29" ref="B4:G14" totalsRowCount="1" headerRowDxfId="3848" dataDxfId="3846" totalsRowDxfId="3847">
  <autoFilter ref="B4:G13"/>
  <tableColumns count="6">
    <tableColumn id="1" name="Date" totalsRowLabel="Total" dataDxfId="3860" totalsRowDxfId="3859"/>
    <tableColumn id="2" name="W/O#" dataDxfId="3858" totalsRowDxfId="3857"/>
    <tableColumn id="3" name="Amount" totalsRowFunction="sum" dataDxfId="3856" totalsRowDxfId="3855"/>
    <tableColumn id="4" name="Category" dataDxfId="3854" totalsRowDxfId="3853"/>
    <tableColumn id="6" name="Description         Bin Number    number used" dataDxfId="3852" totalsRowDxfId="3851"/>
    <tableColumn id="5" name="Part Number - Mileage - Mech Name" dataDxfId="3850" totalsRowDxfId="3849"/>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29.xml><?xml version="1.0" encoding="utf-8"?>
<table xmlns="http://schemas.openxmlformats.org/spreadsheetml/2006/main" id="29" name="ExpAug30" displayName="ExpAug30" ref="B18:G30" totalsRowCount="1" headerRowDxfId="3833" dataDxfId="3831" totalsRowDxfId="3832">
  <autoFilter ref="B18:G29"/>
  <tableColumns count="6">
    <tableColumn id="1" name="Date" totalsRowLabel="Total" dataDxfId="3845" totalsRowDxfId="3844"/>
    <tableColumn id="2" name="W/O" dataDxfId="3843" totalsRowDxfId="3842"/>
    <tableColumn id="3" name="Amount" totalsRowFunction="sum" dataDxfId="3841" totalsRowDxfId="3840"/>
    <tableColumn id="4" name="Category" dataDxfId="3839" totalsRowDxfId="3838"/>
    <tableColumn id="6" name="Description         Bin Number    number used" dataDxfId="3837" totalsRowDxfId="3836"/>
    <tableColumn id="5" name="Part Number - Mileage - Mech Name" dataDxfId="3835" totalsRowDxfId="3834"/>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3.xml><?xml version="1.0" encoding="utf-8"?>
<table xmlns="http://schemas.openxmlformats.org/spreadsheetml/2006/main" id="8" name="ExpAug9" displayName="ExpAug9" ref="B21:G39" totalsRowCount="1" headerRowDxfId="4259" dataDxfId="4257" totalsRowDxfId="4258">
  <autoFilter ref="B21:G38"/>
  <tableColumns count="6">
    <tableColumn id="1" name="Date" totalsRowLabel="Total" dataDxfId="4271" totalsRowDxfId="4270"/>
    <tableColumn id="2" name="PO#" dataDxfId="4269" totalsRowDxfId="4268"/>
    <tableColumn id="3" name="Amount" totalsRowFunction="sum" dataDxfId="4267" totalsRowDxfId="4266"/>
    <tableColumn id="4" name="Category" dataDxfId="4265" totalsRowDxfId="4264"/>
    <tableColumn id="6" name="Description         Bin Number    number used" dataDxfId="4263" totalsRowDxfId="4262"/>
    <tableColumn id="5" name="Part Number - Mileage - Mech Name" dataDxfId="4261" totalsRowDxfId="4260"/>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30.xml><?xml version="1.0" encoding="utf-8"?>
<table xmlns="http://schemas.openxmlformats.org/spreadsheetml/2006/main" id="30" name="ExpSep31" displayName="ExpSep31" ref="B34:G44" totalsRowCount="1" headerRowDxfId="3818" dataDxfId="3816" totalsRowDxfId="3817">
  <autoFilter ref="B34:G43"/>
  <tableColumns count="6">
    <tableColumn id="1" name="Date" totalsRowLabel="Total" dataDxfId="3830" totalsRowDxfId="3829"/>
    <tableColumn id="2" name="PO#" dataDxfId="3828" totalsRowDxfId="3827"/>
    <tableColumn id="3" name="Amount" totalsRowFunction="sum" dataDxfId="3826" totalsRowDxfId="3825"/>
    <tableColumn id="4" name="Category" dataDxfId="3824" totalsRowDxfId="3823"/>
    <tableColumn id="6" name="Description         Bin Number    number used" dataDxfId="3822" totalsRowDxfId="3821"/>
    <tableColumn id="5" name="Part Number - Mileage - Mech Name" dataDxfId="3820" totalsRowDxfId="3819"/>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31.xml><?xml version="1.0" encoding="utf-8"?>
<table xmlns="http://schemas.openxmlformats.org/spreadsheetml/2006/main" id="31" name="ExpOct32" displayName="ExpOct32" ref="B48:G60" totalsRowCount="1" headerRowDxfId="3803" dataDxfId="3801" totalsRowDxfId="3802">
  <autoFilter ref="B48:G59"/>
  <tableColumns count="6">
    <tableColumn id="1" name="Date" totalsRowLabel="Total" dataDxfId="3815" totalsRowDxfId="3814"/>
    <tableColumn id="2" name="W/O" dataDxfId="3813" totalsRowDxfId="3812"/>
    <tableColumn id="3" name="Amount" totalsRowFunction="sum" dataDxfId="3811" totalsRowDxfId="3810"/>
    <tableColumn id="4" name="Category" dataDxfId="3809" totalsRowDxfId="3808"/>
    <tableColumn id="6" name="Description         Bin Number    number used" dataDxfId="3807" totalsRowDxfId="3806"/>
    <tableColumn id="5" name="Part Number - Mileage - Mech Name" dataDxfId="3805" totalsRowDxfId="3804"/>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32.xml><?xml version="1.0" encoding="utf-8"?>
<table xmlns="http://schemas.openxmlformats.org/spreadsheetml/2006/main" id="32" name="ExpNov33" displayName="ExpNov33" ref="B64:G75" totalsRowCount="1" headerRowDxfId="3788" dataDxfId="3786" totalsRowDxfId="3787">
  <autoFilter ref="B64:G74"/>
  <tableColumns count="6">
    <tableColumn id="1" name="Date" totalsRowLabel="Total" dataDxfId="3800" totalsRowDxfId="3799"/>
    <tableColumn id="2" name="W/O" dataDxfId="3798" totalsRowDxfId="3797"/>
    <tableColumn id="3" name="Amount" totalsRowFunction="sum" dataDxfId="3796" totalsRowDxfId="3795"/>
    <tableColumn id="4" name="Category" dataDxfId="3794" totalsRowDxfId="3793"/>
    <tableColumn id="6" name="Column1" dataDxfId="3792" totalsRowDxfId="3791"/>
    <tableColumn id="5" name="Description" dataDxfId="3790" totalsRowDxfId="3789"/>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33.xml><?xml version="1.0" encoding="utf-8"?>
<table xmlns="http://schemas.openxmlformats.org/spreadsheetml/2006/main" id="33" name="ExpDec34" displayName="ExpDec34" ref="B79:G88" totalsRowCount="1" headerRowDxfId="3773" dataDxfId="3771" totalsRowDxfId="3772">
  <autoFilter ref="B79:G87"/>
  <tableColumns count="6">
    <tableColumn id="1" name="Date" totalsRowLabel="Total" dataDxfId="3785" totalsRowDxfId="3784"/>
    <tableColumn id="2" name="W/O" dataDxfId="3783" totalsRowDxfId="3782"/>
    <tableColumn id="3" name="Amount" totalsRowFunction="sum" dataDxfId="3781" totalsRowDxfId="3780"/>
    <tableColumn id="4" name="Category" dataDxfId="3779" totalsRowDxfId="3778"/>
    <tableColumn id="6" name="Column1" dataDxfId="3777" totalsRowDxfId="3776"/>
    <tableColumn id="5" name="Description" dataDxfId="3775" totalsRowDxfId="3774"/>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34.xml><?xml version="1.0" encoding="utf-8"?>
<table xmlns="http://schemas.openxmlformats.org/spreadsheetml/2006/main" id="34" name="ExpJan35" displayName="ExpJan35" ref="B92:G103" totalsRowCount="1" headerRowDxfId="3758" dataDxfId="3756" totalsRowDxfId="3757">
  <autoFilter ref="B92:G102"/>
  <tableColumns count="6">
    <tableColumn id="1" name="Date" totalsRowLabel="Total" dataDxfId="3770" totalsRowDxfId="3769"/>
    <tableColumn id="2" name="Work Order" dataDxfId="3768" totalsRowDxfId="3767"/>
    <tableColumn id="3" name="Amount" totalsRowFunction="sum" dataDxfId="3766" totalsRowDxfId="3765"/>
    <tableColumn id="4" name="Category" dataDxfId="3764" totalsRowDxfId="3763"/>
    <tableColumn id="6" name="Column1" dataDxfId="3762" totalsRowDxfId="3761"/>
    <tableColumn id="5" name="Description" dataDxfId="3760" totalsRowDxfId="3759"/>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35.xml><?xml version="1.0" encoding="utf-8"?>
<table xmlns="http://schemas.openxmlformats.org/spreadsheetml/2006/main" id="35" name="ExpFeb36" displayName="ExpFeb36" ref="B107:G114" totalsRowCount="1" headerRowDxfId="3743" dataDxfId="3741" totalsRowDxfId="3742">
  <autoFilter ref="B107:G113"/>
  <tableColumns count="6">
    <tableColumn id="1" name="Date" totalsRowLabel="Total" dataDxfId="3755" totalsRowDxfId="3754"/>
    <tableColumn id="2" name="W/O" dataDxfId="3753" totalsRowDxfId="3752"/>
    <tableColumn id="3" name="Amount" totalsRowFunction="sum" dataDxfId="3751" totalsRowDxfId="3750"/>
    <tableColumn id="4" name="Category" dataDxfId="3749" totalsRowDxfId="3748"/>
    <tableColumn id="6" name="Column1" dataDxfId="3747" totalsRowDxfId="3746"/>
    <tableColumn id="5" name="Description" dataDxfId="3745" totalsRowDxfId="3744"/>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36.xml><?xml version="1.0" encoding="utf-8"?>
<table xmlns="http://schemas.openxmlformats.org/spreadsheetml/2006/main" id="36" name="ExpMar37" displayName="ExpMar37" ref="B118:G128" totalsRowCount="1" headerRowDxfId="3728" dataDxfId="3726" totalsRowDxfId="3727">
  <autoFilter ref="B118:G127"/>
  <tableColumns count="6">
    <tableColumn id="1" name="Date" totalsRowLabel="Total" dataDxfId="3740" totalsRowDxfId="3739"/>
    <tableColumn id="2" name="W/O" dataDxfId="3738" totalsRowDxfId="3737"/>
    <tableColumn id="3" name="Amount" totalsRowFunction="sum" dataDxfId="3736" totalsRowDxfId="3735"/>
    <tableColumn id="4" name="Category" dataDxfId="3734" totalsRowDxfId="3733"/>
    <tableColumn id="6" name="Column1" dataDxfId="3732" totalsRowDxfId="3731"/>
    <tableColumn id="5" name="Description" dataDxfId="3730" totalsRowDxfId="3729"/>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37.xml><?xml version="1.0" encoding="utf-8"?>
<table xmlns="http://schemas.openxmlformats.org/spreadsheetml/2006/main" id="37" name="ExpApr38" displayName="ExpApr38" ref="B132:G139" totalsRowCount="1" headerRowDxfId="3713" dataDxfId="3711" totalsRowDxfId="3712">
  <autoFilter ref="B132:G138"/>
  <tableColumns count="6">
    <tableColumn id="1" name="Date" totalsRowLabel="Total" dataDxfId="3725" totalsRowDxfId="3724"/>
    <tableColumn id="2" name="w/o" dataDxfId="3723" totalsRowDxfId="3722"/>
    <tableColumn id="3" name="Amount" totalsRowFunction="sum" dataDxfId="3721" totalsRowDxfId="3720"/>
    <tableColumn id="4" name="Category" dataDxfId="3719" totalsRowDxfId="3718"/>
    <tableColumn id="6" name="Description         Bin Number    number used" dataDxfId="3717" totalsRowDxfId="3716"/>
    <tableColumn id="5" name="Part Number - Mileage - Mech Name" dataDxfId="3715" totalsRowDxfId="3714"/>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38.xml><?xml version="1.0" encoding="utf-8"?>
<table xmlns="http://schemas.openxmlformats.org/spreadsheetml/2006/main" id="38" name="ExpMay39" displayName="ExpMay39" ref="B143:G151" totalsRowCount="1" headerRowDxfId="3698" dataDxfId="3696" totalsRowDxfId="3697">
  <autoFilter ref="B143:G150"/>
  <tableColumns count="6">
    <tableColumn id="1" name="Date" totalsRowLabel="Total" dataDxfId="3710" totalsRowDxfId="3709" dataCellStyle="Normal"/>
    <tableColumn id="2" name="W/O" dataDxfId="3708" totalsRowDxfId="3707" dataCellStyle="Normal"/>
    <tableColumn id="3" name="Amount" dataDxfId="3706" totalsRowDxfId="3705" dataCellStyle="Normal"/>
    <tableColumn id="4" name="Category" dataDxfId="3704" totalsRowDxfId="3703" dataCellStyle="Normal"/>
    <tableColumn id="6" name="Description         Bin Number    number used" dataDxfId="3702" totalsRowDxfId="3701" dataCellStyle="Normal"/>
    <tableColumn id="5" name="Part Number - Mileage - Mech Name" dataDxfId="3700" totalsRowDxfId="3699" dataCellStyle="Normal"/>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39.xml><?xml version="1.0" encoding="utf-8"?>
<table xmlns="http://schemas.openxmlformats.org/spreadsheetml/2006/main" id="39" name="ExpJun40" displayName="ExpJun40" ref="B155:G167" totalsRowCount="1" headerRowDxfId="3683" dataDxfId="3681" totalsRowDxfId="3682">
  <autoFilter ref="B155:G166"/>
  <tableColumns count="6">
    <tableColumn id="1" name="Date" totalsRowLabel="Total" dataDxfId="3695" totalsRowDxfId="3694"/>
    <tableColumn id="2" name="W/O #" dataDxfId="3693" totalsRowDxfId="3692"/>
    <tableColumn id="3" name="Amount" totalsRowFunction="sum" dataDxfId="3691" totalsRowDxfId="3690"/>
    <tableColumn id="4" name="Category" dataDxfId="3689" totalsRowDxfId="3688"/>
    <tableColumn id="6" name="Description         Bin Number    number used" dataDxfId="3687" totalsRowDxfId="3686"/>
    <tableColumn id="5" name="Part Number - Mileage - Mech Name" dataDxfId="3685" totalsRowDxfId="3684"/>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4.xml><?xml version="1.0" encoding="utf-8"?>
<table xmlns="http://schemas.openxmlformats.org/spreadsheetml/2006/main" id="10" name="ExpSep11" displayName="ExpSep11" ref="B43:G54" totalsRowCount="1" headerRowDxfId="4244" dataDxfId="4242" totalsRowDxfId="4243">
  <autoFilter ref="B43:G53"/>
  <tableColumns count="6">
    <tableColumn id="1" name="Date" totalsRowLabel="Total" dataDxfId="4256" totalsRowDxfId="4255"/>
    <tableColumn id="2" name="PO#" dataDxfId="4254" totalsRowDxfId="4253"/>
    <tableColumn id="3" name="Amount" totalsRowFunction="sum" dataDxfId="4252" totalsRowDxfId="4251"/>
    <tableColumn id="4" name="Category" dataDxfId="4250" totalsRowDxfId="4249"/>
    <tableColumn id="6" name="Description         Bin Number    number used" dataDxfId="4248" totalsRowDxfId="4247"/>
    <tableColumn id="5" name="Part Number - Mileage - Mech Name" dataDxfId="4246" totalsRowDxfId="4245"/>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40.xml><?xml version="1.0" encoding="utf-8"?>
<table xmlns="http://schemas.openxmlformats.org/spreadsheetml/2006/main" id="40" name="ExpenseSummary41" displayName="ExpenseSummary41" ref="B18:P39" totalsRowCount="1" headerRowDxfId="3650" dataDxfId="3648" totalsRowDxfId="3649">
  <autoFilter ref="B18:P38">
    <filterColumn colId="0">
      <customFilters>
        <customFilter operator="notEqual" val=" "/>
      </customFilters>
    </filterColumn>
  </autoFilter>
  <tableColumns count="15">
    <tableColumn id="1" name="Expenses" totalsRowLabel="Total" dataDxfId="3680" totalsRowDxfId="3679"/>
    <tableColumn id="2" name="Jan" totalsRowFunction="sum" dataDxfId="3678" totalsRowDxfId="3677"/>
    <tableColumn id="3" name="Feb" totalsRowFunction="sum" dataDxfId="3676" totalsRowDxfId="3675"/>
    <tableColumn id="4" name="Mar" totalsRowFunction="sum" dataDxfId="3674" totalsRowDxfId="3673"/>
    <tableColumn id="5" name="Apr" totalsRowFunction="sum" dataDxfId="3672" totalsRowDxfId="3671"/>
    <tableColumn id="6" name="May" totalsRowFunction="sum" dataDxfId="3670" totalsRowDxfId="3669"/>
    <tableColumn id="7" name="Jun" totalsRowFunction="sum" dataDxfId="3668" totalsRowDxfId="3667"/>
    <tableColumn id="8" name="Jul" totalsRowFunction="sum" dataDxfId="3666" totalsRowDxfId="3665"/>
    <tableColumn id="9" name="Aug" totalsRowFunction="sum" dataDxfId="3664" totalsRowDxfId="3663"/>
    <tableColumn id="10" name="Sep" totalsRowFunction="sum" dataDxfId="3662" totalsRowDxfId="3661"/>
    <tableColumn id="11" name="Oct" totalsRowFunction="sum" dataDxfId="3660" totalsRowDxfId="3659"/>
    <tableColumn id="12" name="Nov" totalsRowFunction="sum" dataDxfId="3658" totalsRowDxfId="3657"/>
    <tableColumn id="13" name="Dec" totalsRowFunction="sum" dataDxfId="3656" totalsRowDxfId="3655"/>
    <tableColumn id="14" name="Total" totalsRowFunction="sum" dataDxfId="3654" totalsRowDxfId="3653">
      <calculatedColumnFormula>SUM(C19:N19)</calculatedColumnFormula>
    </tableColumn>
    <tableColumn id="15" name="Trend" dataDxfId="3652" totalsRowDxfId="3651"/>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41.xml><?xml version="1.0" encoding="utf-8"?>
<table xmlns="http://schemas.openxmlformats.org/spreadsheetml/2006/main" id="41" name="ExpJul42" displayName="ExpJul42" ref="B4:G17" totalsRowCount="1" headerRowDxfId="3635" dataDxfId="3633" totalsRowDxfId="3634">
  <autoFilter ref="B4:G16"/>
  <tableColumns count="6">
    <tableColumn id="1" name="Date" totalsRowLabel="Total" dataDxfId="3647" totalsRowDxfId="3646"/>
    <tableColumn id="2" name="W/O#" dataDxfId="3645" totalsRowDxfId="3644"/>
    <tableColumn id="3" name="Amount" totalsRowFunction="sum" dataDxfId="3643" totalsRowDxfId="3642"/>
    <tableColumn id="4" name="Category" dataDxfId="3641" totalsRowDxfId="3640"/>
    <tableColumn id="6" name="Description         Bin Number      Number used" dataDxfId="3639" totalsRowDxfId="3638"/>
    <tableColumn id="5" name="Part Number - Mileage - Mech Name" dataDxfId="3637" totalsRowDxfId="3636"/>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42.xml><?xml version="1.0" encoding="utf-8"?>
<table xmlns="http://schemas.openxmlformats.org/spreadsheetml/2006/main" id="42" name="ExpAug43" displayName="ExpAug43" ref="B21:G33" totalsRowCount="1" headerRowDxfId="3620" dataDxfId="3618" totalsRowDxfId="3619">
  <autoFilter ref="B21:G32"/>
  <tableColumns count="6">
    <tableColumn id="1" name="Date" totalsRowLabel="Total" dataDxfId="3632" totalsRowDxfId="3631"/>
    <tableColumn id="2" name="W/O" dataDxfId="3630" totalsRowDxfId="3629"/>
    <tableColumn id="3" name="Amount" totalsRowFunction="sum" dataDxfId="3628" totalsRowDxfId="3627"/>
    <tableColumn id="4" name="Category" dataDxfId="3626" totalsRowDxfId="3625"/>
    <tableColumn id="8" name="Description         Bin Number      Number used" dataDxfId="3624" totalsRowDxfId="3623"/>
    <tableColumn id="5" name="Part Number - Mileage - Mech Name" dataDxfId="3622" totalsRowDxfId="3621"/>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43.xml><?xml version="1.0" encoding="utf-8"?>
<table xmlns="http://schemas.openxmlformats.org/spreadsheetml/2006/main" id="43" name="ExpSep44" displayName="ExpSep44" ref="B37:G52" totalsRowCount="1" headerRowDxfId="3605" dataDxfId="3603" totalsRowDxfId="3604">
  <autoFilter ref="B37:G51"/>
  <tableColumns count="6">
    <tableColumn id="1" name="Date" totalsRowLabel="Total" dataDxfId="3617" totalsRowDxfId="3616"/>
    <tableColumn id="2" name="W/O" dataDxfId="3615" totalsRowDxfId="3614"/>
    <tableColumn id="3" name="Amount" totalsRowFunction="sum" dataDxfId="3613" totalsRowDxfId="3612"/>
    <tableColumn id="4" name="Category" dataDxfId="3611" totalsRowDxfId="3610"/>
    <tableColumn id="6" name="Description         Bin Number      Number used" dataDxfId="3609" totalsRowDxfId="3608"/>
    <tableColumn id="5" name="Part Number - Mileage - Mech Name" dataDxfId="3607" totalsRowDxfId="3606"/>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44.xml><?xml version="1.0" encoding="utf-8"?>
<table xmlns="http://schemas.openxmlformats.org/spreadsheetml/2006/main" id="44" name="ExpOct45" displayName="ExpOct45" ref="B56:G68" totalsRowCount="1" headerRowDxfId="3590" dataDxfId="3588" totalsRowDxfId="3589">
  <autoFilter ref="B56:G67"/>
  <tableColumns count="6">
    <tableColumn id="1" name="Date" totalsRowLabel="Total" dataDxfId="3602" totalsRowDxfId="3601"/>
    <tableColumn id="2" name="W/O" dataDxfId="3600" totalsRowDxfId="3599"/>
    <tableColumn id="3" name="Amount" totalsRowFunction="sum" dataDxfId="3598" totalsRowDxfId="3597"/>
    <tableColumn id="4" name="Category" dataDxfId="3596" totalsRowDxfId="3595"/>
    <tableColumn id="6" name="Description         Bin Number      Number used" dataDxfId="3594" totalsRowDxfId="3593"/>
    <tableColumn id="5" name="Part Number - Mileage - Mech Name" dataDxfId="3592" totalsRowDxfId="3591"/>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45.xml><?xml version="1.0" encoding="utf-8"?>
<table xmlns="http://schemas.openxmlformats.org/spreadsheetml/2006/main" id="45" name="ExpNov46" displayName="ExpNov46" ref="B72:G84" totalsRowCount="1" headerRowDxfId="3575" dataDxfId="3573" totalsRowDxfId="3574">
  <autoFilter ref="B72:G83"/>
  <tableColumns count="6">
    <tableColumn id="1" name="Date" totalsRowLabel="Total" dataDxfId="3587" totalsRowDxfId="3586"/>
    <tableColumn id="2" name="W/O" dataDxfId="3585" totalsRowDxfId="3584"/>
    <tableColumn id="3" name="Amount" totalsRowFunction="sum" dataDxfId="3583" totalsRowDxfId="3582"/>
    <tableColumn id="4" name="Category" dataDxfId="3581" totalsRowDxfId="3580"/>
    <tableColumn id="6" name="Column1" dataDxfId="3579" totalsRowDxfId="3578"/>
    <tableColumn id="5" name="Description" dataDxfId="3577" totalsRowDxfId="3576"/>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46.xml><?xml version="1.0" encoding="utf-8"?>
<table xmlns="http://schemas.openxmlformats.org/spreadsheetml/2006/main" id="46" name="ExpDec47" displayName="ExpDec47" ref="B88:G99" totalsRowCount="1" headerRowDxfId="3560" dataDxfId="3558" totalsRowDxfId="3559">
  <autoFilter ref="B88:G98"/>
  <tableColumns count="6">
    <tableColumn id="1" name="Date" totalsRowLabel="Total" dataDxfId="3572" totalsRowDxfId="3571"/>
    <tableColumn id="2" name="W/O" dataDxfId="3570" totalsRowDxfId="3569"/>
    <tableColumn id="3" name="Amount" totalsRowFunction="sum" dataDxfId="3568" totalsRowDxfId="3567"/>
    <tableColumn id="4" name="Category" dataDxfId="3566" totalsRowDxfId="3565"/>
    <tableColumn id="6" name="Column1" dataDxfId="3564" totalsRowDxfId="3563"/>
    <tableColumn id="5" name="Description" dataDxfId="3562" totalsRowDxfId="3561"/>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47.xml><?xml version="1.0" encoding="utf-8"?>
<table xmlns="http://schemas.openxmlformats.org/spreadsheetml/2006/main" id="47" name="ExpJan48" displayName="ExpJan48" ref="B103:G115" totalsRowCount="1" headerRowDxfId="3545" dataDxfId="3543" totalsRowDxfId="3544">
  <autoFilter ref="B103:G114"/>
  <tableColumns count="6">
    <tableColumn id="1" name="Date" totalsRowLabel="Total" dataDxfId="3557" totalsRowDxfId="3556"/>
    <tableColumn id="2" name="Work Order" dataDxfId="3555" totalsRowDxfId="3554"/>
    <tableColumn id="3" name="Amount" totalsRowFunction="sum" dataDxfId="3553" totalsRowDxfId="3552"/>
    <tableColumn id="4" name="Category" dataDxfId="3551" totalsRowDxfId="3550"/>
    <tableColumn id="6" name="Column1" dataDxfId="3549" totalsRowDxfId="3548"/>
    <tableColumn id="5" name="Description" dataDxfId="3547" totalsRowDxfId="3546"/>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48.xml><?xml version="1.0" encoding="utf-8"?>
<table xmlns="http://schemas.openxmlformats.org/spreadsheetml/2006/main" id="48" name="ExpFeb49" displayName="ExpFeb49" ref="B119:G128" totalsRowCount="1" headerRowDxfId="3530" dataDxfId="3528" totalsRowDxfId="3529">
  <autoFilter ref="B119:G127"/>
  <tableColumns count="6">
    <tableColumn id="1" name="Date" totalsRowLabel="Total" dataDxfId="3542" totalsRowDxfId="3541"/>
    <tableColumn id="2" name="W/O" dataDxfId="3540" totalsRowDxfId="3539"/>
    <tableColumn id="3" name="Amount" totalsRowFunction="sum" dataDxfId="3538" totalsRowDxfId="3537"/>
    <tableColumn id="4" name="Category" dataDxfId="3536" totalsRowDxfId="3535"/>
    <tableColumn id="5" name="Description Bin-Number" dataDxfId="3534" totalsRowDxfId="3533"/>
    <tableColumn id="6" name="Part Number - Mileage - Mech Name" dataDxfId="3532" totalsRowDxfId="3531"/>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49.xml><?xml version="1.0" encoding="utf-8"?>
<table xmlns="http://schemas.openxmlformats.org/spreadsheetml/2006/main" id="49" name="ExpMar50" displayName="ExpMar50" ref="B132:G146" totalsRowCount="1" headerRowDxfId="3515" dataDxfId="3513" totalsRowDxfId="3514">
  <autoFilter ref="B132:G145"/>
  <tableColumns count="6">
    <tableColumn id="1" name="Date" totalsRowLabel="Total" dataDxfId="3527" totalsRowDxfId="3526"/>
    <tableColumn id="2" name="W/O" dataDxfId="3525" totalsRowDxfId="3524"/>
    <tableColumn id="3" name="Amount" totalsRowFunction="sum" dataDxfId="3523" totalsRowDxfId="3522"/>
    <tableColumn id="4" name="Category" dataDxfId="3521" totalsRowDxfId="3520"/>
    <tableColumn id="5" name="Description         Bin Number      Number used" dataDxfId="3519" totalsRowDxfId="3518"/>
    <tableColumn id="6" name="Part Number - Mileage - Mech Name" dataDxfId="3517" totalsRowDxfId="3516"/>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5.xml><?xml version="1.0" encoding="utf-8"?>
<table xmlns="http://schemas.openxmlformats.org/spreadsheetml/2006/main" id="11" name="ExpOct" displayName="ExpOct" ref="B58:G73" totalsRowCount="1" headerRowDxfId="4229" dataDxfId="4227" totalsRowDxfId="4228">
  <autoFilter ref="B58:G72"/>
  <tableColumns count="6">
    <tableColumn id="1" name="Date" totalsRowLabel="Total" dataDxfId="4241" totalsRowDxfId="4240"/>
    <tableColumn id="2" name="W/O" dataDxfId="4239" totalsRowDxfId="4238"/>
    <tableColumn id="3" name="Amount" totalsRowFunction="sum" dataDxfId="4237" totalsRowDxfId="4236"/>
    <tableColumn id="4" name="Category" dataDxfId="4235" totalsRowDxfId="4234"/>
    <tableColumn id="6" name="Description         Bin Number    number used" dataDxfId="4233" totalsRowDxfId="4232"/>
    <tableColumn id="5" name="Part Number - Mileage - Mech Name" dataDxfId="4231" totalsRowDxfId="4230"/>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50.xml><?xml version="1.0" encoding="utf-8"?>
<table xmlns="http://schemas.openxmlformats.org/spreadsheetml/2006/main" id="50" name="ExpApr51" displayName="ExpApr51" ref="B150:G167" totalsRowCount="1" headerRowDxfId="3500" dataDxfId="3498" totalsRowDxfId="3499">
  <autoFilter ref="B150:G166"/>
  <tableColumns count="6">
    <tableColumn id="1" name="Date" totalsRowLabel="Total" dataDxfId="3512" totalsRowDxfId="3511"/>
    <tableColumn id="2" name="w/o" dataDxfId="3510" totalsRowDxfId="3509"/>
    <tableColumn id="3" name="Amount" totalsRowFunction="sum" dataDxfId="3508" totalsRowDxfId="3507"/>
    <tableColumn id="4" name="Category" dataDxfId="3506" totalsRowDxfId="3505"/>
    <tableColumn id="6" name="Description         Bin Number      Number used" dataDxfId="3504" totalsRowDxfId="3503"/>
    <tableColumn id="5" name="Part Number - Mileage - Mech Name" dataDxfId="3502" totalsRowDxfId="3501"/>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51.xml><?xml version="1.0" encoding="utf-8"?>
<table xmlns="http://schemas.openxmlformats.org/spreadsheetml/2006/main" id="51" name="ExpMay52" displayName="ExpMay52" ref="B171:G179" totalsRowCount="1" headerRowDxfId="3485" dataDxfId="3483" totalsRowDxfId="3484">
  <autoFilter ref="B171:G178"/>
  <tableColumns count="6">
    <tableColumn id="1" name="Date" totalsRowLabel="Total" dataDxfId="3497" totalsRowDxfId="3496"/>
    <tableColumn id="2" name="W/O" dataDxfId="3495" totalsRowDxfId="3494"/>
    <tableColumn id="3" name="Amount" totalsRowFunction="sum" dataDxfId="3493" totalsRowDxfId="3492"/>
    <tableColumn id="4" name="Category" dataDxfId="3491" totalsRowDxfId="3490"/>
    <tableColumn id="6" name="Description         Bin Number      Number used" dataDxfId="3489" totalsRowDxfId="3488"/>
    <tableColumn id="5" name="Part Number - Mileage - Mech Name" dataDxfId="3487" totalsRowDxfId="3486"/>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52.xml><?xml version="1.0" encoding="utf-8"?>
<table xmlns="http://schemas.openxmlformats.org/spreadsheetml/2006/main" id="52" name="ExpJun53" displayName="ExpJun53" ref="B183:G195" totalsRowCount="1" headerRowDxfId="3470" dataDxfId="3468" totalsRowDxfId="3469">
  <autoFilter ref="B183:G194"/>
  <tableColumns count="6">
    <tableColumn id="1" name="Date" totalsRowLabel="Total" dataDxfId="3482" totalsRowDxfId="3481"/>
    <tableColumn id="2" name="W/O #" dataDxfId="3480" totalsRowDxfId="3479"/>
    <tableColumn id="3" name="Amount" totalsRowFunction="sum" dataDxfId="3478" totalsRowDxfId="3477"/>
    <tableColumn id="4" name="Category" dataDxfId="3476" totalsRowDxfId="3475"/>
    <tableColumn id="6" name="Description         Bin Number      Number used" dataDxfId="3474" totalsRowDxfId="3473"/>
    <tableColumn id="5" name="Part Number - Mileage - Mech Name" dataDxfId="3472" totalsRowDxfId="3471"/>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53.xml><?xml version="1.0" encoding="utf-8"?>
<table xmlns="http://schemas.openxmlformats.org/spreadsheetml/2006/main" id="53" name="ExpenseSummary54" displayName="ExpenseSummary54" ref="B18:P39" totalsRowCount="1" headerRowDxfId="3437" dataDxfId="3435" totalsRowDxfId="3436">
  <autoFilter ref="B18:P38">
    <filterColumn colId="0">
      <customFilters>
        <customFilter operator="notEqual" val=" "/>
      </customFilters>
    </filterColumn>
  </autoFilter>
  <tableColumns count="15">
    <tableColumn id="1" name="Expenses" totalsRowLabel="Total" dataDxfId="3467" totalsRowDxfId="3466" dataCellStyle="Normal 2"/>
    <tableColumn id="2" name="Jan" totalsRowFunction="sum" dataDxfId="3465" totalsRowDxfId="3464" dataCellStyle="Normal 2"/>
    <tableColumn id="3" name="Feb" totalsRowFunction="sum" dataDxfId="3463" totalsRowDxfId="3462" dataCellStyle="Normal 2"/>
    <tableColumn id="4" name="Mar" totalsRowFunction="sum" dataDxfId="3461" totalsRowDxfId="3460" dataCellStyle="Normal 2"/>
    <tableColumn id="5" name="Apr" totalsRowFunction="sum" dataDxfId="3459" totalsRowDxfId="3458" dataCellStyle="Normal 2"/>
    <tableColumn id="6" name="May" totalsRowFunction="sum" dataDxfId="3457" totalsRowDxfId="3456" dataCellStyle="Normal 2"/>
    <tableColumn id="7" name="Jun" totalsRowFunction="sum" dataDxfId="3455" totalsRowDxfId="3454" dataCellStyle="Normal 2"/>
    <tableColumn id="8" name="Jul" totalsRowFunction="sum" dataDxfId="3453" totalsRowDxfId="3452" dataCellStyle="Normal 2"/>
    <tableColumn id="9" name="Aug" totalsRowFunction="sum" dataDxfId="3451" totalsRowDxfId="3450" dataCellStyle="Normal 2"/>
    <tableColumn id="10" name="Sep" totalsRowFunction="sum" dataDxfId="3449" totalsRowDxfId="3448" dataCellStyle="Normal 2"/>
    <tableColumn id="11" name="Oct" totalsRowFunction="sum" dataDxfId="3447" totalsRowDxfId="3446" dataCellStyle="Normal 2"/>
    <tableColumn id="12" name="Nov" totalsRowFunction="sum" dataDxfId="3445" totalsRowDxfId="3444" dataCellStyle="Normal 2"/>
    <tableColumn id="13" name="Dec" totalsRowFunction="sum" dataDxfId="3443" totalsRowDxfId="3442" dataCellStyle="Normal 2"/>
    <tableColumn id="14" name="Total" totalsRowFunction="sum" dataDxfId="3441" totalsRowDxfId="3440" dataCellStyle="Normal 2">
      <calculatedColumnFormula>SUM(C19:N19)</calculatedColumnFormula>
    </tableColumn>
    <tableColumn id="15" name="Trend" dataDxfId="3439" totalsRowDxfId="3438" dataCellStyle="Normal 2"/>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54.xml><?xml version="1.0" encoding="utf-8"?>
<table xmlns="http://schemas.openxmlformats.org/spreadsheetml/2006/main" id="54" name="ExpJul55" displayName="ExpJul55" ref="B4:G18" totalsRowCount="1" headerRowDxfId="3422" dataDxfId="3420" totalsRowDxfId="3421">
  <autoFilter ref="B4:G17"/>
  <tableColumns count="6">
    <tableColumn id="1" name="Date" totalsRowLabel="Total" dataDxfId="3434" totalsRowDxfId="3433"/>
    <tableColumn id="2" name="W/O#" dataDxfId="3432" totalsRowDxfId="3431"/>
    <tableColumn id="3" name="Amount" totalsRowFunction="sum" dataDxfId="3430" totalsRowDxfId="3429"/>
    <tableColumn id="4" name="Category" dataDxfId="3428" totalsRowDxfId="3427"/>
    <tableColumn id="6" name="Description       Bin Number   Number used" dataDxfId="3426" totalsRowDxfId="3425"/>
    <tableColumn id="5" name="Part Number - Mileage - Mech Name" dataDxfId="3424" totalsRowDxfId="3423"/>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55.xml><?xml version="1.0" encoding="utf-8"?>
<table xmlns="http://schemas.openxmlformats.org/spreadsheetml/2006/main" id="56" name="ExpAug57" displayName="ExpAug57" ref="B22:G40" totalsRowCount="1" headerRowDxfId="3407" dataDxfId="3405" totalsRowDxfId="3406">
  <autoFilter ref="B22:G39"/>
  <tableColumns count="6">
    <tableColumn id="1" name="Date" totalsRowLabel="Total" dataDxfId="3419" totalsRowDxfId="3418"/>
    <tableColumn id="2" name="PO#" dataDxfId="3417" totalsRowDxfId="3416"/>
    <tableColumn id="3" name="Amount" totalsRowFunction="sum" dataDxfId="3415" totalsRowDxfId="3414"/>
    <tableColumn id="4" name="Category" dataDxfId="3413" totalsRowDxfId="3412"/>
    <tableColumn id="6" name="Description       Bin Number   Number used" dataDxfId="3411" totalsRowDxfId="3410"/>
    <tableColumn id="5" name="Part Number - Mileage - Mech Name" dataDxfId="3409" totalsRowDxfId="3408"/>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56.xml><?xml version="1.0" encoding="utf-8"?>
<table xmlns="http://schemas.openxmlformats.org/spreadsheetml/2006/main" id="57" name="ExpSep58" displayName="ExpSep58" ref="B44:G54" totalsRowCount="1" headerRowDxfId="3392" dataDxfId="3390" totalsRowDxfId="3391">
  <autoFilter ref="B44:G53"/>
  <tableColumns count="6">
    <tableColumn id="1" name="Date" totalsRowLabel="Total" dataDxfId="3404" totalsRowDxfId="3403"/>
    <tableColumn id="2" name="PO#" dataDxfId="3402" totalsRowDxfId="3401"/>
    <tableColumn id="3" name="Amount" totalsRowFunction="sum" dataDxfId="3400" totalsRowDxfId="3399"/>
    <tableColumn id="4" name="Category" dataDxfId="3398" totalsRowDxfId="3397"/>
    <tableColumn id="6" name="Description       Bin Number   Number used" dataDxfId="3396" totalsRowDxfId="3395"/>
    <tableColumn id="5" name="Part Number - Mileage - Mech Name" dataDxfId="3394" totalsRowDxfId="3393"/>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57.xml><?xml version="1.0" encoding="utf-8"?>
<table xmlns="http://schemas.openxmlformats.org/spreadsheetml/2006/main" id="58" name="ExpOct59" displayName="ExpOct59" ref="B58:G78" totalsRowCount="1" headerRowDxfId="3377" dataDxfId="3375" totalsRowDxfId="3376">
  <autoFilter ref="B58:G77"/>
  <tableColumns count="6">
    <tableColumn id="1" name="Date" totalsRowLabel="Total" dataDxfId="3389" totalsRowDxfId="3388"/>
    <tableColumn id="2" name="W/O" dataDxfId="3387" totalsRowDxfId="3386"/>
    <tableColumn id="3" name="Amount" totalsRowFunction="sum" dataDxfId="3385" totalsRowDxfId="3384"/>
    <tableColumn id="4" name="Category" dataDxfId="3383" totalsRowDxfId="3382"/>
    <tableColumn id="6" name="Description       Bin Number   Number used" dataDxfId="3381" totalsRowDxfId="3380"/>
    <tableColumn id="5" name="Part Number - Mileage - Mech Name" dataDxfId="3379" totalsRowDxfId="3378"/>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58.xml><?xml version="1.0" encoding="utf-8"?>
<table xmlns="http://schemas.openxmlformats.org/spreadsheetml/2006/main" id="59" name="ExpNov60" displayName="ExpNov60" ref="B82:G93" totalsRowCount="1" headerRowDxfId="3362" dataDxfId="3360" totalsRowDxfId="3361">
  <autoFilter ref="B82:G92"/>
  <tableColumns count="6">
    <tableColumn id="1" name="Date" totalsRowLabel="Total" dataDxfId="3374" totalsRowDxfId="3373"/>
    <tableColumn id="2" name="W/O" dataDxfId="3372" totalsRowDxfId="3371"/>
    <tableColumn id="3" name="Amount" totalsRowFunction="sum" dataDxfId="3370" totalsRowDxfId="3369"/>
    <tableColumn id="4" name="Category" dataDxfId="3368" totalsRowDxfId="3367"/>
    <tableColumn id="6" name="Column1" dataDxfId="3366" totalsRowDxfId="3365"/>
    <tableColumn id="5" name="Description" dataDxfId="3364" totalsRowDxfId="3363"/>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59.xml><?xml version="1.0" encoding="utf-8"?>
<table xmlns="http://schemas.openxmlformats.org/spreadsheetml/2006/main" id="60" name="ExpDec61" displayName="ExpDec61" ref="B97:G104" totalsRowCount="1" headerRowDxfId="3347" dataDxfId="3345" totalsRowDxfId="3346">
  <autoFilter ref="B97:G103"/>
  <tableColumns count="6">
    <tableColumn id="1" name="Date" totalsRowLabel="Total" dataDxfId="3359" totalsRowDxfId="3358"/>
    <tableColumn id="2" name="W/O" dataDxfId="3357" totalsRowDxfId="3356"/>
    <tableColumn id="3" name="Amount" totalsRowFunction="sum" dataDxfId="3355" totalsRowDxfId="3354"/>
    <tableColumn id="4" name="Category" dataDxfId="3353" totalsRowDxfId="3352"/>
    <tableColumn id="6" name="Column1" dataDxfId="3351" totalsRowDxfId="3350"/>
    <tableColumn id="5" name="Description" dataDxfId="3349" totalsRowDxfId="3348"/>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6.xml><?xml version="1.0" encoding="utf-8"?>
<table xmlns="http://schemas.openxmlformats.org/spreadsheetml/2006/main" id="13" name="ExpNov" displayName="ExpNov" ref="B77:G92" totalsRowCount="1" headerRowDxfId="4214" dataDxfId="4212" totalsRowDxfId="4213">
  <autoFilter ref="B77:G91"/>
  <tableColumns count="6">
    <tableColumn id="1" name="Date" totalsRowLabel="Total" dataDxfId="4226" totalsRowDxfId="4225"/>
    <tableColumn id="2" name="W/O" dataDxfId="4224" totalsRowDxfId="4223"/>
    <tableColumn id="3" name="Amount" totalsRowFunction="sum" dataDxfId="4222" totalsRowDxfId="4221"/>
    <tableColumn id="4" name="Category" dataDxfId="4220" totalsRowDxfId="4219"/>
    <tableColumn id="6" name="Column1" dataDxfId="4218" totalsRowDxfId="4217"/>
    <tableColumn id="5" name="Description" dataDxfId="4216" totalsRowDxfId="4215"/>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60.xml><?xml version="1.0" encoding="utf-8"?>
<table xmlns="http://schemas.openxmlformats.org/spreadsheetml/2006/main" id="61" name="ExpJan62" displayName="ExpJan62" ref="B108:G118" totalsRowCount="1" headerRowDxfId="3332" dataDxfId="3330" totalsRowDxfId="3331">
  <autoFilter ref="B108:G117"/>
  <tableColumns count="6">
    <tableColumn id="1" name="Date" totalsRowLabel="Total" dataDxfId="3344" totalsRowDxfId="3343"/>
    <tableColumn id="2" name="Work Order" dataDxfId="3342" totalsRowDxfId="3341"/>
    <tableColumn id="3" name="Amount" totalsRowFunction="sum" dataDxfId="3340" totalsRowDxfId="3339"/>
    <tableColumn id="4" name="Category" dataDxfId="3338" totalsRowDxfId="3337"/>
    <tableColumn id="6" name="Column1" dataDxfId="3336" totalsRowDxfId="3335"/>
    <tableColumn id="5" name="Description" dataDxfId="3334" totalsRowDxfId="3333"/>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61.xml><?xml version="1.0" encoding="utf-8"?>
<table xmlns="http://schemas.openxmlformats.org/spreadsheetml/2006/main" id="62" name="ExpFeb63" displayName="ExpFeb63" ref="B122:G138" totalsRowCount="1" headerRowDxfId="3317" dataDxfId="3315" totalsRowDxfId="3316">
  <autoFilter ref="B122:G137"/>
  <tableColumns count="6">
    <tableColumn id="1" name="Date" totalsRowLabel="Total" dataDxfId="3329" totalsRowDxfId="3328"/>
    <tableColumn id="2" name="W/O" dataDxfId="3327" totalsRowDxfId="3326"/>
    <tableColumn id="3" name="Amount" totalsRowFunction="sum" dataDxfId="3325" totalsRowDxfId="3324"/>
    <tableColumn id="4" name="Category" dataDxfId="3323" totalsRowDxfId="3322"/>
    <tableColumn id="5" name="Description       Bin Number   Number used" dataDxfId="3321" totalsRowDxfId="3320"/>
    <tableColumn id="6" name="Part Number - Mileage - Mech Name" dataDxfId="3319" totalsRowDxfId="3318"/>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62.xml><?xml version="1.0" encoding="utf-8"?>
<table xmlns="http://schemas.openxmlformats.org/spreadsheetml/2006/main" id="63" name="ExpMar64" displayName="ExpMar64" ref="B142:G150" totalsRowCount="1" headerRowDxfId="3302" dataDxfId="3300" totalsRowDxfId="3301">
  <autoFilter ref="B142:G149"/>
  <tableColumns count="6">
    <tableColumn id="1" name="Date" totalsRowLabel="Total" dataDxfId="3314" totalsRowDxfId="3313"/>
    <tableColumn id="2" name="W/O" dataDxfId="3312" totalsRowDxfId="3311"/>
    <tableColumn id="3" name="Amount" totalsRowFunction="sum" dataDxfId="3310" totalsRowDxfId="3309"/>
    <tableColumn id="4" name="Category" dataDxfId="3308" totalsRowDxfId="3307"/>
    <tableColumn id="6" name="Column1" dataDxfId="3306" totalsRowDxfId="3305"/>
    <tableColumn id="5" name="Description" dataDxfId="3304" totalsRowDxfId="3303"/>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63.xml><?xml version="1.0" encoding="utf-8"?>
<table xmlns="http://schemas.openxmlformats.org/spreadsheetml/2006/main" id="64" name="ExpApr65" displayName="ExpApr65" ref="B154:G170" totalsRowCount="1" headerRowDxfId="3287" dataDxfId="3285" totalsRowDxfId="3286">
  <autoFilter ref="B154:G169"/>
  <tableColumns count="6">
    <tableColumn id="1" name="Date" totalsRowLabel="Total" dataDxfId="3299" totalsRowDxfId="3298"/>
    <tableColumn id="2" name="w/o" dataDxfId="3297" totalsRowDxfId="3296"/>
    <tableColumn id="3" name="Amount" totalsRowFunction="sum" dataDxfId="3295" totalsRowDxfId="3294"/>
    <tableColumn id="4" name="Category" dataDxfId="3293" totalsRowDxfId="3292"/>
    <tableColumn id="6" name="Description       Bin Number   Number used" dataDxfId="3291" totalsRowDxfId="3290"/>
    <tableColumn id="5" name="Part Number - Mileage - Mech Name" dataDxfId="3289" totalsRowDxfId="3288"/>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64.xml><?xml version="1.0" encoding="utf-8"?>
<table xmlns="http://schemas.openxmlformats.org/spreadsheetml/2006/main" id="65" name="ExpMay66" displayName="ExpMay66" ref="B174:G185" totalsRowCount="1" headerRowDxfId="3272" dataDxfId="3270" totalsRowDxfId="3271">
  <autoFilter ref="B174:G184"/>
  <tableColumns count="6">
    <tableColumn id="1" name="Date" totalsRowLabel="Total" dataDxfId="3284" totalsRowDxfId="3283"/>
    <tableColumn id="2" name="W/O" dataDxfId="3282" totalsRowDxfId="3281"/>
    <tableColumn id="3" name="Amount" totalsRowFunction="sum" dataDxfId="3280" totalsRowDxfId="3279"/>
    <tableColumn id="4" name="Category" dataDxfId="3278" totalsRowDxfId="3277"/>
    <tableColumn id="6" name="Description       Bin Number   Number used" dataDxfId="3276" totalsRowDxfId="3275"/>
    <tableColumn id="5" name="Part Number - Mileage - Mech Name" dataDxfId="3274" totalsRowDxfId="3273"/>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65.xml><?xml version="1.0" encoding="utf-8"?>
<table xmlns="http://schemas.openxmlformats.org/spreadsheetml/2006/main" id="66" name="ExpJun67" displayName="ExpJun67" ref="B189:G203" totalsRowCount="1" headerRowDxfId="3257" dataDxfId="3255" totalsRowDxfId="3256">
  <autoFilter ref="B189:G202"/>
  <tableColumns count="6">
    <tableColumn id="1" name="Date" totalsRowLabel="Total" dataDxfId="3269" totalsRowDxfId="3268"/>
    <tableColumn id="2" name="W/O #" dataDxfId="3267" totalsRowDxfId="3266"/>
    <tableColumn id="3" name="Amount" totalsRowFunction="sum" dataDxfId="3265" totalsRowDxfId="3264"/>
    <tableColumn id="4" name="Category" dataDxfId="3263" totalsRowDxfId="3262"/>
    <tableColumn id="6" name="Description       Bin Number   Number used" dataDxfId="3261" totalsRowDxfId="3260"/>
    <tableColumn id="5" name="Part Number - Mileage - Mech Name" dataDxfId="3259" totalsRowDxfId="3258"/>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66.xml><?xml version="1.0" encoding="utf-8"?>
<table xmlns="http://schemas.openxmlformats.org/spreadsheetml/2006/main" id="67" name="ExpenseSummary68" displayName="ExpenseSummary68" ref="B18:P39" totalsRowCount="1" headerRowDxfId="3224" dataDxfId="3222" totalsRowDxfId="3223">
  <autoFilter ref="B18:P38">
    <filterColumn colId="0">
      <customFilters>
        <customFilter operator="notEqual" val=" "/>
      </customFilters>
    </filterColumn>
  </autoFilter>
  <tableColumns count="15">
    <tableColumn id="1" name="Expenses" totalsRowLabel="Total" dataDxfId="3254" totalsRowDxfId="3253"/>
    <tableColumn id="2" name="Jan" totalsRowFunction="sum" dataDxfId="3252" totalsRowDxfId="3251"/>
    <tableColumn id="3" name="Feb" totalsRowFunction="sum" dataDxfId="3250" totalsRowDxfId="3249"/>
    <tableColumn id="4" name="Mar" totalsRowFunction="sum" dataDxfId="3248" totalsRowDxfId="3247"/>
    <tableColumn id="5" name="Apr" totalsRowFunction="sum" dataDxfId="3246" totalsRowDxfId="3245"/>
    <tableColumn id="6" name="May" totalsRowFunction="sum" dataDxfId="3244" totalsRowDxfId="3243"/>
    <tableColumn id="7" name="Jun" totalsRowFunction="sum" dataDxfId="3242" totalsRowDxfId="3241"/>
    <tableColumn id="8" name="Jul" totalsRowFunction="sum" dataDxfId="3240" totalsRowDxfId="3239"/>
    <tableColumn id="9" name="Aug" totalsRowFunction="sum" dataDxfId="3238" totalsRowDxfId="3237"/>
    <tableColumn id="10" name="Sep" totalsRowFunction="sum" dataDxfId="3236" totalsRowDxfId="3235"/>
    <tableColumn id="11" name="Oct" totalsRowFunction="sum" dataDxfId="3234" totalsRowDxfId="3233"/>
    <tableColumn id="12" name="Nov" totalsRowFunction="sum" dataDxfId="3232" totalsRowDxfId="3231"/>
    <tableColumn id="13" name="Dec" totalsRowFunction="sum" dataDxfId="3230" totalsRowDxfId="3229"/>
    <tableColumn id="14" name="Total" totalsRowFunction="sum" dataDxfId="3228" totalsRowDxfId="3227">
      <calculatedColumnFormula>SUM(C19:N19)</calculatedColumnFormula>
    </tableColumn>
    <tableColumn id="15" name="Trend" dataDxfId="3226" totalsRowDxfId="3225"/>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67.xml><?xml version="1.0" encoding="utf-8"?>
<table xmlns="http://schemas.openxmlformats.org/spreadsheetml/2006/main" id="68" name="ExpJul69" displayName="ExpJul69" ref="B4:G25" totalsRowCount="1" headerRowDxfId="3209" dataDxfId="3207" totalsRowDxfId="3208">
  <autoFilter ref="B4:G24"/>
  <tableColumns count="6">
    <tableColumn id="1" name="Date" totalsRowLabel="Total" dataDxfId="3221" totalsRowDxfId="3220"/>
    <tableColumn id="2" name="W/O#" dataDxfId="3219" totalsRowDxfId="3218"/>
    <tableColumn id="3" name="Amount" totalsRowFunction="sum" dataDxfId="3217" totalsRowDxfId="3216"/>
    <tableColumn id="4" name="Category" dataDxfId="3215" totalsRowDxfId="3214"/>
    <tableColumn id="6" name="Description -----Bin number-----used" dataDxfId="3213" totalsRowDxfId="3212"/>
    <tableColumn id="5" name="Part number------Mileage------Mech Name" dataDxfId="3211" totalsRowDxfId="3210"/>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68.xml><?xml version="1.0" encoding="utf-8"?>
<table xmlns="http://schemas.openxmlformats.org/spreadsheetml/2006/main" id="69" name="ExpAug70" displayName="ExpAug70" ref="B29:G50" totalsRowCount="1" headerRowDxfId="3194" dataDxfId="3192" totalsRowDxfId="3193">
  <autoFilter ref="B29:G49"/>
  <tableColumns count="6">
    <tableColumn id="1" name="Date" totalsRowLabel="Total" dataDxfId="3206" totalsRowDxfId="3205"/>
    <tableColumn id="2" name="PO#" dataDxfId="3204" totalsRowDxfId="3203"/>
    <tableColumn id="3" name="Amount" totalsRowFunction="sum" dataDxfId="3202" totalsRowDxfId="3201"/>
    <tableColumn id="4" name="Category" dataDxfId="3200" totalsRowDxfId="3199"/>
    <tableColumn id="6" name="Description -----Bin number-----used" dataDxfId="3198" totalsRowDxfId="3197"/>
    <tableColumn id="5" name="Part number------Mileage------Mech Name" dataDxfId="3196" totalsRowDxfId="3195"/>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69.xml><?xml version="1.0" encoding="utf-8"?>
<table xmlns="http://schemas.openxmlformats.org/spreadsheetml/2006/main" id="70" name="ExpSep71" displayName="ExpSep71" ref="B54:G77" totalsRowCount="1" headerRowDxfId="3179" dataDxfId="3177" totalsRowDxfId="3178">
  <autoFilter ref="B54:G76"/>
  <tableColumns count="6">
    <tableColumn id="1" name="Date" totalsRowLabel="Total" dataDxfId="3191" totalsRowDxfId="3190"/>
    <tableColumn id="2" name="PO#" dataDxfId="3189" totalsRowDxfId="3188"/>
    <tableColumn id="3" name="Amount" totalsRowFunction="sum" dataDxfId="3187" totalsRowDxfId="3186"/>
    <tableColumn id="4" name="Category" dataDxfId="3185" totalsRowDxfId="3184"/>
    <tableColumn id="6" name="Description -----Bin number-----used" dataDxfId="3183" totalsRowDxfId="3182"/>
    <tableColumn id="5" name="Part number------Mileage------Mech Name" dataDxfId="3181" totalsRowDxfId="3180"/>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7.xml><?xml version="1.0" encoding="utf-8"?>
<table xmlns="http://schemas.openxmlformats.org/spreadsheetml/2006/main" id="14" name="ExpDec" displayName="ExpDec" ref="B96:G115" totalsRowCount="1" headerRowDxfId="4199" dataDxfId="4197" totalsRowDxfId="4198">
  <autoFilter ref="B96:G114"/>
  <tableColumns count="6">
    <tableColumn id="1" name="Date" totalsRowLabel="Total" dataDxfId="4211" totalsRowDxfId="4210"/>
    <tableColumn id="2" name="W/O" dataDxfId="4209" totalsRowDxfId="4208"/>
    <tableColumn id="3" name="Amount" totalsRowFunction="sum" dataDxfId="4207" totalsRowDxfId="4206"/>
    <tableColumn id="4" name="Category" dataDxfId="4205" totalsRowDxfId="4204"/>
    <tableColumn id="6" name="Column1" dataDxfId="4203" totalsRowDxfId="4202"/>
    <tableColumn id="5" name="Description" dataDxfId="4201" totalsRowDxfId="4200"/>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70.xml><?xml version="1.0" encoding="utf-8"?>
<table xmlns="http://schemas.openxmlformats.org/spreadsheetml/2006/main" id="71" name="ExpOct72" displayName="ExpOct72" ref="B81:G93" totalsRowCount="1" headerRowDxfId="3164" dataDxfId="3162" totalsRowDxfId="3163">
  <autoFilter ref="B81:G92"/>
  <tableColumns count="6">
    <tableColumn id="1" name="Date" totalsRowLabel="Total" dataDxfId="3176" totalsRowDxfId="3175"/>
    <tableColumn id="2" name="W/O" dataDxfId="3174" totalsRowDxfId="3173"/>
    <tableColumn id="3" name="Amount" totalsRowFunction="sum" dataDxfId="3172" totalsRowDxfId="3171"/>
    <tableColumn id="4" name="Category" dataDxfId="3170" totalsRowDxfId="3169"/>
    <tableColumn id="6" name="Description -----Bin number-----used" dataDxfId="3168" totalsRowDxfId="3167"/>
    <tableColumn id="5" name="Part number------Mileage------Mech Name" dataDxfId="3166" totalsRowDxfId="3165"/>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71.xml><?xml version="1.0" encoding="utf-8"?>
<table xmlns="http://schemas.openxmlformats.org/spreadsheetml/2006/main" id="72" name="ExpNov73" displayName="ExpNov73" ref="B97:G108" totalsRowCount="1" headerRowDxfId="3149" dataDxfId="3147" totalsRowDxfId="3148">
  <autoFilter ref="B97:G107"/>
  <tableColumns count="6">
    <tableColumn id="1" name="Date" totalsRowLabel="Total" dataDxfId="3161" totalsRowDxfId="3160"/>
    <tableColumn id="2" name="W/O" dataDxfId="3159" totalsRowDxfId="3158"/>
    <tableColumn id="3" name="Amount" totalsRowFunction="sum" dataDxfId="3157" totalsRowDxfId="3156"/>
    <tableColumn id="4" name="Category" dataDxfId="3155" totalsRowDxfId="3154"/>
    <tableColumn id="6" name="Column1" dataDxfId="3153" totalsRowDxfId="3152"/>
    <tableColumn id="5" name="Description" dataDxfId="3151" totalsRowDxfId="3150"/>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72.xml><?xml version="1.0" encoding="utf-8"?>
<table xmlns="http://schemas.openxmlformats.org/spreadsheetml/2006/main" id="73" name="ExpDec74" displayName="ExpDec74" ref="B112:G119" totalsRowCount="1" headerRowDxfId="3134" dataDxfId="3132" totalsRowDxfId="3133">
  <autoFilter ref="B112:G118"/>
  <tableColumns count="6">
    <tableColumn id="1" name="Date" totalsRowLabel="Total" dataDxfId="3146" totalsRowDxfId="3145"/>
    <tableColumn id="2" name="W/O" dataDxfId="3144" totalsRowDxfId="3143"/>
    <tableColumn id="3" name="Amount" totalsRowFunction="sum" dataDxfId="3142" totalsRowDxfId="3141"/>
    <tableColumn id="4" name="Category" dataDxfId="3140" totalsRowDxfId="3139"/>
    <tableColumn id="6" name="Column1" dataDxfId="3138" totalsRowDxfId="3137"/>
    <tableColumn id="5" name="Description" dataDxfId="3136" totalsRowDxfId="3135"/>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73.xml><?xml version="1.0" encoding="utf-8"?>
<table xmlns="http://schemas.openxmlformats.org/spreadsheetml/2006/main" id="74" name="ExpJan75" displayName="ExpJan75" ref="B123:G135" totalsRowCount="1" headerRowDxfId="3119" dataDxfId="3117" totalsRowDxfId="3118">
  <autoFilter ref="B123:G134"/>
  <tableColumns count="6">
    <tableColumn id="1" name="Date" totalsRowLabel="Total" dataDxfId="3131" totalsRowDxfId="3130"/>
    <tableColumn id="2" name="Work Order" dataDxfId="3129" totalsRowDxfId="3128"/>
    <tableColumn id="3" name="Amount" totalsRowFunction="sum" dataDxfId="3127" totalsRowDxfId="3126"/>
    <tableColumn id="4" name="Category" dataDxfId="3125" totalsRowDxfId="3124"/>
    <tableColumn id="6" name="Column1" dataDxfId="3123" totalsRowDxfId="3122"/>
    <tableColumn id="5" name="Description" dataDxfId="3121" totalsRowDxfId="3120"/>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74.xml><?xml version="1.0" encoding="utf-8"?>
<table xmlns="http://schemas.openxmlformats.org/spreadsheetml/2006/main" id="75" name="ExpFeb76" displayName="ExpFeb76" ref="B139:G149" totalsRowCount="1" headerRowDxfId="3104" dataDxfId="3102" totalsRowDxfId="3103">
  <autoFilter ref="B139:G148"/>
  <tableColumns count="6">
    <tableColumn id="1" name="Date" totalsRowLabel="Total" dataDxfId="3116" totalsRowDxfId="3115"/>
    <tableColumn id="2" name="W/O" dataDxfId="3114" totalsRowDxfId="3113"/>
    <tableColumn id="3" name="Amount" totalsRowFunction="sum" dataDxfId="3112" totalsRowDxfId="3111"/>
    <tableColumn id="4" name="Category" dataDxfId="3110" totalsRowDxfId="3109"/>
    <tableColumn id="5" name="Description               Bin Number" dataDxfId="3108" totalsRowDxfId="3107"/>
    <tableColumn id="6" name="Part Number - Mileage - Mech Name" dataDxfId="3106" totalsRowDxfId="3105"/>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75.xml><?xml version="1.0" encoding="utf-8"?>
<table xmlns="http://schemas.openxmlformats.org/spreadsheetml/2006/main" id="76" name="ExpMar77" displayName="ExpMar77" ref="B153:G169" totalsRowCount="1" headerRowDxfId="3089" dataDxfId="3087" totalsRowDxfId="3088">
  <autoFilter ref="B153:G168"/>
  <tableColumns count="6">
    <tableColumn id="1" name="Date" totalsRowLabel="Total" dataDxfId="3101" totalsRowDxfId="3100"/>
    <tableColumn id="2" name="W/O" dataDxfId="3099" totalsRowDxfId="3098"/>
    <tableColumn id="3" name="Amount" totalsRowFunction="sum" dataDxfId="3097" totalsRowDxfId="3096"/>
    <tableColumn id="4" name="Category" dataDxfId="3095" totalsRowDxfId="3094"/>
    <tableColumn id="7" name="Description -----Bin number-----used" dataDxfId="3093" totalsRowDxfId="3092"/>
    <tableColumn id="5" name="Part number------Mileage------Mech Name" dataDxfId="3091" totalsRowDxfId="3090"/>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76.xml><?xml version="1.0" encoding="utf-8"?>
<table xmlns="http://schemas.openxmlformats.org/spreadsheetml/2006/main" id="77" name="ExpApr78" displayName="ExpApr78" ref="B173:G187" totalsRowCount="1" headerRowDxfId="3074" dataDxfId="3072" totalsRowDxfId="3073">
  <autoFilter ref="B173:G186"/>
  <tableColumns count="6">
    <tableColumn id="1" name="Date" totalsRowLabel="Total" dataDxfId="3086" totalsRowDxfId="3085"/>
    <tableColumn id="2" name="w/o" dataDxfId="3084" totalsRowDxfId="3083"/>
    <tableColumn id="3" name="Amount" totalsRowFunction="sum" dataDxfId="3082" totalsRowDxfId="3081"/>
    <tableColumn id="4" name="Category" dataDxfId="3080" totalsRowDxfId="3079"/>
    <tableColumn id="6" name="Description -----Bin number-----used" dataDxfId="3078" totalsRowDxfId="3077"/>
    <tableColumn id="5" name="Part number------Mileage------Mech Name" dataDxfId="3076" totalsRowDxfId="3075"/>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77.xml><?xml version="1.0" encoding="utf-8"?>
<table xmlns="http://schemas.openxmlformats.org/spreadsheetml/2006/main" id="78" name="ExpMay79" displayName="ExpMay79" ref="B191:G202" totalsRowCount="1" headerRowDxfId="3059" dataDxfId="3057" totalsRowDxfId="3058">
  <autoFilter ref="B191:G201"/>
  <tableColumns count="6">
    <tableColumn id="1" name="Date" totalsRowLabel="Total" dataDxfId="3071" totalsRowDxfId="3070"/>
    <tableColumn id="2" name="W/O" dataDxfId="3069" totalsRowDxfId="3068"/>
    <tableColumn id="3" name="Amount" totalsRowLabel="588.63" dataDxfId="3067" totalsRowDxfId="3066"/>
    <tableColumn id="4" name="Category" dataDxfId="3065" totalsRowDxfId="3064"/>
    <tableColumn id="6" name="Description -----Bin number-----used" dataDxfId="3063" totalsRowDxfId="3062"/>
    <tableColumn id="5" name="Part number------Mileage------Mech Name" dataDxfId="3061" totalsRowDxfId="3060"/>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78.xml><?xml version="1.0" encoding="utf-8"?>
<table xmlns="http://schemas.openxmlformats.org/spreadsheetml/2006/main" id="79" name="ExpJun80" displayName="ExpJun80" ref="B206:G218" totalsRowCount="1" headerRowDxfId="3044" dataDxfId="3042" totalsRowDxfId="3043">
  <autoFilter ref="B206:G217"/>
  <tableColumns count="6">
    <tableColumn id="1" name="Date" totalsRowLabel="Total" dataDxfId="3056" totalsRowDxfId="3055"/>
    <tableColumn id="2" name="W/O #" dataDxfId="3054" totalsRowDxfId="3053"/>
    <tableColumn id="3" name="Amount" totalsRowFunction="sum" dataDxfId="3052" totalsRowDxfId="3051"/>
    <tableColumn id="4" name="Category" dataDxfId="3050" totalsRowDxfId="3049"/>
    <tableColumn id="6" name="Description -----Bin number-----used" dataDxfId="3048" totalsRowDxfId="3047"/>
    <tableColumn id="5" name="Part number------Mileage------Mech Name" dataDxfId="3046" totalsRowDxfId="3045"/>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79.xml><?xml version="1.0" encoding="utf-8"?>
<table xmlns="http://schemas.openxmlformats.org/spreadsheetml/2006/main" id="80" name="ExpenseSummary81" displayName="ExpenseSummary81" ref="B18:P39" totalsRowCount="1" headerRowDxfId="3011" dataDxfId="3009" totalsRowDxfId="3010">
  <autoFilter ref="B18:P38">
    <filterColumn colId="0">
      <customFilters>
        <customFilter operator="notEqual" val=" "/>
      </customFilters>
    </filterColumn>
  </autoFilter>
  <tableColumns count="15">
    <tableColumn id="1" name="Expenses" totalsRowLabel="Total" dataDxfId="3041" totalsRowDxfId="3040"/>
    <tableColumn id="2" name="Jan" totalsRowFunction="sum" dataDxfId="3039" totalsRowDxfId="3038"/>
    <tableColumn id="3" name="Feb" totalsRowFunction="sum" dataDxfId="3037" totalsRowDxfId="3036"/>
    <tableColumn id="4" name="Mar" totalsRowFunction="sum" dataDxfId="3035" totalsRowDxfId="3034"/>
    <tableColumn id="5" name="Apr" totalsRowFunction="sum" dataDxfId="3033" totalsRowDxfId="3032"/>
    <tableColumn id="6" name="May" totalsRowFunction="sum" dataDxfId="3031" totalsRowDxfId="3030"/>
    <tableColumn id="7" name="Jun" totalsRowFunction="sum" dataDxfId="3029" totalsRowDxfId="3028"/>
    <tableColumn id="8" name="Jul" totalsRowFunction="sum" dataDxfId="3027" totalsRowDxfId="3026"/>
    <tableColumn id="9" name="Aug" totalsRowFunction="sum" dataDxfId="3025" totalsRowDxfId="3024"/>
    <tableColumn id="10" name="Sep" totalsRowFunction="sum" dataDxfId="3023" totalsRowDxfId="3022"/>
    <tableColumn id="11" name="Oct" totalsRowFunction="sum" dataDxfId="3021" totalsRowDxfId="3020"/>
    <tableColumn id="12" name="Nov" totalsRowFunction="sum" dataDxfId="3019" totalsRowDxfId="3018"/>
    <tableColumn id="13" name="Dec" totalsRowFunction="sum" dataDxfId="3017" totalsRowDxfId="3016"/>
    <tableColumn id="14" name="Total" totalsRowFunction="sum" dataDxfId="3015" totalsRowDxfId="3014">
      <calculatedColumnFormula>SUM(C19:N19)</calculatedColumnFormula>
    </tableColumn>
    <tableColumn id="15" name="Trend" dataDxfId="3013" totalsRowDxfId="3012"/>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8.xml><?xml version="1.0" encoding="utf-8"?>
<table xmlns="http://schemas.openxmlformats.org/spreadsheetml/2006/main" id="15" name="ExpJan" displayName="ExpJan" ref="B119:G140" totalsRowCount="1" headerRowDxfId="4184" dataDxfId="4182" totalsRowDxfId="4183">
  <autoFilter ref="B119:G139"/>
  <tableColumns count="6">
    <tableColumn id="1" name="Date" totalsRowLabel="Total" dataDxfId="4196" totalsRowDxfId="4195"/>
    <tableColumn id="2" name="Work Order" dataDxfId="4194" totalsRowDxfId="4193"/>
    <tableColumn id="3" name="Amount" totalsRowFunction="sum" dataDxfId="4192" totalsRowDxfId="4191"/>
    <tableColumn id="4" name="Category" dataDxfId="4190" totalsRowDxfId="4189"/>
    <tableColumn id="6" name="Column1" dataDxfId="4188" totalsRowDxfId="4187"/>
    <tableColumn id="5" name="Description" dataDxfId="4186" totalsRowDxfId="4185"/>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80.xml><?xml version="1.0" encoding="utf-8"?>
<table xmlns="http://schemas.openxmlformats.org/spreadsheetml/2006/main" id="81" name="ExpJul82" displayName="ExpJul82" ref="B4:G18" totalsRowCount="1" headerRowDxfId="2996" dataDxfId="2994" totalsRowDxfId="2995">
  <autoFilter ref="B4:G17"/>
  <tableColumns count="6">
    <tableColumn id="1" name="Date" totalsRowLabel="Total" dataDxfId="3008" totalsRowDxfId="3007"/>
    <tableColumn id="2" name="W/O#" dataDxfId="3006" totalsRowDxfId="3005"/>
    <tableColumn id="3" name="Amount" totalsRowFunction="sum" dataDxfId="3004" totalsRowDxfId="3003"/>
    <tableColumn id="4" name="Category" dataDxfId="3002" totalsRowDxfId="3001"/>
    <tableColumn id="6" name="Description           Bin Number          # Used" dataDxfId="3000" totalsRowDxfId="2999"/>
    <tableColumn id="5" name="Part Number - Mileage - Mech Name" dataDxfId="2998" totalsRowDxfId="2997"/>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81.xml><?xml version="1.0" encoding="utf-8"?>
<table xmlns="http://schemas.openxmlformats.org/spreadsheetml/2006/main" id="82" name="ExpAug83" displayName="ExpAug83" ref="B22:G37" totalsRowCount="1" headerRowDxfId="2981" dataDxfId="2979" totalsRowDxfId="2980">
  <autoFilter ref="B22:G36"/>
  <tableColumns count="6">
    <tableColumn id="1" name="Date" totalsRowLabel="Total" dataDxfId="2993" totalsRowDxfId="2992"/>
    <tableColumn id="2" name="PO#" dataDxfId="2991" totalsRowDxfId="2990"/>
    <tableColumn id="3" name="Amount" totalsRowFunction="sum" dataDxfId="2989" totalsRowDxfId="2988"/>
    <tableColumn id="4" name="Category" dataDxfId="2987" totalsRowDxfId="2986"/>
    <tableColumn id="6" name="Description           Bin Number          # Used" dataDxfId="2985" totalsRowDxfId="2984"/>
    <tableColumn id="5" name="Part Number - Mileage - Mech Name" dataDxfId="2983" totalsRowDxfId="2982"/>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82.xml><?xml version="1.0" encoding="utf-8"?>
<table xmlns="http://schemas.openxmlformats.org/spreadsheetml/2006/main" id="83" name="ExpSep84" displayName="ExpSep84" ref="B41:G51" totalsRowCount="1" headerRowDxfId="2966" dataDxfId="2964" totalsRowDxfId="2965">
  <autoFilter ref="B41:G50"/>
  <tableColumns count="6">
    <tableColumn id="1" name="Date" totalsRowLabel="Total" dataDxfId="2978" totalsRowDxfId="2977"/>
    <tableColumn id="2" name="PO#" dataDxfId="2976" totalsRowDxfId="2975"/>
    <tableColumn id="3" name="Amount" totalsRowFunction="sum" dataDxfId="2974" totalsRowDxfId="2973"/>
    <tableColumn id="4" name="Category" dataDxfId="2972" totalsRowDxfId="2971"/>
    <tableColumn id="6" name="Description           Bin Number          # Used" dataDxfId="2970" totalsRowDxfId="2969"/>
    <tableColumn id="5" name="Part Number - Mileage - Mech Name" dataDxfId="2968" totalsRowDxfId="2967"/>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83.xml><?xml version="1.0" encoding="utf-8"?>
<table xmlns="http://schemas.openxmlformats.org/spreadsheetml/2006/main" id="84" name="ExpOct85" displayName="ExpOct85" ref="B55:G67" totalsRowCount="1" headerRowDxfId="2951" dataDxfId="2949" totalsRowDxfId="2950">
  <autoFilter ref="B55:G66"/>
  <tableColumns count="6">
    <tableColumn id="1" name="Date" totalsRowLabel="Total" dataDxfId="2963" totalsRowDxfId="2962"/>
    <tableColumn id="2" name="W/O" dataDxfId="2961" totalsRowDxfId="2960"/>
    <tableColumn id="3" name="Amount" totalsRowFunction="sum" dataDxfId="2959" totalsRowDxfId="2958"/>
    <tableColumn id="4" name="Category" dataDxfId="2957" totalsRowDxfId="2956"/>
    <tableColumn id="6" name="Description           Bin Number          # Used" dataDxfId="2955" totalsRowDxfId="2954"/>
    <tableColumn id="5" name="Part Number - Mileage - Mech Name" dataDxfId="2953" totalsRowDxfId="2952"/>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84.xml><?xml version="1.0" encoding="utf-8"?>
<table xmlns="http://schemas.openxmlformats.org/spreadsheetml/2006/main" id="85" name="ExpNov86" displayName="ExpNov86" ref="B71:G82" totalsRowCount="1" headerRowDxfId="2936" dataDxfId="2934" totalsRowDxfId="2935">
  <autoFilter ref="B71:G81"/>
  <tableColumns count="6">
    <tableColumn id="1" name="Date" totalsRowLabel="Total" dataDxfId="2948" totalsRowDxfId="2947"/>
    <tableColumn id="2" name="W/O" dataDxfId="2946" totalsRowDxfId="2945"/>
    <tableColumn id="3" name="Amount" totalsRowFunction="sum" dataDxfId="2944" totalsRowDxfId="2943"/>
    <tableColumn id="4" name="Category" dataDxfId="2942" totalsRowDxfId="2941"/>
    <tableColumn id="6" name="Column1" dataDxfId="2940" totalsRowDxfId="2939"/>
    <tableColumn id="5" name="Description" dataDxfId="2938" totalsRowDxfId="2937"/>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85.xml><?xml version="1.0" encoding="utf-8"?>
<table xmlns="http://schemas.openxmlformats.org/spreadsheetml/2006/main" id="86" name="ExpDec87" displayName="ExpDec87" ref="B86:G94" totalsRowCount="1" headerRowDxfId="2921" dataDxfId="2919" totalsRowDxfId="2920">
  <autoFilter ref="B86:G93"/>
  <tableColumns count="6">
    <tableColumn id="1" name="Date" totalsRowLabel="Total" dataDxfId="2933" totalsRowDxfId="2932"/>
    <tableColumn id="2" name="W/O" dataDxfId="2931" totalsRowDxfId="2930"/>
    <tableColumn id="3" name="Amount" totalsRowFunction="sum" dataDxfId="2929" totalsRowDxfId="2928"/>
    <tableColumn id="4" name="Category" dataDxfId="2927" totalsRowDxfId="2926"/>
    <tableColumn id="6" name="Column1" dataDxfId="2925" totalsRowDxfId="2924"/>
    <tableColumn id="5" name="Description" dataDxfId="2923" totalsRowDxfId="2922"/>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86.xml><?xml version="1.0" encoding="utf-8"?>
<table xmlns="http://schemas.openxmlformats.org/spreadsheetml/2006/main" id="87" name="ExpJan88" displayName="ExpJan88" ref="B98:G109" totalsRowCount="1" headerRowDxfId="2906" dataDxfId="2904" totalsRowDxfId="2905">
  <autoFilter ref="B98:G108"/>
  <tableColumns count="6">
    <tableColumn id="1" name="Date" totalsRowLabel="Total" dataDxfId="2918" totalsRowDxfId="2917"/>
    <tableColumn id="2" name="Work Order" dataDxfId="2916" totalsRowDxfId="2915"/>
    <tableColumn id="3" name="Amount" totalsRowFunction="sum" dataDxfId="2914" totalsRowDxfId="2913"/>
    <tableColumn id="4" name="Category" dataDxfId="2912" totalsRowDxfId="2911"/>
    <tableColumn id="6" name="Column1" dataDxfId="2910" totalsRowDxfId="2909"/>
    <tableColumn id="5" name="Description" dataDxfId="2908" totalsRowDxfId="2907"/>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ables/table87.xml><?xml version="1.0" encoding="utf-8"?>
<table xmlns="http://schemas.openxmlformats.org/spreadsheetml/2006/main" id="88" name="ExpFeb89" displayName="ExpFeb89" ref="B113:G124" totalsRowCount="1" headerRowDxfId="2891" dataDxfId="2889" totalsRowDxfId="2890">
  <autoFilter ref="B113:G123"/>
  <tableColumns count="6">
    <tableColumn id="1" name="Date" totalsRowLabel="Total" dataDxfId="2903" totalsRowDxfId="2902"/>
    <tableColumn id="2" name="W/O" dataDxfId="2901" totalsRowDxfId="2900"/>
    <tableColumn id="3" name="Amount" totalsRowFunction="sum" dataDxfId="2899" totalsRowDxfId="2898"/>
    <tableColumn id="4" name="Category" dataDxfId="2897" totalsRowDxfId="2896"/>
    <tableColumn id="5" name="Description           Bin Number          # Used" dataDxfId="2895" totalsRowDxfId="2894"/>
    <tableColumn id="6" name="Part Number - Mileage - Mech Name" dataDxfId="2893" totalsRowDxfId="2892"/>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88.xml><?xml version="1.0" encoding="utf-8"?>
<table xmlns="http://schemas.openxmlformats.org/spreadsheetml/2006/main" id="89" name="ExpMar90" displayName="ExpMar90" ref="B128:G137" totalsRowCount="1" headerRowDxfId="2876" dataDxfId="2874" totalsRowDxfId="2875">
  <autoFilter ref="B128:G136"/>
  <tableColumns count="6">
    <tableColumn id="1" name="Date" totalsRowLabel="Total" dataDxfId="2888" totalsRowDxfId="2887"/>
    <tableColumn id="2" name="W/O" dataDxfId="2886" totalsRowDxfId="2885"/>
    <tableColumn id="3" name="Amount" totalsRowFunction="sum" dataDxfId="2884" totalsRowDxfId="2883"/>
    <tableColumn id="4" name="Category" dataDxfId="2882" totalsRowDxfId="2881"/>
    <tableColumn id="5" name="Description           Bin Number          # Used" dataDxfId="2880" totalsRowDxfId="2879"/>
    <tableColumn id="6" name="Part Number - Mileage - Mech Name" dataDxfId="2878" totalsRowDxfId="2877"/>
  </tableColumns>
  <tableStyleInfo name="Summary Table" showFirstColumn="0" showLastColumn="0" showRowStripes="0" showColumnStripes="1"/>
  <extLst>
    <ext xmlns:x14="http://schemas.microsoft.com/office/spreadsheetml/2009/9/main" uri="{504A1905-F514-4f6f-8877-14C23A59335A}">
      <x14:table altText="March Expenses Tabel" altTextSummary="List of monthly expense details such as, Date, PO#, Amount, Category, and Description. "/>
    </ext>
  </extLst>
</table>
</file>

<file path=xl/tables/table89.xml><?xml version="1.0" encoding="utf-8"?>
<table xmlns="http://schemas.openxmlformats.org/spreadsheetml/2006/main" id="90" name="ExpApr91" displayName="ExpApr91" ref="B141:G155" totalsRowCount="1" headerRowDxfId="2861" dataDxfId="2859" totalsRowDxfId="2860">
  <autoFilter ref="B141:G154"/>
  <tableColumns count="6">
    <tableColumn id="1" name="Date" totalsRowLabel="Total" dataDxfId="2873" totalsRowDxfId="2872"/>
    <tableColumn id="2" name="w/o" dataDxfId="2871" totalsRowDxfId="2870"/>
    <tableColumn id="3" name="Amount" totalsRowFunction="sum" dataDxfId="2869" totalsRowDxfId="2868"/>
    <tableColumn id="4" name="Category" dataDxfId="2867" totalsRowDxfId="2866"/>
    <tableColumn id="6" name="Description           Bin Number          # Used" dataDxfId="2865" totalsRowDxfId="2864"/>
    <tableColumn id="5" name="Part Number - Mileage - Mech Name" dataDxfId="2863" totalsRowDxfId="2862"/>
  </tableColumns>
  <tableStyleInfo name="Summary Table" showFirstColumn="0" showLastColumn="0" showRowStripes="0" showColumnStripes="1"/>
  <extLst>
    <ext xmlns:x14="http://schemas.microsoft.com/office/spreadsheetml/2009/9/main" uri="{504A1905-F514-4f6f-8877-14C23A59335A}">
      <x14:table altText="April Expenses Table" altTextSummary="List of monthly expense details such as, Date, PO#, Amount, Category, and Description. "/>
    </ext>
  </extLst>
</table>
</file>

<file path=xl/tables/table9.xml><?xml version="1.0" encoding="utf-8"?>
<table xmlns="http://schemas.openxmlformats.org/spreadsheetml/2006/main" id="16" name="ExpFeb" displayName="ExpFeb" ref="B144:G156" totalsRowCount="1" headerRowDxfId="4169" dataDxfId="4167" totalsRowDxfId="4168">
  <autoFilter ref="B144:G155"/>
  <tableColumns count="6">
    <tableColumn id="1" name="Date" totalsRowLabel="Total" dataDxfId="4181" totalsRowDxfId="4180"/>
    <tableColumn id="2" name="W/O" dataDxfId="4179" totalsRowDxfId="4178"/>
    <tableColumn id="3" name="Amount" totalsRowFunction="sum" dataDxfId="4177" totalsRowDxfId="4176"/>
    <tableColumn id="4" name="Category" dataDxfId="4175" totalsRowDxfId="4174"/>
    <tableColumn id="6" name="Column1" dataDxfId="4173" totalsRowDxfId="4172"/>
    <tableColumn id="5" name="Description" dataDxfId="4171" totalsRowDxfId="4170"/>
  </tableColumns>
  <tableStyleInfo name="Summary Table" showFirstColumn="0" showLastColumn="0" showRowStripes="0" showColumnStripes="1"/>
  <extLst>
    <ext xmlns:x14="http://schemas.microsoft.com/office/spreadsheetml/2009/9/main" uri="{504A1905-F514-4f6f-8877-14C23A59335A}">
      <x14:table altText="February Expenses Table" altTextSummary="List of monthly expense details such as, Date, PO#, Amount, Category, and Description. "/>
    </ext>
  </extLst>
</table>
</file>

<file path=xl/tables/table90.xml><?xml version="1.0" encoding="utf-8"?>
<table xmlns="http://schemas.openxmlformats.org/spreadsheetml/2006/main" id="91" name="ExpMay92" displayName="ExpMay92" ref="B159:G169" totalsRowCount="1" headerRowDxfId="2846" dataDxfId="2844" totalsRowDxfId="2845">
  <autoFilter ref="B159:G168"/>
  <tableColumns count="6">
    <tableColumn id="1" name="Date" totalsRowLabel="Total" dataDxfId="2858" totalsRowDxfId="2857"/>
    <tableColumn id="2" name="W/O" dataDxfId="2856" totalsRowDxfId="2855"/>
    <tableColumn id="3" name="Amount" totalsRowFunction="sum" dataDxfId="2854" totalsRowDxfId="2853"/>
    <tableColumn id="4" name="Category" dataDxfId="2852" totalsRowDxfId="2851"/>
    <tableColumn id="6" name="Description           Bin Number          # Used" dataDxfId="2850" totalsRowDxfId="2849"/>
    <tableColumn id="5" name="Part Number - Mileage - Mech Name" dataDxfId="2848" totalsRowDxfId="2847"/>
  </tableColumns>
  <tableStyleInfo name="Summary Table" showFirstColumn="0" showLastColumn="0" showRowStripes="0" showColumnStripes="1"/>
  <extLst>
    <ext xmlns:x14="http://schemas.microsoft.com/office/spreadsheetml/2009/9/main" uri="{504A1905-F514-4f6f-8877-14C23A59335A}">
      <x14:table altText="A detail table listing May expenses, entered by user." altTextSummary="List of monthly expense details such as, Date, PO#, Amount, Category, and Description. "/>
    </ext>
  </extLst>
</table>
</file>

<file path=xl/tables/table91.xml><?xml version="1.0" encoding="utf-8"?>
<table xmlns="http://schemas.openxmlformats.org/spreadsheetml/2006/main" id="92" name="ExpJun93" displayName="ExpJun93" ref="B173:G182" totalsRowCount="1" headerRowDxfId="2831" dataDxfId="2829" totalsRowDxfId="2830">
  <autoFilter ref="B173:G181"/>
  <tableColumns count="6">
    <tableColumn id="1" name="Date" totalsRowLabel="Total" dataDxfId="2843" totalsRowDxfId="2842"/>
    <tableColumn id="2" name="W/O #" dataDxfId="2841" totalsRowDxfId="2840"/>
    <tableColumn id="3" name="Amount" totalsRowFunction="sum" dataDxfId="2839" totalsRowDxfId="2838"/>
    <tableColumn id="4" name="Category" dataDxfId="2837" totalsRowDxfId="2836"/>
    <tableColumn id="6" name="Description           Bin Number          # Used" dataDxfId="2835" totalsRowDxfId="2834"/>
    <tableColumn id="5" name="Part Number - Mileage - Mech Name" dataDxfId="2833" totalsRowDxfId="2832"/>
  </tableColumns>
  <tableStyleInfo name="Summary Table" showFirstColumn="0" showLastColumn="0" showRowStripes="0" showColumnStripes="1"/>
  <extLst>
    <ext xmlns:x14="http://schemas.microsoft.com/office/spreadsheetml/2009/9/main" uri="{504A1905-F514-4f6f-8877-14C23A59335A}">
      <x14:table altText="June Expenses Table" altTextSummary="List of monthly expense details such as, Date, PO#, Amount, Category, and Description. "/>
    </ext>
  </extLst>
</table>
</file>

<file path=xl/tables/table92.xml><?xml version="1.0" encoding="utf-8"?>
<table xmlns="http://schemas.openxmlformats.org/spreadsheetml/2006/main" id="55" name="ExpenseSummary56" displayName="ExpenseSummary56" ref="B18:P39" totalsRowCount="1" headerRowDxfId="4337" dataDxfId="4336" totalsRowDxfId="4335">
  <autoFilter ref="B18:P38">
    <filterColumn colId="0">
      <customFilters>
        <customFilter operator="notEqual" val=" "/>
      </customFilters>
    </filterColumn>
  </autoFilter>
  <tableColumns count="15">
    <tableColumn id="1" name="Expenses" totalsRowLabel="Total" dataDxfId="4334" totalsRowDxfId="2828"/>
    <tableColumn id="2" name="Jan" totalsRowFunction="sum" dataDxfId="4333" totalsRowDxfId="2827"/>
    <tableColumn id="3" name="Feb" totalsRowFunction="sum" dataDxfId="4332" totalsRowDxfId="2826"/>
    <tableColumn id="4" name="Mar" totalsRowFunction="sum" dataDxfId="4331" totalsRowDxfId="2825"/>
    <tableColumn id="5" name="Apr" totalsRowFunction="sum" dataDxfId="4330" totalsRowDxfId="2824"/>
    <tableColumn id="6" name="May" totalsRowFunction="sum" dataDxfId="4329" totalsRowDxfId="2823"/>
    <tableColumn id="7" name="Jun" totalsRowFunction="sum" dataDxfId="4328" totalsRowDxfId="2822"/>
    <tableColumn id="8" name="Jul" totalsRowFunction="sum" dataDxfId="4327" totalsRowDxfId="2821"/>
    <tableColumn id="9" name="Aug" totalsRowFunction="sum" dataDxfId="4326" totalsRowDxfId="2820"/>
    <tableColumn id="10" name="Sep" totalsRowFunction="sum" dataDxfId="4325" totalsRowDxfId="2819"/>
    <tableColumn id="11" name="Oct" totalsRowFunction="sum" dataDxfId="4324" totalsRowDxfId="2818"/>
    <tableColumn id="12" name="Nov" totalsRowFunction="sum" dataDxfId="4323" totalsRowDxfId="2817"/>
    <tableColumn id="13" name="Dec" totalsRowFunction="sum" dataDxfId="4322" totalsRowDxfId="2816"/>
    <tableColumn id="14" name="Total" totalsRowFunction="sum" dataDxfId="4321" totalsRowDxfId="2815">
      <calculatedColumnFormula>SUM(C19:N19)</calculatedColumnFormula>
    </tableColumn>
    <tableColumn id="15" name="Trend" dataDxfId="4320" totalsRowDxfId="2814"/>
  </tableColumns>
  <tableStyleInfo name="Summary Table" showFirstColumn="0" showLastColumn="0" showRowStripes="0" showColumnStripes="1"/>
  <extLst>
    <ext xmlns:x14="http://schemas.microsoft.com/office/spreadsheetml/2009/9/main" uri="{504A1905-F514-4f6f-8877-14C23A59335A}">
      <x14:table altText="Expense Trends Table" altTextSummary="Table shows monthly expenses summed by category for each month of a year, beginning in January.  The table is formatted to line up vertically with a chart located directly above so that each month of the table lines up with each month grouping on the chart."/>
    </ext>
  </extLst>
</table>
</file>

<file path=xl/tables/table93.xml><?xml version="1.0" encoding="utf-8"?>
<table xmlns="http://schemas.openxmlformats.org/spreadsheetml/2006/main" id="93" name="ExpJul94" displayName="ExpJul94" ref="B4:G17" totalsRowCount="1" headerRowDxfId="2801" dataDxfId="2799" totalsRowDxfId="2800">
  <autoFilter ref="B4:G16"/>
  <tableColumns count="6">
    <tableColumn id="1" name="Date" totalsRowLabel="Total" dataDxfId="2813" totalsRowDxfId="2812"/>
    <tableColumn id="2" name="W/O#" dataDxfId="2811" totalsRowDxfId="2810"/>
    <tableColumn id="3" name="Amount" totalsRowFunction="sum" dataDxfId="2809" totalsRowDxfId="2808"/>
    <tableColumn id="4" name="Category" dataDxfId="2807" totalsRowDxfId="2806"/>
    <tableColumn id="6" name="Description           Bin Number          # Used" dataDxfId="2805" totalsRowDxfId="2804"/>
    <tableColumn id="5" name="Part Number - Mileage - Mech Name" dataDxfId="2803" totalsRowDxfId="2802"/>
  </tableColumns>
  <tableStyleInfo name="Summary Table" showFirstColumn="0" showLastColumn="0" showRowStripes="0" showColumnStripes="1"/>
  <extLst>
    <ext xmlns:x14="http://schemas.microsoft.com/office/spreadsheetml/2009/9/main" uri="{504A1905-F514-4f6f-8877-14C23A59335A}">
      <x14:table altText="July Expenses Table" altTextSummary="List of monthly expense details such as, Date, PO#, Amount, Category, and Description. "/>
    </ext>
  </extLst>
</table>
</file>

<file path=xl/tables/table94.xml><?xml version="1.0" encoding="utf-8"?>
<table xmlns="http://schemas.openxmlformats.org/spreadsheetml/2006/main" id="94" name="ExpAug95" displayName="ExpAug95" ref="B21:G39" totalsRowCount="1" headerRowDxfId="2786" dataDxfId="2784" totalsRowDxfId="2785">
  <autoFilter ref="B21:G38"/>
  <tableColumns count="6">
    <tableColumn id="1" name="Date" totalsRowLabel="Total" dataDxfId="2798" totalsRowDxfId="2797"/>
    <tableColumn id="2" name="PO#" dataDxfId="2796" totalsRowDxfId="2795"/>
    <tableColumn id="3" name="Amount" totalsRowFunction="sum" dataDxfId="2794" totalsRowDxfId="2793"/>
    <tableColumn id="4" name="Category" dataDxfId="2792" totalsRowDxfId="2791"/>
    <tableColumn id="6" name="Description           Bin Number          # Used" dataDxfId="2790" totalsRowDxfId="2789"/>
    <tableColumn id="5" name="Part Number - Mileage - Mech Name" dataDxfId="2788" totalsRowDxfId="2787"/>
  </tableColumns>
  <tableStyleInfo name="Summary Table" showFirstColumn="0" showLastColumn="0" showRowStripes="0" showColumnStripes="1"/>
  <extLst>
    <ext xmlns:x14="http://schemas.microsoft.com/office/spreadsheetml/2009/9/main" uri="{504A1905-F514-4f6f-8877-14C23A59335A}">
      <x14:table altText="August Expenses Table" altTextSummary="List of monthly expense details such as, Date, PO#, Amount, Category, and Description. "/>
    </ext>
  </extLst>
</table>
</file>

<file path=xl/tables/table95.xml><?xml version="1.0" encoding="utf-8"?>
<table xmlns="http://schemas.openxmlformats.org/spreadsheetml/2006/main" id="95" name="ExpSep96" displayName="ExpSep96" ref="B43:G64" totalsRowCount="1" headerRowDxfId="2771" dataDxfId="2769" totalsRowDxfId="2770">
  <autoFilter ref="B43:G63"/>
  <tableColumns count="6">
    <tableColumn id="1" name="Date" totalsRowLabel="Total" dataDxfId="2783" totalsRowDxfId="2782"/>
    <tableColumn id="2" name="PO#" dataDxfId="2781" totalsRowDxfId="2780"/>
    <tableColumn id="3" name="Amount" totalsRowFunction="sum" dataDxfId="2779" totalsRowDxfId="2778"/>
    <tableColumn id="4" name="Category" dataDxfId="2777" totalsRowDxfId="2776"/>
    <tableColumn id="6" name="Description           Bin Number          # Used" dataDxfId="2775" totalsRowDxfId="2774"/>
    <tableColumn id="5" name="Part Number - Mileage - Mech Name" dataDxfId="2773" totalsRowDxfId="2772"/>
  </tableColumns>
  <tableStyleInfo name="Summary Table" showFirstColumn="0" showLastColumn="0" showRowStripes="0" showColumnStripes="1"/>
  <extLst>
    <ext xmlns:x14="http://schemas.microsoft.com/office/spreadsheetml/2009/9/main" uri="{504A1905-F514-4f6f-8877-14C23A59335A}">
      <x14:table altText="September Expenses Table" altTextSummary="List of monthly expense details such as, Date, PO#, Amount, Category, and Description. "/>
    </ext>
  </extLst>
</table>
</file>

<file path=xl/tables/table96.xml><?xml version="1.0" encoding="utf-8"?>
<table xmlns="http://schemas.openxmlformats.org/spreadsheetml/2006/main" id="96" name="ExpOct97" displayName="ExpOct97" ref="B68:G80" totalsRowCount="1" headerRowDxfId="2756" dataDxfId="2754" totalsRowDxfId="2755">
  <autoFilter ref="B68:G79"/>
  <tableColumns count="6">
    <tableColumn id="1" name="Date" totalsRowLabel="Total" dataDxfId="2768" totalsRowDxfId="2767"/>
    <tableColumn id="2" name="W/O" dataDxfId="2766" totalsRowDxfId="2765"/>
    <tableColumn id="3" name="Amount" totalsRowFunction="sum" dataDxfId="2764" totalsRowDxfId="2763"/>
    <tableColumn id="4" name="Category" dataDxfId="2762" totalsRowDxfId="2761"/>
    <tableColumn id="6" name="Description           Bin Number          # Used" dataDxfId="2760" totalsRowDxfId="2759"/>
    <tableColumn id="5" name="Part Number - Mileage - Mech Name" dataDxfId="2758" totalsRowDxfId="2757"/>
  </tableColumns>
  <tableStyleInfo name="Summary Table" showFirstColumn="0" showLastColumn="0" showRowStripes="0" showColumnStripes="1"/>
  <extLst>
    <ext xmlns:x14="http://schemas.microsoft.com/office/spreadsheetml/2009/9/main" uri="{504A1905-F514-4f6f-8877-14C23A59335A}">
      <x14:table altText="October Expenses Table" altTextSummary="List of monthly expense details such as, Date, PO#, Amount, Category, and Description. "/>
    </ext>
  </extLst>
</table>
</file>

<file path=xl/tables/table97.xml><?xml version="1.0" encoding="utf-8"?>
<table xmlns="http://schemas.openxmlformats.org/spreadsheetml/2006/main" id="97" name="ExpNov98" displayName="ExpNov98" ref="B84:G95" totalsRowCount="1" headerRowDxfId="2741" dataDxfId="2739" totalsRowDxfId="2740">
  <autoFilter ref="B84:G94"/>
  <tableColumns count="6">
    <tableColumn id="1" name="Date" totalsRowLabel="Total" dataDxfId="2753" totalsRowDxfId="2752"/>
    <tableColumn id="2" name="W/O" dataDxfId="2751" totalsRowDxfId="2750"/>
    <tableColumn id="3" name="Amount" totalsRowFunction="sum" dataDxfId="2749" totalsRowDxfId="2748"/>
    <tableColumn id="4" name="Category" dataDxfId="2747" totalsRowDxfId="2746"/>
    <tableColumn id="6" name="Column1" dataDxfId="2745" totalsRowDxfId="2744"/>
    <tableColumn id="5" name="Description" dataDxfId="2743" totalsRowDxfId="2742"/>
  </tableColumns>
  <tableStyleInfo name="Summary Table" showFirstColumn="0" showLastColumn="0" showRowStripes="0" showColumnStripes="1"/>
  <extLst>
    <ext xmlns:x14="http://schemas.microsoft.com/office/spreadsheetml/2009/9/main" uri="{504A1905-F514-4f6f-8877-14C23A59335A}">
      <x14:table altText="November Expenses Table" altTextSummary="List of monthly expense details such as, Date, PO#, Amount, Category, and Description. "/>
    </ext>
  </extLst>
</table>
</file>

<file path=xl/tables/table98.xml><?xml version="1.0" encoding="utf-8"?>
<table xmlns="http://schemas.openxmlformats.org/spreadsheetml/2006/main" id="98" name="ExpDec99" displayName="ExpDec99" ref="B99:G109" totalsRowCount="1" headerRowDxfId="2726" dataDxfId="2724" totalsRowDxfId="2725">
  <autoFilter ref="B99:G108"/>
  <tableColumns count="6">
    <tableColumn id="1" name="Date" totalsRowLabel="Total" dataDxfId="2738" totalsRowDxfId="2737"/>
    <tableColumn id="2" name="W/O" dataDxfId="2736" totalsRowDxfId="2735"/>
    <tableColumn id="3" name="Amount" totalsRowFunction="sum" dataDxfId="2734" totalsRowDxfId="2733"/>
    <tableColumn id="4" name="Category" dataDxfId="2732" totalsRowDxfId="2731"/>
    <tableColumn id="6" name="Column1" dataDxfId="2730" totalsRowDxfId="2729"/>
    <tableColumn id="5" name="Description" dataDxfId="2728" totalsRowDxfId="2727"/>
  </tableColumns>
  <tableStyleInfo name="Summary Table" showFirstColumn="0" showLastColumn="0" showRowStripes="0" showColumnStripes="1"/>
  <extLst>
    <ext xmlns:x14="http://schemas.microsoft.com/office/spreadsheetml/2009/9/main" uri="{504A1905-F514-4f6f-8877-14C23A59335A}">
      <x14:table altText="December Expenses Table" altTextSummary="List of monthly expense details such as, Date, PO#, Amount, Category, and Description. "/>
    </ext>
  </extLst>
</table>
</file>

<file path=xl/tables/table99.xml><?xml version="1.0" encoding="utf-8"?>
<table xmlns="http://schemas.openxmlformats.org/spreadsheetml/2006/main" id="99" name="ExpJan100" displayName="ExpJan100" ref="B113:G122" totalsRowCount="1" headerRowDxfId="2711" dataDxfId="2709" totalsRowDxfId="2710">
  <autoFilter ref="B113:G121"/>
  <tableColumns count="6">
    <tableColumn id="1" name="Date" totalsRowLabel="Total" dataDxfId="2723" totalsRowDxfId="2722"/>
    <tableColumn id="2" name="Work Order" dataDxfId="2721" totalsRowDxfId="2720"/>
    <tableColumn id="3" name="Amount" totalsRowFunction="sum" dataDxfId="2719" totalsRowDxfId="2718"/>
    <tableColumn id="4" name="Category" dataDxfId="2717" totalsRowDxfId="2716"/>
    <tableColumn id="6" name="Column1" dataDxfId="2715" totalsRowDxfId="2714"/>
    <tableColumn id="5" name="Description" dataDxfId="2713" totalsRowDxfId="2712"/>
  </tableColumns>
  <tableStyleInfo name="Summary Table" showFirstColumn="0" showLastColumn="0" showRowStripes="0" showColumnStripes="1"/>
  <extLst>
    <ext xmlns:x14="http://schemas.microsoft.com/office/spreadsheetml/2009/9/main" uri="{504A1905-F514-4f6f-8877-14C23A59335A}">
      <x14:table altText="January Expenses Table" altTextSummary="List of monthly expense details such as, Date, PO#, Amount, Category, and Description. "/>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table" Target="../tables/table33.xml"/><Relationship Id="rId13" Type="http://schemas.openxmlformats.org/officeDocument/2006/relationships/table" Target="../tables/table38.xml"/><Relationship Id="rId3" Type="http://schemas.openxmlformats.org/officeDocument/2006/relationships/table" Target="../tables/table28.xml"/><Relationship Id="rId7" Type="http://schemas.openxmlformats.org/officeDocument/2006/relationships/table" Target="../tables/table32.xml"/><Relationship Id="rId12" Type="http://schemas.openxmlformats.org/officeDocument/2006/relationships/table" Target="../tables/table37.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table" Target="../tables/table31.xml"/><Relationship Id="rId11" Type="http://schemas.openxmlformats.org/officeDocument/2006/relationships/table" Target="../tables/table36.xml"/><Relationship Id="rId5" Type="http://schemas.openxmlformats.org/officeDocument/2006/relationships/table" Target="../tables/table30.xml"/><Relationship Id="rId10" Type="http://schemas.openxmlformats.org/officeDocument/2006/relationships/table" Target="../tables/table35.xml"/><Relationship Id="rId4" Type="http://schemas.openxmlformats.org/officeDocument/2006/relationships/table" Target="../tables/table29.xml"/><Relationship Id="rId9" Type="http://schemas.openxmlformats.org/officeDocument/2006/relationships/table" Target="../tables/table34.xml"/><Relationship Id="rId14" Type="http://schemas.openxmlformats.org/officeDocument/2006/relationships/table" Target="../tables/table3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table" Target="../tables/table46.xml"/><Relationship Id="rId13" Type="http://schemas.openxmlformats.org/officeDocument/2006/relationships/table" Target="../tables/table51.xml"/><Relationship Id="rId3" Type="http://schemas.openxmlformats.org/officeDocument/2006/relationships/table" Target="../tables/table41.xml"/><Relationship Id="rId7" Type="http://schemas.openxmlformats.org/officeDocument/2006/relationships/table" Target="../tables/table45.xml"/><Relationship Id="rId12" Type="http://schemas.openxmlformats.org/officeDocument/2006/relationships/table" Target="../tables/table50.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table" Target="../tables/table44.xml"/><Relationship Id="rId11" Type="http://schemas.openxmlformats.org/officeDocument/2006/relationships/table" Target="../tables/table49.xml"/><Relationship Id="rId5" Type="http://schemas.openxmlformats.org/officeDocument/2006/relationships/table" Target="../tables/table43.xml"/><Relationship Id="rId10" Type="http://schemas.openxmlformats.org/officeDocument/2006/relationships/table" Target="../tables/table48.xml"/><Relationship Id="rId4" Type="http://schemas.openxmlformats.org/officeDocument/2006/relationships/table" Target="../tables/table42.xml"/><Relationship Id="rId9" Type="http://schemas.openxmlformats.org/officeDocument/2006/relationships/table" Target="../tables/table47.xml"/><Relationship Id="rId14" Type="http://schemas.openxmlformats.org/officeDocument/2006/relationships/table" Target="../tables/table5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table" Target="../tables/table59.xml"/><Relationship Id="rId13" Type="http://schemas.openxmlformats.org/officeDocument/2006/relationships/table" Target="../tables/table64.xml"/><Relationship Id="rId3" Type="http://schemas.openxmlformats.org/officeDocument/2006/relationships/table" Target="../tables/table54.xml"/><Relationship Id="rId7" Type="http://schemas.openxmlformats.org/officeDocument/2006/relationships/table" Target="../tables/table58.xml"/><Relationship Id="rId12" Type="http://schemas.openxmlformats.org/officeDocument/2006/relationships/table" Target="../tables/table63.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table" Target="../tables/table57.xml"/><Relationship Id="rId11" Type="http://schemas.openxmlformats.org/officeDocument/2006/relationships/table" Target="../tables/table62.xml"/><Relationship Id="rId5" Type="http://schemas.openxmlformats.org/officeDocument/2006/relationships/table" Target="../tables/table56.xml"/><Relationship Id="rId10" Type="http://schemas.openxmlformats.org/officeDocument/2006/relationships/table" Target="../tables/table61.xml"/><Relationship Id="rId4" Type="http://schemas.openxmlformats.org/officeDocument/2006/relationships/table" Target="../tables/table55.xml"/><Relationship Id="rId9" Type="http://schemas.openxmlformats.org/officeDocument/2006/relationships/table" Target="../tables/table60.xml"/><Relationship Id="rId14" Type="http://schemas.openxmlformats.org/officeDocument/2006/relationships/table" Target="../tables/table6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19.xml"/><Relationship Id="rId1" Type="http://schemas.openxmlformats.org/officeDocument/2006/relationships/printerSettings" Target="../printerSettings/printerSettings21.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85.xml"/><Relationship Id="rId13" Type="http://schemas.openxmlformats.org/officeDocument/2006/relationships/table" Target="../tables/table90.xml"/><Relationship Id="rId3" Type="http://schemas.openxmlformats.org/officeDocument/2006/relationships/table" Target="../tables/table80.xml"/><Relationship Id="rId7" Type="http://schemas.openxmlformats.org/officeDocument/2006/relationships/table" Target="../tables/table84.xml"/><Relationship Id="rId12" Type="http://schemas.openxmlformats.org/officeDocument/2006/relationships/table" Target="../tables/table89.xml"/><Relationship Id="rId2" Type="http://schemas.openxmlformats.org/officeDocument/2006/relationships/drawing" Target="../drawings/drawing22.xml"/><Relationship Id="rId1" Type="http://schemas.openxmlformats.org/officeDocument/2006/relationships/printerSettings" Target="../printerSettings/printerSettings25.bin"/><Relationship Id="rId6" Type="http://schemas.openxmlformats.org/officeDocument/2006/relationships/table" Target="../tables/table83.xml"/><Relationship Id="rId11" Type="http://schemas.openxmlformats.org/officeDocument/2006/relationships/table" Target="../tables/table88.xml"/><Relationship Id="rId5" Type="http://schemas.openxmlformats.org/officeDocument/2006/relationships/table" Target="../tables/table82.xml"/><Relationship Id="rId10" Type="http://schemas.openxmlformats.org/officeDocument/2006/relationships/table" Target="../tables/table87.xml"/><Relationship Id="rId4" Type="http://schemas.openxmlformats.org/officeDocument/2006/relationships/table" Target="../tables/table81.xml"/><Relationship Id="rId9" Type="http://schemas.openxmlformats.org/officeDocument/2006/relationships/table" Target="../tables/table86.xml"/><Relationship Id="rId14" Type="http://schemas.openxmlformats.org/officeDocument/2006/relationships/table" Target="../tables/table9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25.xml"/><Relationship Id="rId1" Type="http://schemas.openxmlformats.org/officeDocument/2006/relationships/printerSettings" Target="../printerSettings/printerSettings28.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05.xml"/><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106.xml"/><Relationship Id="rId2" Type="http://schemas.openxmlformats.org/officeDocument/2006/relationships/drawing" Target="../drawings/drawing28.xml"/><Relationship Id="rId1" Type="http://schemas.openxmlformats.org/officeDocument/2006/relationships/printerSettings" Target="../printerSettings/printerSettings32.bin"/><Relationship Id="rId5" Type="http://schemas.openxmlformats.org/officeDocument/2006/relationships/table" Target="../tables/table108.xml"/><Relationship Id="rId4" Type="http://schemas.openxmlformats.org/officeDocument/2006/relationships/table" Target="../tables/table10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09.xml"/><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40.xml.rels><?xml version="1.0" encoding="UTF-8" standalone="yes"?>
<Relationships xmlns="http://schemas.openxmlformats.org/package/2006/relationships"><Relationship Id="rId8" Type="http://schemas.openxmlformats.org/officeDocument/2006/relationships/table" Target="../tables/table115.xml"/><Relationship Id="rId13" Type="http://schemas.openxmlformats.org/officeDocument/2006/relationships/table" Target="../tables/table120.xml"/><Relationship Id="rId3" Type="http://schemas.openxmlformats.org/officeDocument/2006/relationships/table" Target="../tables/table110.xml"/><Relationship Id="rId7" Type="http://schemas.openxmlformats.org/officeDocument/2006/relationships/table" Target="../tables/table114.xml"/><Relationship Id="rId12" Type="http://schemas.openxmlformats.org/officeDocument/2006/relationships/table" Target="../tables/table119.xml"/><Relationship Id="rId2" Type="http://schemas.openxmlformats.org/officeDocument/2006/relationships/drawing" Target="../drawings/drawing31.xml"/><Relationship Id="rId1" Type="http://schemas.openxmlformats.org/officeDocument/2006/relationships/printerSettings" Target="../printerSettings/printerSettings35.bin"/><Relationship Id="rId6" Type="http://schemas.openxmlformats.org/officeDocument/2006/relationships/table" Target="../tables/table113.xml"/><Relationship Id="rId11" Type="http://schemas.openxmlformats.org/officeDocument/2006/relationships/table" Target="../tables/table118.xml"/><Relationship Id="rId5" Type="http://schemas.openxmlformats.org/officeDocument/2006/relationships/table" Target="../tables/table112.xml"/><Relationship Id="rId10" Type="http://schemas.openxmlformats.org/officeDocument/2006/relationships/table" Target="../tables/table117.xml"/><Relationship Id="rId4" Type="http://schemas.openxmlformats.org/officeDocument/2006/relationships/table" Target="../tables/table111.xml"/><Relationship Id="rId9" Type="http://schemas.openxmlformats.org/officeDocument/2006/relationships/table" Target="../tables/table116.xml"/><Relationship Id="rId14" Type="http://schemas.openxmlformats.org/officeDocument/2006/relationships/table" Target="../tables/table12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22.xml"/><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8" Type="http://schemas.openxmlformats.org/officeDocument/2006/relationships/table" Target="../tables/table128.xml"/><Relationship Id="rId13" Type="http://schemas.openxmlformats.org/officeDocument/2006/relationships/table" Target="../tables/table133.xml"/><Relationship Id="rId3" Type="http://schemas.openxmlformats.org/officeDocument/2006/relationships/table" Target="../tables/table123.xml"/><Relationship Id="rId7" Type="http://schemas.openxmlformats.org/officeDocument/2006/relationships/table" Target="../tables/table127.xml"/><Relationship Id="rId12" Type="http://schemas.openxmlformats.org/officeDocument/2006/relationships/table" Target="../tables/table132.xml"/><Relationship Id="rId2" Type="http://schemas.openxmlformats.org/officeDocument/2006/relationships/drawing" Target="../drawings/drawing34.xml"/><Relationship Id="rId1" Type="http://schemas.openxmlformats.org/officeDocument/2006/relationships/printerSettings" Target="../printerSettings/printerSettings39.bin"/><Relationship Id="rId6" Type="http://schemas.openxmlformats.org/officeDocument/2006/relationships/table" Target="../tables/table126.xml"/><Relationship Id="rId11" Type="http://schemas.openxmlformats.org/officeDocument/2006/relationships/table" Target="../tables/table131.xml"/><Relationship Id="rId5" Type="http://schemas.openxmlformats.org/officeDocument/2006/relationships/table" Target="../tables/table125.xml"/><Relationship Id="rId10" Type="http://schemas.openxmlformats.org/officeDocument/2006/relationships/table" Target="../tables/table130.xml"/><Relationship Id="rId4" Type="http://schemas.openxmlformats.org/officeDocument/2006/relationships/table" Target="../tables/table124.xml"/><Relationship Id="rId9" Type="http://schemas.openxmlformats.org/officeDocument/2006/relationships/table" Target="../tables/table129.xml"/><Relationship Id="rId14" Type="http://schemas.openxmlformats.org/officeDocument/2006/relationships/table" Target="../tables/table13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35.xml"/><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8" Type="http://schemas.openxmlformats.org/officeDocument/2006/relationships/table" Target="../tables/table141.xml"/><Relationship Id="rId13" Type="http://schemas.openxmlformats.org/officeDocument/2006/relationships/table" Target="../tables/table146.xml"/><Relationship Id="rId3" Type="http://schemas.openxmlformats.org/officeDocument/2006/relationships/table" Target="../tables/table136.xml"/><Relationship Id="rId7" Type="http://schemas.openxmlformats.org/officeDocument/2006/relationships/table" Target="../tables/table140.xml"/><Relationship Id="rId12" Type="http://schemas.openxmlformats.org/officeDocument/2006/relationships/table" Target="../tables/table145.xml"/><Relationship Id="rId2" Type="http://schemas.openxmlformats.org/officeDocument/2006/relationships/drawing" Target="../drawings/drawing37.xml"/><Relationship Id="rId1" Type="http://schemas.openxmlformats.org/officeDocument/2006/relationships/printerSettings" Target="../printerSettings/printerSettings42.bin"/><Relationship Id="rId6" Type="http://schemas.openxmlformats.org/officeDocument/2006/relationships/table" Target="../tables/table139.xml"/><Relationship Id="rId11" Type="http://schemas.openxmlformats.org/officeDocument/2006/relationships/table" Target="../tables/table144.xml"/><Relationship Id="rId5" Type="http://schemas.openxmlformats.org/officeDocument/2006/relationships/table" Target="../tables/table138.xml"/><Relationship Id="rId10" Type="http://schemas.openxmlformats.org/officeDocument/2006/relationships/table" Target="../tables/table143.xml"/><Relationship Id="rId4" Type="http://schemas.openxmlformats.org/officeDocument/2006/relationships/table" Target="../tables/table137.xml"/><Relationship Id="rId9" Type="http://schemas.openxmlformats.org/officeDocument/2006/relationships/table" Target="../tables/table142.xml"/><Relationship Id="rId14" Type="http://schemas.openxmlformats.org/officeDocument/2006/relationships/table" Target="../tables/table14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148.xml"/><Relationship Id="rId2" Type="http://schemas.openxmlformats.org/officeDocument/2006/relationships/drawing" Target="../drawings/drawing39.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8" Type="http://schemas.openxmlformats.org/officeDocument/2006/relationships/table" Target="../tables/table154.xml"/><Relationship Id="rId13" Type="http://schemas.openxmlformats.org/officeDocument/2006/relationships/table" Target="../tables/table159.xml"/><Relationship Id="rId3" Type="http://schemas.openxmlformats.org/officeDocument/2006/relationships/table" Target="../tables/table149.xml"/><Relationship Id="rId7" Type="http://schemas.openxmlformats.org/officeDocument/2006/relationships/table" Target="../tables/table153.xml"/><Relationship Id="rId12" Type="http://schemas.openxmlformats.org/officeDocument/2006/relationships/table" Target="../tables/table158.xml"/><Relationship Id="rId2" Type="http://schemas.openxmlformats.org/officeDocument/2006/relationships/drawing" Target="../drawings/drawing40.xml"/><Relationship Id="rId1" Type="http://schemas.openxmlformats.org/officeDocument/2006/relationships/printerSettings" Target="../printerSettings/printerSettings45.bin"/><Relationship Id="rId6" Type="http://schemas.openxmlformats.org/officeDocument/2006/relationships/table" Target="../tables/table152.xml"/><Relationship Id="rId11" Type="http://schemas.openxmlformats.org/officeDocument/2006/relationships/table" Target="../tables/table157.xml"/><Relationship Id="rId5" Type="http://schemas.openxmlformats.org/officeDocument/2006/relationships/table" Target="../tables/table151.xml"/><Relationship Id="rId10" Type="http://schemas.openxmlformats.org/officeDocument/2006/relationships/table" Target="../tables/table156.xml"/><Relationship Id="rId4" Type="http://schemas.openxmlformats.org/officeDocument/2006/relationships/table" Target="../tables/table150.xml"/><Relationship Id="rId9" Type="http://schemas.openxmlformats.org/officeDocument/2006/relationships/table" Target="../tables/table155.xml"/><Relationship Id="rId14" Type="http://schemas.openxmlformats.org/officeDocument/2006/relationships/table" Target="../tables/table160.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161.xml"/><Relationship Id="rId2" Type="http://schemas.openxmlformats.org/officeDocument/2006/relationships/drawing" Target="../drawings/drawing42.x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8" Type="http://schemas.openxmlformats.org/officeDocument/2006/relationships/table" Target="../tables/table167.xml"/><Relationship Id="rId13" Type="http://schemas.openxmlformats.org/officeDocument/2006/relationships/table" Target="../tables/table172.xml"/><Relationship Id="rId3" Type="http://schemas.openxmlformats.org/officeDocument/2006/relationships/table" Target="../tables/table162.xml"/><Relationship Id="rId7" Type="http://schemas.openxmlformats.org/officeDocument/2006/relationships/table" Target="../tables/table166.xml"/><Relationship Id="rId12" Type="http://schemas.openxmlformats.org/officeDocument/2006/relationships/table" Target="../tables/table171.xml"/><Relationship Id="rId2" Type="http://schemas.openxmlformats.org/officeDocument/2006/relationships/drawing" Target="../drawings/drawing43.xml"/><Relationship Id="rId1" Type="http://schemas.openxmlformats.org/officeDocument/2006/relationships/printerSettings" Target="../printerSettings/printerSettings48.bin"/><Relationship Id="rId6" Type="http://schemas.openxmlformats.org/officeDocument/2006/relationships/table" Target="../tables/table165.xml"/><Relationship Id="rId11" Type="http://schemas.openxmlformats.org/officeDocument/2006/relationships/table" Target="../tables/table170.xml"/><Relationship Id="rId5" Type="http://schemas.openxmlformats.org/officeDocument/2006/relationships/table" Target="../tables/table164.xml"/><Relationship Id="rId10" Type="http://schemas.openxmlformats.org/officeDocument/2006/relationships/table" Target="../tables/table169.xml"/><Relationship Id="rId4" Type="http://schemas.openxmlformats.org/officeDocument/2006/relationships/table" Target="../tables/table163.xml"/><Relationship Id="rId9" Type="http://schemas.openxmlformats.org/officeDocument/2006/relationships/table" Target="../tables/table168.xml"/><Relationship Id="rId14" Type="http://schemas.openxmlformats.org/officeDocument/2006/relationships/table" Target="../tables/table173.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174.xml"/><Relationship Id="rId2" Type="http://schemas.openxmlformats.org/officeDocument/2006/relationships/drawing" Target="../drawings/drawing45.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table" Target="../tables/table180.xml"/><Relationship Id="rId13" Type="http://schemas.openxmlformats.org/officeDocument/2006/relationships/table" Target="../tables/table185.xml"/><Relationship Id="rId3" Type="http://schemas.openxmlformats.org/officeDocument/2006/relationships/table" Target="../tables/table175.xml"/><Relationship Id="rId7" Type="http://schemas.openxmlformats.org/officeDocument/2006/relationships/table" Target="../tables/table179.xml"/><Relationship Id="rId12" Type="http://schemas.openxmlformats.org/officeDocument/2006/relationships/table" Target="../tables/table184.xml"/><Relationship Id="rId2" Type="http://schemas.openxmlformats.org/officeDocument/2006/relationships/drawing" Target="../drawings/drawing46.xml"/><Relationship Id="rId1" Type="http://schemas.openxmlformats.org/officeDocument/2006/relationships/printerSettings" Target="../printerSettings/printerSettings51.bin"/><Relationship Id="rId6" Type="http://schemas.openxmlformats.org/officeDocument/2006/relationships/table" Target="../tables/table178.xml"/><Relationship Id="rId11" Type="http://schemas.openxmlformats.org/officeDocument/2006/relationships/table" Target="../tables/table183.xml"/><Relationship Id="rId5" Type="http://schemas.openxmlformats.org/officeDocument/2006/relationships/table" Target="../tables/table177.xml"/><Relationship Id="rId10" Type="http://schemas.openxmlformats.org/officeDocument/2006/relationships/table" Target="../tables/table182.xml"/><Relationship Id="rId4" Type="http://schemas.openxmlformats.org/officeDocument/2006/relationships/table" Target="../tables/table176.xml"/><Relationship Id="rId9" Type="http://schemas.openxmlformats.org/officeDocument/2006/relationships/table" Target="../tables/table181.xml"/><Relationship Id="rId14" Type="http://schemas.openxmlformats.org/officeDocument/2006/relationships/table" Target="../tables/table186.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187.xml"/><Relationship Id="rId2" Type="http://schemas.openxmlformats.org/officeDocument/2006/relationships/drawing" Target="../drawings/drawing48.xml"/><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8" Type="http://schemas.openxmlformats.org/officeDocument/2006/relationships/table" Target="../tables/table193.xml"/><Relationship Id="rId13" Type="http://schemas.openxmlformats.org/officeDocument/2006/relationships/table" Target="../tables/table198.xml"/><Relationship Id="rId3" Type="http://schemas.openxmlformats.org/officeDocument/2006/relationships/table" Target="../tables/table188.xml"/><Relationship Id="rId7" Type="http://schemas.openxmlformats.org/officeDocument/2006/relationships/table" Target="../tables/table192.xml"/><Relationship Id="rId12" Type="http://schemas.openxmlformats.org/officeDocument/2006/relationships/table" Target="../tables/table197.xml"/><Relationship Id="rId2" Type="http://schemas.openxmlformats.org/officeDocument/2006/relationships/drawing" Target="../drawings/drawing49.xml"/><Relationship Id="rId1" Type="http://schemas.openxmlformats.org/officeDocument/2006/relationships/printerSettings" Target="../printerSettings/printerSettings54.bin"/><Relationship Id="rId6" Type="http://schemas.openxmlformats.org/officeDocument/2006/relationships/table" Target="../tables/table191.xml"/><Relationship Id="rId11" Type="http://schemas.openxmlformats.org/officeDocument/2006/relationships/table" Target="../tables/table196.xml"/><Relationship Id="rId5" Type="http://schemas.openxmlformats.org/officeDocument/2006/relationships/table" Target="../tables/table190.xml"/><Relationship Id="rId10" Type="http://schemas.openxmlformats.org/officeDocument/2006/relationships/table" Target="../tables/table195.xml"/><Relationship Id="rId4" Type="http://schemas.openxmlformats.org/officeDocument/2006/relationships/table" Target="../tables/table189.xml"/><Relationship Id="rId9" Type="http://schemas.openxmlformats.org/officeDocument/2006/relationships/table" Target="../tables/table194.xml"/><Relationship Id="rId14" Type="http://schemas.openxmlformats.org/officeDocument/2006/relationships/table" Target="../tables/table199.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00.xml"/><Relationship Id="rId2" Type="http://schemas.openxmlformats.org/officeDocument/2006/relationships/drawing" Target="../drawings/drawing51.xml"/><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8" Type="http://schemas.openxmlformats.org/officeDocument/2006/relationships/table" Target="../tables/table206.xml"/><Relationship Id="rId13" Type="http://schemas.openxmlformats.org/officeDocument/2006/relationships/table" Target="../tables/table211.xml"/><Relationship Id="rId3" Type="http://schemas.openxmlformats.org/officeDocument/2006/relationships/table" Target="../tables/table201.xml"/><Relationship Id="rId7" Type="http://schemas.openxmlformats.org/officeDocument/2006/relationships/table" Target="../tables/table205.xml"/><Relationship Id="rId12" Type="http://schemas.openxmlformats.org/officeDocument/2006/relationships/table" Target="../tables/table210.xml"/><Relationship Id="rId2" Type="http://schemas.openxmlformats.org/officeDocument/2006/relationships/drawing" Target="../drawings/drawing52.xml"/><Relationship Id="rId1" Type="http://schemas.openxmlformats.org/officeDocument/2006/relationships/printerSettings" Target="../printerSettings/printerSettings57.bin"/><Relationship Id="rId6" Type="http://schemas.openxmlformats.org/officeDocument/2006/relationships/table" Target="../tables/table204.xml"/><Relationship Id="rId11" Type="http://schemas.openxmlformats.org/officeDocument/2006/relationships/table" Target="../tables/table209.xml"/><Relationship Id="rId5" Type="http://schemas.openxmlformats.org/officeDocument/2006/relationships/table" Target="../tables/table203.xml"/><Relationship Id="rId10" Type="http://schemas.openxmlformats.org/officeDocument/2006/relationships/table" Target="../tables/table208.xml"/><Relationship Id="rId4" Type="http://schemas.openxmlformats.org/officeDocument/2006/relationships/table" Target="../tables/table202.xml"/><Relationship Id="rId9" Type="http://schemas.openxmlformats.org/officeDocument/2006/relationships/table" Target="../tables/table207.xml"/><Relationship Id="rId14" Type="http://schemas.openxmlformats.org/officeDocument/2006/relationships/table" Target="../tables/table212.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213.xml"/><Relationship Id="rId2" Type="http://schemas.openxmlformats.org/officeDocument/2006/relationships/drawing" Target="../drawings/drawing54.xml"/><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8" Type="http://schemas.openxmlformats.org/officeDocument/2006/relationships/table" Target="../tables/table219.xml"/><Relationship Id="rId13" Type="http://schemas.openxmlformats.org/officeDocument/2006/relationships/table" Target="../tables/table224.xml"/><Relationship Id="rId3" Type="http://schemas.openxmlformats.org/officeDocument/2006/relationships/table" Target="../tables/table214.xml"/><Relationship Id="rId7" Type="http://schemas.openxmlformats.org/officeDocument/2006/relationships/table" Target="../tables/table218.xml"/><Relationship Id="rId12" Type="http://schemas.openxmlformats.org/officeDocument/2006/relationships/table" Target="../tables/table223.xml"/><Relationship Id="rId2" Type="http://schemas.openxmlformats.org/officeDocument/2006/relationships/drawing" Target="../drawings/drawing55.xml"/><Relationship Id="rId1" Type="http://schemas.openxmlformats.org/officeDocument/2006/relationships/printerSettings" Target="../printerSettings/printerSettings60.bin"/><Relationship Id="rId6" Type="http://schemas.openxmlformats.org/officeDocument/2006/relationships/table" Target="../tables/table217.xml"/><Relationship Id="rId11" Type="http://schemas.openxmlformats.org/officeDocument/2006/relationships/table" Target="../tables/table222.xml"/><Relationship Id="rId5" Type="http://schemas.openxmlformats.org/officeDocument/2006/relationships/table" Target="../tables/table216.xml"/><Relationship Id="rId10" Type="http://schemas.openxmlformats.org/officeDocument/2006/relationships/table" Target="../tables/table221.xml"/><Relationship Id="rId4" Type="http://schemas.openxmlformats.org/officeDocument/2006/relationships/table" Target="../tables/table215.xml"/><Relationship Id="rId9" Type="http://schemas.openxmlformats.org/officeDocument/2006/relationships/table" Target="../tables/table220.xml"/><Relationship Id="rId14" Type="http://schemas.openxmlformats.org/officeDocument/2006/relationships/table" Target="../tables/table225.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226.xml"/><Relationship Id="rId2" Type="http://schemas.openxmlformats.org/officeDocument/2006/relationships/drawing" Target="../drawings/drawing57.xml"/><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8" Type="http://schemas.openxmlformats.org/officeDocument/2006/relationships/table" Target="../tables/table232.xml"/><Relationship Id="rId13" Type="http://schemas.openxmlformats.org/officeDocument/2006/relationships/table" Target="../tables/table237.xml"/><Relationship Id="rId3" Type="http://schemas.openxmlformats.org/officeDocument/2006/relationships/table" Target="../tables/table227.xml"/><Relationship Id="rId7" Type="http://schemas.openxmlformats.org/officeDocument/2006/relationships/table" Target="../tables/table231.xml"/><Relationship Id="rId12" Type="http://schemas.openxmlformats.org/officeDocument/2006/relationships/table" Target="../tables/table236.xml"/><Relationship Id="rId2" Type="http://schemas.openxmlformats.org/officeDocument/2006/relationships/drawing" Target="../drawings/drawing58.xml"/><Relationship Id="rId1" Type="http://schemas.openxmlformats.org/officeDocument/2006/relationships/printerSettings" Target="../printerSettings/printerSettings63.bin"/><Relationship Id="rId6" Type="http://schemas.openxmlformats.org/officeDocument/2006/relationships/table" Target="../tables/table230.xml"/><Relationship Id="rId11" Type="http://schemas.openxmlformats.org/officeDocument/2006/relationships/table" Target="../tables/table235.xml"/><Relationship Id="rId5" Type="http://schemas.openxmlformats.org/officeDocument/2006/relationships/table" Target="../tables/table229.xml"/><Relationship Id="rId10" Type="http://schemas.openxmlformats.org/officeDocument/2006/relationships/table" Target="../tables/table234.xml"/><Relationship Id="rId4" Type="http://schemas.openxmlformats.org/officeDocument/2006/relationships/table" Target="../tables/table228.xml"/><Relationship Id="rId9" Type="http://schemas.openxmlformats.org/officeDocument/2006/relationships/table" Target="../tables/table233.xml"/><Relationship Id="rId14" Type="http://schemas.openxmlformats.org/officeDocument/2006/relationships/table" Target="../tables/table238.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4.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239.xml"/><Relationship Id="rId2" Type="http://schemas.openxmlformats.org/officeDocument/2006/relationships/drawing" Target="../drawings/drawing60.xml"/><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8" Type="http://schemas.openxmlformats.org/officeDocument/2006/relationships/table" Target="../tables/table20.xml"/><Relationship Id="rId13" Type="http://schemas.openxmlformats.org/officeDocument/2006/relationships/table" Target="../tables/table25.xml"/><Relationship Id="rId3" Type="http://schemas.openxmlformats.org/officeDocument/2006/relationships/table" Target="../tables/table15.xml"/><Relationship Id="rId7" Type="http://schemas.openxmlformats.org/officeDocument/2006/relationships/table" Target="../tables/table19.xml"/><Relationship Id="rId12" Type="http://schemas.openxmlformats.org/officeDocument/2006/relationships/table" Target="../tables/table24.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table" Target="../tables/table18.xml"/><Relationship Id="rId11" Type="http://schemas.openxmlformats.org/officeDocument/2006/relationships/table" Target="../tables/table23.xml"/><Relationship Id="rId5" Type="http://schemas.openxmlformats.org/officeDocument/2006/relationships/table" Target="../tables/table17.xml"/><Relationship Id="rId10" Type="http://schemas.openxmlformats.org/officeDocument/2006/relationships/table" Target="../tables/table22.xml"/><Relationship Id="rId4" Type="http://schemas.openxmlformats.org/officeDocument/2006/relationships/table" Target="../tables/table16.xml"/><Relationship Id="rId9" Type="http://schemas.openxmlformats.org/officeDocument/2006/relationships/table" Target="../tables/table21.xml"/><Relationship Id="rId14" Type="http://schemas.openxmlformats.org/officeDocument/2006/relationships/table" Target="../tables/table26.xml"/></Relationships>
</file>

<file path=xl/worksheets/_rels/sheet80.xml.rels><?xml version="1.0" encoding="UTF-8" standalone="yes"?>
<Relationships xmlns="http://schemas.openxmlformats.org/package/2006/relationships"><Relationship Id="rId8" Type="http://schemas.openxmlformats.org/officeDocument/2006/relationships/table" Target="../tables/table245.xml"/><Relationship Id="rId13" Type="http://schemas.openxmlformats.org/officeDocument/2006/relationships/table" Target="../tables/table250.xml"/><Relationship Id="rId3" Type="http://schemas.openxmlformats.org/officeDocument/2006/relationships/table" Target="../tables/table240.xml"/><Relationship Id="rId7" Type="http://schemas.openxmlformats.org/officeDocument/2006/relationships/table" Target="../tables/table244.xml"/><Relationship Id="rId12" Type="http://schemas.openxmlformats.org/officeDocument/2006/relationships/table" Target="../tables/table249.xml"/><Relationship Id="rId2" Type="http://schemas.openxmlformats.org/officeDocument/2006/relationships/drawing" Target="../drawings/drawing61.xml"/><Relationship Id="rId1" Type="http://schemas.openxmlformats.org/officeDocument/2006/relationships/printerSettings" Target="../printerSettings/printerSettings66.bin"/><Relationship Id="rId6" Type="http://schemas.openxmlformats.org/officeDocument/2006/relationships/table" Target="../tables/table243.xml"/><Relationship Id="rId11" Type="http://schemas.openxmlformats.org/officeDocument/2006/relationships/table" Target="../tables/table248.xml"/><Relationship Id="rId5" Type="http://schemas.openxmlformats.org/officeDocument/2006/relationships/table" Target="../tables/table242.xml"/><Relationship Id="rId10" Type="http://schemas.openxmlformats.org/officeDocument/2006/relationships/table" Target="../tables/table247.xml"/><Relationship Id="rId4" Type="http://schemas.openxmlformats.org/officeDocument/2006/relationships/table" Target="../tables/table241.xml"/><Relationship Id="rId9" Type="http://schemas.openxmlformats.org/officeDocument/2006/relationships/table" Target="../tables/table246.xml"/><Relationship Id="rId14" Type="http://schemas.openxmlformats.org/officeDocument/2006/relationships/table" Target="../tables/table251.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7.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252.xml"/><Relationship Id="rId2" Type="http://schemas.openxmlformats.org/officeDocument/2006/relationships/drawing" Target="../drawings/drawing63.xml"/><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8" Type="http://schemas.openxmlformats.org/officeDocument/2006/relationships/table" Target="../tables/table258.xml"/><Relationship Id="rId13" Type="http://schemas.openxmlformats.org/officeDocument/2006/relationships/table" Target="../tables/table263.xml"/><Relationship Id="rId3" Type="http://schemas.openxmlformats.org/officeDocument/2006/relationships/table" Target="../tables/table253.xml"/><Relationship Id="rId7" Type="http://schemas.openxmlformats.org/officeDocument/2006/relationships/table" Target="../tables/table257.xml"/><Relationship Id="rId12" Type="http://schemas.openxmlformats.org/officeDocument/2006/relationships/table" Target="../tables/table262.xml"/><Relationship Id="rId2" Type="http://schemas.openxmlformats.org/officeDocument/2006/relationships/drawing" Target="../drawings/drawing64.xml"/><Relationship Id="rId1" Type="http://schemas.openxmlformats.org/officeDocument/2006/relationships/printerSettings" Target="../printerSettings/printerSettings69.bin"/><Relationship Id="rId6" Type="http://schemas.openxmlformats.org/officeDocument/2006/relationships/table" Target="../tables/table256.xml"/><Relationship Id="rId11" Type="http://schemas.openxmlformats.org/officeDocument/2006/relationships/table" Target="../tables/table261.xml"/><Relationship Id="rId5" Type="http://schemas.openxmlformats.org/officeDocument/2006/relationships/table" Target="../tables/table255.xml"/><Relationship Id="rId10" Type="http://schemas.openxmlformats.org/officeDocument/2006/relationships/table" Target="../tables/table260.xml"/><Relationship Id="rId4" Type="http://schemas.openxmlformats.org/officeDocument/2006/relationships/table" Target="../tables/table254.xml"/><Relationship Id="rId9" Type="http://schemas.openxmlformats.org/officeDocument/2006/relationships/table" Target="../tables/table259.xml"/><Relationship Id="rId14" Type="http://schemas.openxmlformats.org/officeDocument/2006/relationships/table" Target="../tables/table264.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5"/>
  <sheetViews>
    <sheetView tabSelected="1" workbookViewId="0">
      <selection activeCell="B2" sqref="B2"/>
    </sheetView>
  </sheetViews>
  <sheetFormatPr defaultRowHeight="15"/>
  <cols>
    <col min="1" max="1" width="86.85546875" bestFit="1" customWidth="1"/>
  </cols>
  <sheetData>
    <row r="1" spans="1:2" ht="117">
      <c r="A1" s="92" t="s">
        <v>1766</v>
      </c>
      <c r="B1" s="93" t="s">
        <v>1765</v>
      </c>
    </row>
    <row r="2" spans="1:2">
      <c r="A2" s="91"/>
    </row>
    <row r="35" spans="1:1" ht="94.5">
      <c r="A35" s="94" t="s">
        <v>1767</v>
      </c>
    </row>
  </sheetData>
  <pageMargins left="0.7" right="0.7" top="0.75" bottom="0.75" header="0.3" footer="0.3"/>
  <pageSetup orientation="landscape"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P22" sqref="P22"/>
    </sheetView>
  </sheetViews>
  <sheetFormatPr defaultColWidth="9.140625" defaultRowHeight="12.75"/>
  <cols>
    <col min="1" max="2" width="9.140625" style="20"/>
    <col min="3" max="3" width="10.5703125" style="20" customWidth="1"/>
    <col min="4" max="4" width="10" style="20" customWidth="1"/>
    <col min="5" max="16384" width="9.140625" style="20"/>
  </cols>
  <sheetData>
    <row r="4" spans="1:6" ht="59.25" customHeight="1">
      <c r="C4" s="24" t="s">
        <v>158</v>
      </c>
      <c r="D4" s="24" t="s">
        <v>157</v>
      </c>
      <c r="F4" s="23"/>
    </row>
    <row r="6" spans="1:6" ht="15">
      <c r="A6" s="20" t="s">
        <v>156</v>
      </c>
      <c r="B6" s="22">
        <v>1</v>
      </c>
      <c r="C6" s="21">
        <f>'[4]Projected Maint Practices'!Q7</f>
        <v>3863</v>
      </c>
      <c r="D6" s="21">
        <f>'[4]True Maint Practices'!Q7</f>
        <v>1456</v>
      </c>
    </row>
    <row r="7" spans="1:6" ht="15">
      <c r="B7" s="22">
        <v>2</v>
      </c>
      <c r="C7" s="21">
        <f>'[4]Projected Maint Practices'!Q8</f>
        <v>3863</v>
      </c>
      <c r="D7" s="21">
        <f>'[4]True Maint Practices'!Q8</f>
        <v>4035</v>
      </c>
    </row>
    <row r="8" spans="1:6" ht="15">
      <c r="B8" s="22">
        <v>3</v>
      </c>
      <c r="C8" s="21">
        <f>'[4]Projected Maint Practices'!Q9</f>
        <v>3863</v>
      </c>
      <c r="D8" s="21">
        <f>'[4]True Maint Practices'!Q9</f>
        <v>2202.5</v>
      </c>
    </row>
    <row r="9" spans="1:6" ht="15">
      <c r="B9" s="22">
        <v>4</v>
      </c>
      <c r="C9" s="21">
        <f>'[4]Projected Maint Practices'!Q10</f>
        <v>3863</v>
      </c>
      <c r="D9" s="21">
        <f>'[4]True Maint Practices'!Q10</f>
        <v>1964.5</v>
      </c>
    </row>
    <row r="10" spans="1:6" ht="15">
      <c r="B10" s="22">
        <v>5</v>
      </c>
      <c r="C10" s="21">
        <f>'[4]Projected Maint Practices'!Q11</f>
        <v>0</v>
      </c>
      <c r="D10" s="21">
        <f>'[4]True Maint Practices'!Q11</f>
        <v>3800</v>
      </c>
    </row>
    <row r="11" spans="1:6" ht="15">
      <c r="B11" s="22">
        <v>6</v>
      </c>
      <c r="C11" s="21">
        <f>'[4]Projected Maint Practices'!Q12</f>
        <v>0</v>
      </c>
      <c r="D11" s="21">
        <f>'[4]True Maint Practices'!Q12</f>
        <v>1618</v>
      </c>
    </row>
    <row r="12" spans="1:6" ht="15">
      <c r="B12" s="22">
        <v>7</v>
      </c>
      <c r="C12" s="21">
        <f>'[4]Projected Maint Practices'!Q13</f>
        <v>0</v>
      </c>
      <c r="D12" s="21">
        <f>'[4]True Maint Practices'!Q13</f>
        <v>0</v>
      </c>
    </row>
    <row r="13" spans="1:6" ht="15">
      <c r="B13" s="22">
        <v>8</v>
      </c>
      <c r="C13" s="21">
        <f>'[4]Projected Maint Practices'!Q14</f>
        <v>0</v>
      </c>
      <c r="D13" s="21">
        <f>'[4]True Maint Practices'!Q14</f>
        <v>0</v>
      </c>
    </row>
    <row r="14" spans="1:6" ht="15">
      <c r="B14" s="22">
        <v>9</v>
      </c>
      <c r="C14" s="21">
        <f>'[4]Projected Maint Practices'!Q15</f>
        <v>0</v>
      </c>
      <c r="D14" s="21">
        <f>'[4]True Maint Practices'!Q15</f>
        <v>0</v>
      </c>
    </row>
    <row r="15" spans="1:6" ht="15">
      <c r="B15" s="22">
        <v>10</v>
      </c>
      <c r="C15" s="21">
        <f>'[4]Projected Maint Practices'!Q16</f>
        <v>0</v>
      </c>
      <c r="D15" s="21">
        <f>'[4]True Maint Practices'!Q16</f>
        <v>0</v>
      </c>
    </row>
    <row r="16" spans="1:6" ht="15">
      <c r="B16" s="22">
        <v>11</v>
      </c>
      <c r="C16" s="21">
        <f>'[4]Projected Maint Practices'!Q17</f>
        <v>0</v>
      </c>
      <c r="D16" s="21">
        <f>'[4]True Maint Practices'!Q17</f>
        <v>0</v>
      </c>
    </row>
    <row r="17" spans="2:4" ht="15">
      <c r="B17" s="22">
        <v>12</v>
      </c>
      <c r="C17" s="21">
        <f>'[4]Projected Maint Practices'!Q18</f>
        <v>0</v>
      </c>
      <c r="D17" s="21">
        <f>'[4]True Maint Practices'!Q18</f>
        <v>0</v>
      </c>
    </row>
    <row r="18" spans="2:4" ht="15">
      <c r="B18" s="20" t="s">
        <v>1</v>
      </c>
      <c r="C18" s="21">
        <f>SUM(C6:C17)</f>
        <v>15452</v>
      </c>
      <c r="D18" s="21">
        <f>SUM(D6:D17)</f>
        <v>15076</v>
      </c>
    </row>
  </sheetData>
  <printOptions horizontalCentered="1" verticalCentered="1"/>
  <pageMargins left="0.5" right="0.5" top="0.75" bottom="0.75" header="0.5" footer="0.5"/>
  <pageSetup orientation="landscape" horizontalDpi="1200" verticalDpi="1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1"/>
  <sheetViews>
    <sheetView showGridLines="0" zoomScaleNormal="100" workbookViewId="0">
      <selection activeCell="Q9" sqref="A1:XFD1048576"/>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ht="16.5" customHeight="1">
      <c r="B1" s="43"/>
      <c r="C1" s="43"/>
      <c r="D1" s="43"/>
      <c r="E1" s="43"/>
      <c r="F1" s="43"/>
      <c r="G1" s="43"/>
      <c r="H1" s="43"/>
      <c r="I1" s="43"/>
      <c r="J1" s="43"/>
      <c r="K1" s="43"/>
      <c r="L1" s="43"/>
      <c r="M1" s="43"/>
      <c r="N1" s="43"/>
      <c r="O1" s="43"/>
      <c r="P1" s="43"/>
    </row>
    <row r="2" spans="2:22" ht="31.5" customHeight="1">
      <c r="B2" s="379" t="s">
        <v>234</v>
      </c>
      <c r="C2" s="43"/>
      <c r="D2" s="43"/>
      <c r="E2" s="43"/>
      <c r="F2" s="43"/>
      <c r="G2" s="43"/>
      <c r="H2" s="43"/>
      <c r="I2" s="43"/>
      <c r="J2" s="43"/>
      <c r="K2" s="43"/>
      <c r="L2" s="43"/>
      <c r="M2" s="43"/>
      <c r="N2" s="43"/>
      <c r="O2" s="44" t="s">
        <v>233</v>
      </c>
      <c r="P2" s="43"/>
    </row>
    <row r="3" spans="2:22" ht="16.5" customHeight="1">
      <c r="B3" s="43"/>
      <c r="C3" s="43"/>
      <c r="D3" s="43"/>
      <c r="E3" s="43"/>
      <c r="F3" s="43"/>
      <c r="G3" s="43"/>
      <c r="H3" s="43"/>
      <c r="I3" s="43"/>
      <c r="J3" s="43"/>
      <c r="K3" s="43"/>
      <c r="L3" s="43"/>
      <c r="M3" s="43"/>
      <c r="N3" s="43"/>
      <c r="O3" s="43"/>
      <c r="P3" s="43"/>
    </row>
    <row r="12" spans="2:22" ht="16.5" customHeight="1">
      <c r="V12" s="1" t="s">
        <v>32</v>
      </c>
    </row>
    <row r="18" spans="2:16"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ht="16.5" customHeight="1">
      <c r="B19" s="101" t="s">
        <v>17</v>
      </c>
      <c r="C19" s="8"/>
      <c r="D19" s="8"/>
      <c r="E19" s="8"/>
      <c r="F19" s="8"/>
      <c r="G19" s="8"/>
      <c r="H19" s="8"/>
      <c r="I19" s="8"/>
      <c r="J19" s="8">
        <v>310.64999999999998</v>
      </c>
      <c r="K19" s="8"/>
      <c r="L19" s="8">
        <v>104.86</v>
      </c>
      <c r="M19" s="30"/>
      <c r="N19" s="8"/>
      <c r="O19" s="4">
        <f t="shared" ref="O19:O38" si="0">SUM(C19:N19)</f>
        <v>415.51</v>
      </c>
      <c r="P19" s="102"/>
    </row>
    <row r="20" spans="2:16" ht="16.5" customHeight="1">
      <c r="B20" s="101" t="s">
        <v>16</v>
      </c>
      <c r="C20" s="8"/>
      <c r="D20" s="8"/>
      <c r="E20" s="8"/>
      <c r="F20" s="8"/>
      <c r="G20" s="8"/>
      <c r="H20" s="8"/>
      <c r="I20" s="8"/>
      <c r="J20" s="8"/>
      <c r="K20" s="8"/>
      <c r="L20" s="8"/>
      <c r="M20" s="30"/>
      <c r="N20" s="8"/>
      <c r="O20" s="4">
        <f t="shared" si="0"/>
        <v>0</v>
      </c>
      <c r="P20" s="102"/>
    </row>
    <row r="21" spans="2:16" ht="16.5" customHeight="1">
      <c r="B21" s="101" t="s">
        <v>15</v>
      </c>
      <c r="C21" s="8"/>
      <c r="D21" s="8"/>
      <c r="E21" s="8"/>
      <c r="F21" s="8"/>
      <c r="G21" s="8"/>
      <c r="H21" s="8"/>
      <c r="I21" s="8"/>
      <c r="J21" s="8"/>
      <c r="K21" s="8">
        <v>11.3</v>
      </c>
      <c r="L21" s="8"/>
      <c r="M21" s="30"/>
      <c r="N21" s="8"/>
      <c r="O21" s="4">
        <f t="shared" si="0"/>
        <v>11.3</v>
      </c>
      <c r="P21" s="102"/>
    </row>
    <row r="22" spans="2:16" ht="16.5" customHeight="1">
      <c r="B22" s="101" t="s">
        <v>232</v>
      </c>
      <c r="C22" s="8"/>
      <c r="D22" s="8"/>
      <c r="E22" s="8"/>
      <c r="F22" s="8"/>
      <c r="G22" s="8"/>
      <c r="H22" s="8"/>
      <c r="I22" s="8"/>
      <c r="J22" s="8"/>
      <c r="K22" s="8"/>
      <c r="L22" s="8"/>
      <c r="M22" s="30"/>
      <c r="N22" s="8"/>
      <c r="O22" s="4">
        <f t="shared" si="0"/>
        <v>0</v>
      </c>
      <c r="P22" s="102"/>
    </row>
    <row r="23" spans="2:16" ht="16.5" customHeight="1">
      <c r="B23" s="101" t="s">
        <v>13</v>
      </c>
      <c r="C23" s="8"/>
      <c r="D23" s="8"/>
      <c r="E23" s="8"/>
      <c r="F23" s="8"/>
      <c r="G23" s="8"/>
      <c r="H23" s="8"/>
      <c r="I23" s="8"/>
      <c r="J23" s="8"/>
      <c r="K23" s="8"/>
      <c r="L23" s="8"/>
      <c r="M23" s="30"/>
      <c r="N23" s="8"/>
      <c r="O23" s="4">
        <f t="shared" si="0"/>
        <v>0</v>
      </c>
      <c r="P23" s="102"/>
    </row>
    <row r="24" spans="2:16" ht="16.5" customHeight="1">
      <c r="B24" s="103" t="s">
        <v>12</v>
      </c>
      <c r="C24" s="17"/>
      <c r="D24" s="17"/>
      <c r="E24" s="17"/>
      <c r="F24" s="17"/>
      <c r="G24" s="17"/>
      <c r="H24" s="17"/>
      <c r="I24" s="17"/>
      <c r="J24" s="17"/>
      <c r="K24" s="17"/>
      <c r="L24" s="17"/>
      <c r="M24" s="35"/>
      <c r="N24" s="17"/>
      <c r="O24" s="4">
        <f t="shared" si="0"/>
        <v>0</v>
      </c>
      <c r="P24" s="102"/>
    </row>
    <row r="25" spans="2:16" ht="16.5" customHeight="1">
      <c r="B25" s="103" t="s">
        <v>11</v>
      </c>
      <c r="C25" s="17"/>
      <c r="D25" s="17"/>
      <c r="E25" s="17"/>
      <c r="F25" s="17"/>
      <c r="G25" s="17"/>
      <c r="H25" s="17"/>
      <c r="I25" s="17"/>
      <c r="J25" s="17"/>
      <c r="K25" s="17"/>
      <c r="L25" s="17"/>
      <c r="M25" s="35"/>
      <c r="N25" s="17"/>
      <c r="O25" s="4">
        <f t="shared" si="0"/>
        <v>0</v>
      </c>
      <c r="P25" s="102"/>
    </row>
    <row r="26" spans="2:16" ht="16.5" customHeight="1">
      <c r="B26" s="103" t="s">
        <v>10</v>
      </c>
      <c r="C26" s="17"/>
      <c r="D26" s="17"/>
      <c r="E26" s="17"/>
      <c r="F26" s="17"/>
      <c r="G26" s="17"/>
      <c r="H26" s="17"/>
      <c r="I26" s="17"/>
      <c r="J26" s="17"/>
      <c r="K26" s="17"/>
      <c r="L26" s="17"/>
      <c r="M26" s="35"/>
      <c r="N26" s="17"/>
      <c r="O26" s="4">
        <f t="shared" si="0"/>
        <v>0</v>
      </c>
      <c r="P26" s="102"/>
    </row>
    <row r="27" spans="2:16" ht="16.5" customHeight="1">
      <c r="B27" s="103" t="s">
        <v>9</v>
      </c>
      <c r="C27" s="17"/>
      <c r="D27" s="17"/>
      <c r="E27" s="17"/>
      <c r="F27" s="17"/>
      <c r="G27" s="17"/>
      <c r="H27" s="17"/>
      <c r="I27" s="17"/>
      <c r="J27" s="17"/>
      <c r="K27" s="17"/>
      <c r="L27" s="17"/>
      <c r="M27" s="35"/>
      <c r="N27" s="17"/>
      <c r="O27" s="4">
        <f t="shared" si="0"/>
        <v>0</v>
      </c>
      <c r="P27" s="102"/>
    </row>
    <row r="28" spans="2:16" ht="16.5" hidden="1" customHeight="1">
      <c r="B28" s="103"/>
      <c r="C28" s="15"/>
      <c r="D28" s="15"/>
      <c r="E28" s="15"/>
      <c r="F28" s="15"/>
      <c r="G28" s="15"/>
      <c r="H28" s="15"/>
      <c r="I28" s="15"/>
      <c r="J28" s="15"/>
      <c r="K28" s="15"/>
      <c r="L28" s="15"/>
      <c r="M28" s="16"/>
      <c r="N28" s="15"/>
      <c r="O28" s="4">
        <f t="shared" si="0"/>
        <v>0</v>
      </c>
      <c r="P28" s="102"/>
    </row>
    <row r="29" spans="2:16" ht="16.5" hidden="1" customHeight="1">
      <c r="B29" s="103"/>
      <c r="C29" s="15"/>
      <c r="D29" s="15"/>
      <c r="E29" s="15"/>
      <c r="F29" s="15"/>
      <c r="G29" s="15"/>
      <c r="H29" s="15"/>
      <c r="I29" s="15"/>
      <c r="J29" s="15"/>
      <c r="K29" s="15"/>
      <c r="L29" s="15"/>
      <c r="M29" s="16"/>
      <c r="N29" s="15"/>
      <c r="O29" s="4">
        <f t="shared" si="0"/>
        <v>0</v>
      </c>
      <c r="P29" s="102"/>
    </row>
    <row r="30" spans="2:16" ht="16.5" hidden="1" customHeight="1">
      <c r="B30" s="103"/>
      <c r="C30" s="15"/>
      <c r="D30" s="15"/>
      <c r="E30" s="15"/>
      <c r="F30" s="15"/>
      <c r="G30" s="15"/>
      <c r="H30" s="15"/>
      <c r="I30" s="15"/>
      <c r="J30" s="15"/>
      <c r="K30" s="15"/>
      <c r="L30" s="15"/>
      <c r="M30" s="16"/>
      <c r="N30" s="15"/>
      <c r="O30" s="4">
        <f t="shared" si="0"/>
        <v>0</v>
      </c>
      <c r="P30" s="102"/>
    </row>
    <row r="31" spans="2:16" ht="16.5" hidden="1" customHeight="1">
      <c r="B31" s="103"/>
      <c r="C31" s="15"/>
      <c r="D31" s="15"/>
      <c r="E31" s="15"/>
      <c r="F31" s="15"/>
      <c r="G31" s="15"/>
      <c r="H31" s="15"/>
      <c r="I31" s="15"/>
      <c r="J31" s="15"/>
      <c r="K31" s="15"/>
      <c r="L31" s="15"/>
      <c r="M31" s="16"/>
      <c r="N31" s="15"/>
      <c r="O31" s="4">
        <f t="shared" si="0"/>
        <v>0</v>
      </c>
      <c r="P31" s="102"/>
    </row>
    <row r="32" spans="2:16" ht="16.5" customHeight="1">
      <c r="B32" s="103" t="s">
        <v>8</v>
      </c>
      <c r="C32" s="4"/>
      <c r="D32" s="4"/>
      <c r="E32" s="4"/>
      <c r="F32" s="4"/>
      <c r="G32" s="4"/>
      <c r="H32" s="4"/>
      <c r="I32" s="4"/>
      <c r="J32" s="4"/>
      <c r="K32" s="4"/>
      <c r="L32" s="4"/>
      <c r="M32" s="33"/>
      <c r="N32" s="4"/>
      <c r="O32" s="4">
        <f t="shared" si="0"/>
        <v>0</v>
      </c>
      <c r="P32" s="102"/>
    </row>
    <row r="33" spans="2:18" ht="16.5" customHeight="1">
      <c r="B33" s="103" t="s">
        <v>231</v>
      </c>
      <c r="C33" s="12"/>
      <c r="D33" s="12"/>
      <c r="E33" s="12"/>
      <c r="F33" s="12"/>
      <c r="G33" s="12"/>
      <c r="H33" s="12"/>
      <c r="I33" s="12"/>
      <c r="J33" s="12"/>
      <c r="K33" s="12"/>
      <c r="L33" s="12"/>
      <c r="M33" s="32"/>
      <c r="N33" s="12"/>
      <c r="O33" s="4">
        <f t="shared" si="0"/>
        <v>0</v>
      </c>
      <c r="P33" s="102"/>
    </row>
    <row r="34" spans="2:18" ht="16.5" customHeight="1">
      <c r="B34" s="103" t="s">
        <v>6</v>
      </c>
      <c r="C34" s="41"/>
      <c r="D34" s="41"/>
      <c r="E34" s="41"/>
      <c r="F34" s="41"/>
      <c r="G34" s="41"/>
      <c r="H34" s="41"/>
      <c r="I34" s="41"/>
      <c r="J34" s="41"/>
      <c r="K34" s="41"/>
      <c r="L34" s="41"/>
      <c r="M34" s="42"/>
      <c r="N34" s="41"/>
      <c r="O34" s="4">
        <f t="shared" si="0"/>
        <v>0</v>
      </c>
      <c r="P34" s="102"/>
    </row>
    <row r="35" spans="2:18" ht="16.5" customHeight="1">
      <c r="B35" s="103" t="s">
        <v>5</v>
      </c>
      <c r="C35" s="8"/>
      <c r="D35" s="8"/>
      <c r="E35" s="8"/>
      <c r="F35" s="8"/>
      <c r="G35" s="8"/>
      <c r="H35" s="8"/>
      <c r="I35" s="8"/>
      <c r="J35" s="8"/>
      <c r="K35" s="8"/>
      <c r="L35" s="8"/>
      <c r="M35" s="30"/>
      <c r="N35" s="8"/>
      <c r="O35" s="4">
        <f t="shared" si="0"/>
        <v>0</v>
      </c>
      <c r="P35" s="102"/>
    </row>
    <row r="36" spans="2:18" ht="16.5" customHeight="1">
      <c r="B36" s="103" t="s">
        <v>230</v>
      </c>
      <c r="C36" s="8"/>
      <c r="D36" s="8"/>
      <c r="E36" s="8"/>
      <c r="F36" s="8"/>
      <c r="G36" s="8"/>
      <c r="H36" s="8"/>
      <c r="I36" s="8">
        <v>2</v>
      </c>
      <c r="J36" s="8"/>
      <c r="K36" s="8"/>
      <c r="L36" s="8"/>
      <c r="M36" s="30"/>
      <c r="N36" s="8"/>
      <c r="O36" s="4">
        <f t="shared" si="0"/>
        <v>2</v>
      </c>
      <c r="P36" s="102"/>
    </row>
    <row r="37" spans="2:18" ht="16.5" customHeight="1">
      <c r="B37" s="103" t="s">
        <v>3</v>
      </c>
      <c r="C37" s="8"/>
      <c r="D37" s="8"/>
      <c r="E37" s="8"/>
      <c r="F37" s="8"/>
      <c r="G37" s="8"/>
      <c r="H37" s="8"/>
      <c r="I37" s="8"/>
      <c r="J37" s="8">
        <v>27.6</v>
      </c>
      <c r="K37" s="8"/>
      <c r="L37" s="8"/>
      <c r="M37" s="30"/>
      <c r="N37" s="8"/>
      <c r="O37" s="4">
        <f t="shared" si="0"/>
        <v>27.6</v>
      </c>
      <c r="P37" s="102"/>
    </row>
    <row r="38" spans="2:18" ht="16.5" customHeight="1">
      <c r="B38" s="103" t="s">
        <v>2</v>
      </c>
      <c r="C38" s="5"/>
      <c r="D38" s="5"/>
      <c r="E38" s="5"/>
      <c r="F38" s="5"/>
      <c r="G38" s="5"/>
      <c r="H38" s="5"/>
      <c r="I38" s="5">
        <v>10</v>
      </c>
      <c r="J38" s="5">
        <v>60</v>
      </c>
      <c r="K38" s="5">
        <v>40</v>
      </c>
      <c r="L38" s="5"/>
      <c r="M38" s="29"/>
      <c r="N38" s="5"/>
      <c r="O38" s="4">
        <f t="shared" si="0"/>
        <v>110</v>
      </c>
      <c r="P38" s="102"/>
    </row>
    <row r="39" spans="2:18" ht="16.5" customHeight="1">
      <c r="B39" s="101" t="s">
        <v>1</v>
      </c>
      <c r="C39" s="104">
        <f>SUBTOTAL(109,ExpenseSummary28[Jan])</f>
        <v>0</v>
      </c>
      <c r="D39" s="105">
        <f>SUBTOTAL(109,ExpenseSummary28[Feb])</f>
        <v>0</v>
      </c>
      <c r="E39" s="104">
        <f>SUBTOTAL(109,ExpenseSummary28[Mar])</f>
        <v>0</v>
      </c>
      <c r="F39" s="105">
        <f>SUBTOTAL(109,ExpenseSummary28[Apr])</f>
        <v>0</v>
      </c>
      <c r="G39" s="104">
        <f>SUBTOTAL(109,ExpenseSummary28[May])</f>
        <v>0</v>
      </c>
      <c r="H39" s="105">
        <f>SUBTOTAL(109,ExpenseSummary28[Jun])</f>
        <v>0</v>
      </c>
      <c r="I39" s="104">
        <f>SUBTOTAL(109,ExpenseSummary28[Jul])</f>
        <v>12</v>
      </c>
      <c r="J39" s="105">
        <f>SUBTOTAL(109,ExpenseSummary28[Aug])</f>
        <v>398.25</v>
      </c>
      <c r="K39" s="104">
        <f>SUBTOTAL(109,ExpenseSummary28[Sep])</f>
        <v>51.3</v>
      </c>
      <c r="L39" s="105">
        <f>SUBTOTAL(109,ExpenseSummary28[Oct])</f>
        <v>104.86</v>
      </c>
      <c r="M39" s="267">
        <f>SUBTOTAL(109,ExpenseSummary28[Nov])</f>
        <v>0</v>
      </c>
      <c r="N39" s="105">
        <f>SUBTOTAL(109,ExpenseSummary28[Dec])</f>
        <v>0</v>
      </c>
      <c r="O39" s="106">
        <f>SUBTOTAL(109,ExpenseSummary28[Total])</f>
        <v>566.41000000000008</v>
      </c>
      <c r="P39" s="102"/>
    </row>
    <row r="40" spans="2:18" ht="16.5" customHeight="1">
      <c r="B40" s="28"/>
      <c r="C40" s="28"/>
    </row>
    <row r="41" spans="2:18" ht="16.5" customHeight="1">
      <c r="B41" s="268"/>
      <c r="C41" s="268"/>
      <c r="D41" s="269"/>
      <c r="E41" s="270" t="s">
        <v>118</v>
      </c>
      <c r="F41" s="270"/>
      <c r="G41" s="270"/>
      <c r="H41" s="270"/>
      <c r="I41" s="270"/>
      <c r="J41" s="270"/>
      <c r="K41" s="270"/>
      <c r="L41" s="270"/>
      <c r="M41" s="270"/>
      <c r="N41" s="270"/>
      <c r="O41" s="270"/>
      <c r="P41" s="270"/>
      <c r="Q41" s="270"/>
      <c r="R41" s="270"/>
    </row>
    <row r="42" spans="2:18" ht="16.5" customHeight="1">
      <c r="B42" s="271" t="s">
        <v>117</v>
      </c>
      <c r="C42" s="272" t="s">
        <v>235</v>
      </c>
      <c r="D42" s="269"/>
      <c r="E42" s="273" t="s">
        <v>1774</v>
      </c>
      <c r="F42" s="273"/>
      <c r="G42" s="273"/>
      <c r="H42" s="273"/>
      <c r="I42" s="273"/>
      <c r="J42" s="273"/>
      <c r="K42" s="273"/>
      <c r="L42" s="273"/>
      <c r="M42" s="273"/>
      <c r="N42" s="273"/>
      <c r="O42" s="273"/>
      <c r="P42" s="273"/>
      <c r="Q42" s="273"/>
      <c r="R42" s="273"/>
    </row>
    <row r="43" spans="2:18" ht="16.5" customHeight="1">
      <c r="B43" s="274" t="s">
        <v>115</v>
      </c>
      <c r="C43" s="275" t="s">
        <v>114</v>
      </c>
      <c r="D43" s="269"/>
      <c r="E43" s="270" t="s">
        <v>113</v>
      </c>
      <c r="F43" s="270"/>
      <c r="G43" s="270"/>
      <c r="H43" s="270"/>
      <c r="I43" s="270"/>
      <c r="J43" s="270"/>
      <c r="K43" s="270"/>
      <c r="L43" s="270"/>
      <c r="M43" s="270"/>
      <c r="N43" s="270"/>
      <c r="O43" s="270"/>
      <c r="P43" s="270"/>
      <c r="Q43" s="270"/>
      <c r="R43" s="270"/>
    </row>
    <row r="44" spans="2:18" ht="16.5" customHeight="1" thickBot="1">
      <c r="B44" s="274" t="s">
        <v>112</v>
      </c>
      <c r="C44" s="276">
        <v>67175</v>
      </c>
      <c r="D44" s="268"/>
      <c r="E44" s="273" t="s">
        <v>236</v>
      </c>
      <c r="F44" s="273"/>
      <c r="G44" s="273"/>
      <c r="H44" s="273"/>
      <c r="I44" s="273"/>
      <c r="J44" s="273"/>
      <c r="K44" s="273"/>
      <c r="L44" s="273"/>
      <c r="M44" s="273"/>
      <c r="N44" s="273"/>
      <c r="O44" s="273"/>
      <c r="P44" s="273"/>
      <c r="Q44" s="273"/>
      <c r="R44" s="273"/>
    </row>
    <row r="45" spans="2:18" ht="16.5" customHeight="1">
      <c r="B45" s="274" t="s">
        <v>110</v>
      </c>
      <c r="C45" s="277"/>
      <c r="D45" s="260"/>
      <c r="E45" s="278" t="s">
        <v>109</v>
      </c>
      <c r="F45" s="279" t="s">
        <v>108</v>
      </c>
      <c r="G45" s="280"/>
      <c r="H45" s="279" t="s">
        <v>107</v>
      </c>
      <c r="I45" s="280"/>
      <c r="J45" s="279" t="s">
        <v>106</v>
      </c>
      <c r="K45" s="280"/>
      <c r="L45" s="279" t="s">
        <v>105</v>
      </c>
      <c r="M45" s="280"/>
      <c r="N45" s="279" t="s">
        <v>96</v>
      </c>
      <c r="O45" s="280"/>
      <c r="P45" s="279" t="s">
        <v>104</v>
      </c>
      <c r="Q45" s="280"/>
      <c r="R45" s="281" t="s">
        <v>103</v>
      </c>
    </row>
    <row r="46" spans="2:18" ht="16.5" customHeight="1">
      <c r="B46" s="282" t="s">
        <v>102</v>
      </c>
      <c r="C46" s="283">
        <v>283.19</v>
      </c>
      <c r="D46" s="262"/>
      <c r="E46" s="284"/>
      <c r="F46" s="285" t="s">
        <v>101</v>
      </c>
      <c r="G46" s="286" t="s">
        <v>100</v>
      </c>
      <c r="H46" s="285" t="s">
        <v>101</v>
      </c>
      <c r="I46" s="286" t="s">
        <v>100</v>
      </c>
      <c r="J46" s="285" t="s">
        <v>101</v>
      </c>
      <c r="K46" s="286" t="s">
        <v>100</v>
      </c>
      <c r="L46" s="285" t="s">
        <v>101</v>
      </c>
      <c r="M46" s="286" t="s">
        <v>100</v>
      </c>
      <c r="N46" s="285" t="s">
        <v>101</v>
      </c>
      <c r="O46" s="286" t="s">
        <v>100</v>
      </c>
      <c r="P46" s="287" t="s">
        <v>101</v>
      </c>
      <c r="Q46" s="286" t="s">
        <v>100</v>
      </c>
      <c r="R46" s="284"/>
    </row>
    <row r="47" spans="2:18" ht="16.5" customHeight="1">
      <c r="B47" s="274" t="s">
        <v>99</v>
      </c>
      <c r="C47" s="288">
        <v>6867</v>
      </c>
      <c r="D47" s="260"/>
      <c r="E47" s="289" t="s">
        <v>87</v>
      </c>
      <c r="F47" s="290">
        <v>7</v>
      </c>
      <c r="G47" s="291">
        <f>SUM($B$6*F47)*C59</f>
        <v>0</v>
      </c>
      <c r="H47" s="292">
        <v>0</v>
      </c>
      <c r="I47" s="291">
        <f>IF(H47&gt;0,($B$7*C59),0)</f>
        <v>0</v>
      </c>
      <c r="J47" s="293">
        <v>0</v>
      </c>
      <c r="K47" s="291">
        <f>IF(J47&gt;0,($B$8*C59),0)</f>
        <v>0</v>
      </c>
      <c r="L47" s="292">
        <v>2</v>
      </c>
      <c r="M47" s="291">
        <f>IF(L47&gt;0,($B$9*L47),0)</f>
        <v>0</v>
      </c>
      <c r="N47" s="294">
        <v>1</v>
      </c>
      <c r="O47" s="291">
        <f>IF(N47&gt;0,($B$10*N47),0)</f>
        <v>0</v>
      </c>
      <c r="P47" s="295">
        <v>2</v>
      </c>
      <c r="Q47" s="291">
        <f>SUM(P47*$B$17)*C59</f>
        <v>0</v>
      </c>
      <c r="R47" s="296">
        <f t="shared" ref="R47:R58" si="1">SUM(Q47+O47+M47+K47+I47+G47)</f>
        <v>0</v>
      </c>
    </row>
    <row r="48" spans="2:18" ht="16.5" customHeight="1">
      <c r="B48" s="274" t="s">
        <v>98</v>
      </c>
      <c r="C48" s="288">
        <v>5460</v>
      </c>
      <c r="D48" s="260"/>
      <c r="E48" s="289" t="s">
        <v>86</v>
      </c>
      <c r="F48" s="290">
        <v>7</v>
      </c>
      <c r="G48" s="291">
        <f>SUM($B$6*F48)*C60</f>
        <v>0</v>
      </c>
      <c r="H48" s="292"/>
      <c r="I48" s="291">
        <f>IF(H48&gt;0,($B$7*C60),0)</f>
        <v>0</v>
      </c>
      <c r="J48" s="293"/>
      <c r="K48" s="291">
        <f>IF(J48&gt;0,($B$8*C60),0)</f>
        <v>0</v>
      </c>
      <c r="L48" s="292">
        <v>2</v>
      </c>
      <c r="M48" s="291">
        <f>IF(L48&gt;0,($B$9*L48),0)</f>
        <v>0</v>
      </c>
      <c r="N48" s="294">
        <v>1</v>
      </c>
      <c r="O48" s="291">
        <f>IF(N48&gt;0,($B$10*N48),0)</f>
        <v>0</v>
      </c>
      <c r="P48" s="295">
        <v>2</v>
      </c>
      <c r="Q48" s="291">
        <f>SUM(P48*$B$17)*C60</f>
        <v>0</v>
      </c>
      <c r="R48" s="296">
        <f t="shared" si="1"/>
        <v>0</v>
      </c>
    </row>
    <row r="49" spans="2:18" ht="16.5" customHeight="1">
      <c r="B49" s="274" t="s">
        <v>97</v>
      </c>
      <c r="C49" s="288">
        <v>324</v>
      </c>
      <c r="D49" s="260"/>
      <c r="E49" s="289" t="s">
        <v>84</v>
      </c>
      <c r="F49" s="290">
        <v>7</v>
      </c>
      <c r="G49" s="291">
        <f>SUM($B$6*F49)*C61</f>
        <v>0</v>
      </c>
      <c r="H49" s="292"/>
      <c r="I49" s="291">
        <f>IF(H49&gt;0,($B$7*C61),0)</f>
        <v>0</v>
      </c>
      <c r="J49" s="293"/>
      <c r="K49" s="291">
        <f>IF(J49&gt;0,($B$8*C61),0)</f>
        <v>0</v>
      </c>
      <c r="L49" s="292">
        <v>2</v>
      </c>
      <c r="M49" s="291">
        <f>IF(L49&gt;0,($B$9*L49),0)</f>
        <v>0</v>
      </c>
      <c r="N49" s="294">
        <v>1</v>
      </c>
      <c r="O49" s="291">
        <f>IF(N49&gt;0,($B$10*N49),0)</f>
        <v>0</v>
      </c>
      <c r="P49" s="295">
        <v>2</v>
      </c>
      <c r="Q49" s="291">
        <f>SUM(P49*$B$17)*C61</f>
        <v>0</v>
      </c>
      <c r="R49" s="296">
        <f t="shared" si="1"/>
        <v>0</v>
      </c>
    </row>
    <row r="50" spans="2:18" ht="16.5" customHeight="1">
      <c r="B50" s="274" t="s">
        <v>96</v>
      </c>
      <c r="C50" s="288">
        <v>1050</v>
      </c>
      <c r="D50" s="260"/>
      <c r="E50" s="289" t="s">
        <v>83</v>
      </c>
      <c r="F50" s="290">
        <v>7</v>
      </c>
      <c r="G50" s="291">
        <f>SUM($B$6*F50)*C62</f>
        <v>0</v>
      </c>
      <c r="H50" s="292"/>
      <c r="I50" s="291">
        <f>IF(H50&gt;0,($B$7*C62),0)</f>
        <v>0</v>
      </c>
      <c r="J50" s="293"/>
      <c r="K50" s="291">
        <f>IF(J50&gt;0,($B$8*C62),0)</f>
        <v>0</v>
      </c>
      <c r="L50" s="292">
        <v>2</v>
      </c>
      <c r="M50" s="291">
        <f>IF(L50&gt;0,($B$9*L50),0)</f>
        <v>0</v>
      </c>
      <c r="N50" s="294">
        <v>1</v>
      </c>
      <c r="O50" s="291">
        <f>IF(N50&gt;0,($B$10*N50),0)</f>
        <v>0</v>
      </c>
      <c r="P50" s="295">
        <v>2</v>
      </c>
      <c r="Q50" s="291">
        <f>SUM(P50*$B$17)*C62</f>
        <v>0</v>
      </c>
      <c r="R50" s="296">
        <f t="shared" si="1"/>
        <v>0</v>
      </c>
    </row>
    <row r="51" spans="2:18" ht="16.5" customHeight="1">
      <c r="B51" s="274" t="s">
        <v>95</v>
      </c>
      <c r="C51" s="141">
        <v>16000</v>
      </c>
      <c r="D51" s="260"/>
      <c r="E51" s="289"/>
      <c r="F51" s="290"/>
      <c r="G51" s="291"/>
      <c r="H51" s="292"/>
      <c r="I51" s="291"/>
      <c r="J51" s="293"/>
      <c r="K51" s="291"/>
      <c r="L51" s="292"/>
      <c r="M51" s="291"/>
      <c r="N51" s="294"/>
      <c r="O51" s="291"/>
      <c r="P51" s="295"/>
      <c r="Q51" s="291"/>
      <c r="R51" s="296">
        <f t="shared" si="1"/>
        <v>0</v>
      </c>
    </row>
    <row r="52" spans="2:18" ht="16.5" customHeight="1">
      <c r="B52" s="274" t="s">
        <v>94</v>
      </c>
      <c r="C52" s="141">
        <v>5000</v>
      </c>
      <c r="D52" s="260"/>
      <c r="E52" s="289"/>
      <c r="F52" s="290"/>
      <c r="G52" s="291"/>
      <c r="H52" s="292"/>
      <c r="I52" s="291"/>
      <c r="J52" s="293"/>
      <c r="K52" s="291"/>
      <c r="L52" s="292"/>
      <c r="M52" s="291"/>
      <c r="N52" s="294"/>
      <c r="O52" s="291"/>
      <c r="P52" s="295"/>
      <c r="Q52" s="291"/>
      <c r="R52" s="296">
        <f t="shared" si="1"/>
        <v>0</v>
      </c>
    </row>
    <row r="53" spans="2:18" ht="16.5" customHeight="1">
      <c r="B53" s="274" t="s">
        <v>93</v>
      </c>
      <c r="C53" s="141">
        <v>175000</v>
      </c>
      <c r="D53" s="260"/>
      <c r="E53" s="289"/>
      <c r="F53" s="290"/>
      <c r="G53" s="291"/>
      <c r="H53" s="292"/>
      <c r="I53" s="291"/>
      <c r="J53" s="293"/>
      <c r="K53" s="291"/>
      <c r="L53" s="292"/>
      <c r="M53" s="291"/>
      <c r="N53" s="294"/>
      <c r="O53" s="291"/>
      <c r="P53" s="295"/>
      <c r="Q53" s="291"/>
      <c r="R53" s="296">
        <f t="shared" si="1"/>
        <v>0</v>
      </c>
    </row>
    <row r="54" spans="2:18" ht="16.5" customHeight="1">
      <c r="B54" s="274" t="s">
        <v>92</v>
      </c>
      <c r="C54" s="141">
        <v>175000</v>
      </c>
      <c r="D54" s="260"/>
      <c r="E54" s="289"/>
      <c r="F54" s="290"/>
      <c r="G54" s="291"/>
      <c r="H54" s="292"/>
      <c r="I54" s="291"/>
      <c r="J54" s="293"/>
      <c r="K54" s="291"/>
      <c r="L54" s="292"/>
      <c r="M54" s="291"/>
      <c r="N54" s="294"/>
      <c r="O54" s="291"/>
      <c r="P54" s="295"/>
      <c r="Q54" s="291"/>
      <c r="R54" s="296">
        <f t="shared" si="1"/>
        <v>0</v>
      </c>
    </row>
    <row r="55" spans="2:18" ht="16.5" customHeight="1">
      <c r="B55" s="274" t="s">
        <v>91</v>
      </c>
      <c r="C55" s="141">
        <v>12000</v>
      </c>
      <c r="D55" s="260"/>
      <c r="E55" s="289"/>
      <c r="F55" s="290"/>
      <c r="G55" s="291"/>
      <c r="H55" s="292"/>
      <c r="I55" s="291"/>
      <c r="J55" s="293"/>
      <c r="K55" s="291"/>
      <c r="L55" s="292"/>
      <c r="M55" s="291"/>
      <c r="N55" s="294"/>
      <c r="O55" s="291"/>
      <c r="P55" s="295"/>
      <c r="Q55" s="291"/>
      <c r="R55" s="296">
        <f t="shared" si="1"/>
        <v>0</v>
      </c>
    </row>
    <row r="56" spans="2:18" ht="16.5" customHeight="1">
      <c r="B56" s="274" t="s">
        <v>90</v>
      </c>
      <c r="C56" s="141">
        <v>25000</v>
      </c>
      <c r="D56" s="260"/>
      <c r="E56" s="289"/>
      <c r="F56" s="290"/>
      <c r="G56" s="291"/>
      <c r="H56" s="292"/>
      <c r="I56" s="291"/>
      <c r="J56" s="293"/>
      <c r="K56" s="291"/>
      <c r="L56" s="292"/>
      <c r="M56" s="291"/>
      <c r="N56" s="294"/>
      <c r="O56" s="291"/>
      <c r="P56" s="295"/>
      <c r="Q56" s="291"/>
      <c r="R56" s="296">
        <f t="shared" si="1"/>
        <v>0</v>
      </c>
    </row>
    <row r="57" spans="2:18" ht="16.5" customHeight="1">
      <c r="B57" s="297" t="s">
        <v>89</v>
      </c>
      <c r="C57" s="298">
        <v>92</v>
      </c>
      <c r="D57" s="260"/>
      <c r="E57" s="289"/>
      <c r="F57" s="290"/>
      <c r="G57" s="291"/>
      <c r="H57" s="292"/>
      <c r="I57" s="291"/>
      <c r="J57" s="293"/>
      <c r="K57" s="291"/>
      <c r="L57" s="292"/>
      <c r="M57" s="291"/>
      <c r="N57" s="294"/>
      <c r="O57" s="291"/>
      <c r="P57" s="295"/>
      <c r="Q57" s="291"/>
      <c r="R57" s="296">
        <f t="shared" si="1"/>
        <v>0</v>
      </c>
    </row>
    <row r="58" spans="2:18" ht="16.5" customHeight="1">
      <c r="B58" s="299" t="s">
        <v>88</v>
      </c>
      <c r="C58" s="300"/>
      <c r="D58" s="260"/>
      <c r="E58" s="289"/>
      <c r="F58" s="290"/>
      <c r="G58" s="291"/>
      <c r="H58" s="292"/>
      <c r="I58" s="291"/>
      <c r="J58" s="293"/>
      <c r="K58" s="291"/>
      <c r="L58" s="292"/>
      <c r="M58" s="291"/>
      <c r="N58" s="294"/>
      <c r="O58" s="291"/>
      <c r="P58" s="295"/>
      <c r="Q58" s="291"/>
      <c r="R58" s="296">
        <f t="shared" si="1"/>
        <v>0</v>
      </c>
    </row>
    <row r="59" spans="2:18" ht="16.5" customHeight="1">
      <c r="B59" s="301" t="s">
        <v>87</v>
      </c>
      <c r="C59" s="302">
        <v>1</v>
      </c>
      <c r="D59" s="260"/>
      <c r="E59" s="303"/>
      <c r="F59" s="304"/>
      <c r="G59" s="305"/>
      <c r="H59" s="306"/>
      <c r="I59" s="307"/>
      <c r="J59" s="308"/>
      <c r="K59" s="307"/>
      <c r="L59" s="306"/>
      <c r="M59" s="307"/>
      <c r="N59" s="304"/>
      <c r="O59" s="305"/>
      <c r="P59" s="306"/>
      <c r="Q59" s="307"/>
      <c r="R59" s="309"/>
    </row>
    <row r="60" spans="2:18" ht="16.5" customHeight="1" thickBot="1">
      <c r="B60" s="301" t="s">
        <v>86</v>
      </c>
      <c r="C60" s="301">
        <f t="shared" ref="C60:C70" si="2">SUM(C59+(C59*$B$5))</f>
        <v>1</v>
      </c>
      <c r="D60" s="260"/>
      <c r="E60" s="310" t="s">
        <v>85</v>
      </c>
      <c r="F60" s="311"/>
      <c r="G60" s="312">
        <f>SUM(G47:G58)</f>
        <v>0</v>
      </c>
      <c r="H60" s="313"/>
      <c r="I60" s="312">
        <f>SUM(I47:I58)</f>
        <v>0</v>
      </c>
      <c r="J60" s="314"/>
      <c r="K60" s="312">
        <f>SUM(K47:K58)</f>
        <v>0</v>
      </c>
      <c r="L60" s="313"/>
      <c r="M60" s="312">
        <f>SUM(M47:M58)</f>
        <v>0</v>
      </c>
      <c r="N60" s="315"/>
      <c r="O60" s="312">
        <f>SUM(O47:O58)</f>
        <v>0</v>
      </c>
      <c r="P60" s="313"/>
      <c r="Q60" s="312">
        <f>SUM(Q47:Q58)</f>
        <v>0</v>
      </c>
      <c r="R60" s="316">
        <f>SUM(R47:R58)</f>
        <v>0</v>
      </c>
    </row>
    <row r="61" spans="2:18" ht="16.5" customHeight="1" thickTop="1" thickBot="1">
      <c r="B61" s="301" t="s">
        <v>84</v>
      </c>
      <c r="C61" s="301">
        <f t="shared" si="2"/>
        <v>1</v>
      </c>
      <c r="D61" s="269"/>
      <c r="E61" s="317"/>
      <c r="F61" s="318"/>
      <c r="G61" s="319"/>
      <c r="H61" s="320"/>
      <c r="I61" s="319"/>
      <c r="J61" s="321"/>
      <c r="K61" s="319"/>
      <c r="L61" s="320"/>
      <c r="M61" s="319"/>
      <c r="N61" s="318"/>
      <c r="O61" s="322"/>
      <c r="P61" s="320"/>
      <c r="Q61" s="319"/>
      <c r="R61" s="323"/>
    </row>
    <row r="62" spans="2:18" ht="16.5" customHeight="1">
      <c r="B62" s="301" t="s">
        <v>83</v>
      </c>
      <c r="C62" s="324">
        <f t="shared" si="2"/>
        <v>1</v>
      </c>
      <c r="D62" s="269"/>
      <c r="E62" s="269"/>
      <c r="F62" s="325"/>
      <c r="G62" s="269"/>
      <c r="H62" s="326"/>
      <c r="I62" s="269"/>
      <c r="J62" s="327"/>
      <c r="K62" s="269"/>
      <c r="L62" s="326"/>
      <c r="M62" s="269"/>
      <c r="N62" s="325"/>
      <c r="O62" s="269"/>
      <c r="P62" s="326"/>
      <c r="Q62" s="269"/>
      <c r="R62" s="269"/>
    </row>
    <row r="63" spans="2:18" ht="16.5" customHeight="1">
      <c r="B63" s="301" t="s">
        <v>82</v>
      </c>
      <c r="C63" s="324">
        <f t="shared" si="2"/>
        <v>1</v>
      </c>
      <c r="D63" s="269"/>
      <c r="E63" s="269" t="s">
        <v>81</v>
      </c>
      <c r="F63" s="325"/>
      <c r="G63" s="269"/>
      <c r="H63" s="326"/>
      <c r="I63" s="269"/>
      <c r="J63" s="327"/>
      <c r="K63" s="269"/>
      <c r="L63" s="326"/>
      <c r="M63" s="269"/>
      <c r="N63" s="325"/>
      <c r="O63" s="269"/>
      <c r="P63" s="326"/>
      <c r="Q63" s="269"/>
      <c r="R63" s="269"/>
    </row>
    <row r="64" spans="2:18" ht="16.5" customHeight="1">
      <c r="B64" s="301" t="s">
        <v>80</v>
      </c>
      <c r="C64" s="324">
        <f t="shared" si="2"/>
        <v>1</v>
      </c>
      <c r="D64" s="269"/>
      <c r="E64" s="269"/>
      <c r="F64" s="325"/>
      <c r="G64" s="269"/>
      <c r="H64" s="326"/>
      <c r="I64" s="269"/>
      <c r="J64" s="327"/>
      <c r="K64" s="269"/>
      <c r="L64" s="326"/>
      <c r="M64" s="269"/>
      <c r="N64" s="325"/>
      <c r="O64" s="269"/>
      <c r="P64" s="326"/>
      <c r="Q64" s="269"/>
      <c r="R64" s="269"/>
    </row>
    <row r="65" spans="2:18" ht="16.5" customHeight="1">
      <c r="B65" s="301" t="s">
        <v>79</v>
      </c>
      <c r="C65" s="324">
        <f t="shared" si="2"/>
        <v>1</v>
      </c>
      <c r="D65" s="269"/>
      <c r="E65" s="269"/>
      <c r="F65" s="325"/>
      <c r="G65" s="328"/>
      <c r="H65" s="329"/>
      <c r="I65" s="269"/>
      <c r="J65" s="327"/>
      <c r="K65" s="269"/>
      <c r="L65" s="326"/>
      <c r="M65" s="269"/>
      <c r="N65" s="325"/>
      <c r="O65" s="269"/>
      <c r="P65" s="326"/>
      <c r="Q65" s="269"/>
      <c r="R65" s="269"/>
    </row>
    <row r="66" spans="2:18" ht="16.5" customHeight="1">
      <c r="B66" s="301" t="s">
        <v>78</v>
      </c>
      <c r="C66" s="324">
        <f t="shared" si="2"/>
        <v>1</v>
      </c>
      <c r="D66" s="269"/>
      <c r="E66" s="269"/>
      <c r="F66" s="325"/>
      <c r="G66" s="269"/>
      <c r="H66" s="326"/>
      <c r="I66" s="269"/>
      <c r="J66" s="327"/>
      <c r="K66" s="269"/>
      <c r="L66" s="326"/>
      <c r="M66" s="269"/>
      <c r="N66" s="325"/>
      <c r="O66" s="269"/>
      <c r="P66" s="326"/>
      <c r="Q66" s="269"/>
      <c r="R66" s="269"/>
    </row>
    <row r="67" spans="2:18" ht="16.5" customHeight="1">
      <c r="B67" s="301" t="s">
        <v>77</v>
      </c>
      <c r="C67" s="324">
        <f t="shared" si="2"/>
        <v>1</v>
      </c>
      <c r="D67" s="269"/>
      <c r="E67" s="269"/>
      <c r="F67" s="325"/>
      <c r="G67" s="269"/>
      <c r="H67" s="326"/>
      <c r="I67" s="269"/>
      <c r="J67" s="327"/>
      <c r="K67" s="269"/>
      <c r="L67" s="326"/>
      <c r="M67" s="269"/>
      <c r="N67" s="325"/>
      <c r="O67" s="269"/>
      <c r="P67" s="326"/>
      <c r="Q67" s="269"/>
      <c r="R67" s="269"/>
    </row>
    <row r="68" spans="2:18" ht="16.5" customHeight="1">
      <c r="B68" s="301" t="s">
        <v>76</v>
      </c>
      <c r="C68" s="324">
        <f t="shared" si="2"/>
        <v>1</v>
      </c>
      <c r="D68" s="269"/>
      <c r="E68" s="269"/>
      <c r="F68" s="325"/>
      <c r="G68" s="269"/>
      <c r="H68" s="326"/>
      <c r="I68" s="269"/>
      <c r="J68" s="327"/>
      <c r="K68" s="269"/>
      <c r="L68" s="326"/>
      <c r="M68" s="269"/>
      <c r="N68" s="325"/>
      <c r="O68" s="269"/>
      <c r="P68" s="326"/>
      <c r="Q68" s="269"/>
      <c r="R68" s="269"/>
    </row>
    <row r="69" spans="2:18" ht="16.5" customHeight="1">
      <c r="B69" s="301" t="s">
        <v>75</v>
      </c>
      <c r="C69" s="324">
        <f t="shared" si="2"/>
        <v>1</v>
      </c>
      <c r="D69" s="269"/>
      <c r="E69" s="269"/>
      <c r="F69" s="325"/>
      <c r="G69" s="269"/>
      <c r="H69" s="326"/>
      <c r="I69" s="269"/>
      <c r="J69" s="327"/>
      <c r="K69" s="269"/>
      <c r="L69" s="326"/>
      <c r="M69" s="269"/>
      <c r="N69" s="325"/>
      <c r="O69" s="269"/>
      <c r="P69" s="326"/>
      <c r="Q69" s="269"/>
      <c r="R69" s="269"/>
    </row>
    <row r="70" spans="2:18" ht="16.5" customHeight="1">
      <c r="B70" s="301" t="s">
        <v>74</v>
      </c>
      <c r="C70" s="324">
        <f t="shared" si="2"/>
        <v>1</v>
      </c>
      <c r="D70" s="269"/>
      <c r="E70" s="269"/>
      <c r="F70" s="325"/>
      <c r="G70" s="269"/>
      <c r="H70" s="326"/>
      <c r="I70" s="269"/>
      <c r="J70" s="327"/>
      <c r="K70" s="269"/>
      <c r="L70" s="326"/>
      <c r="M70" s="269"/>
      <c r="N70" s="325"/>
      <c r="O70" s="269"/>
      <c r="P70" s="326"/>
      <c r="Q70" s="269"/>
      <c r="R70" s="269"/>
    </row>
    <row r="72" spans="2:18" ht="16.5" customHeight="1">
      <c r="B72" s="268"/>
      <c r="C72" s="268"/>
      <c r="D72" s="269"/>
      <c r="E72" s="270" t="s">
        <v>118</v>
      </c>
      <c r="F72" s="270"/>
      <c r="G72" s="270"/>
      <c r="H72" s="270"/>
      <c r="I72" s="270"/>
      <c r="J72" s="270"/>
      <c r="K72" s="270"/>
      <c r="L72" s="270"/>
      <c r="M72" s="270"/>
      <c r="N72" s="270"/>
      <c r="O72" s="270"/>
      <c r="P72" s="270"/>
      <c r="Q72" s="270"/>
      <c r="R72" s="270"/>
    </row>
    <row r="73" spans="2:18" ht="16.5" customHeight="1">
      <c r="B73" s="271" t="s">
        <v>117</v>
      </c>
      <c r="C73" s="272" t="s">
        <v>235</v>
      </c>
      <c r="D73" s="269"/>
      <c r="E73" s="273" t="s">
        <v>1775</v>
      </c>
      <c r="F73" s="273"/>
      <c r="G73" s="273"/>
      <c r="H73" s="273"/>
      <c r="I73" s="273"/>
      <c r="J73" s="273"/>
      <c r="K73" s="273"/>
      <c r="L73" s="273"/>
      <c r="M73" s="273"/>
      <c r="N73" s="273"/>
      <c r="O73" s="273"/>
      <c r="P73" s="273"/>
      <c r="Q73" s="273"/>
      <c r="R73" s="273"/>
    </row>
    <row r="74" spans="2:18" ht="16.5" customHeight="1">
      <c r="B74" s="274" t="s">
        <v>115</v>
      </c>
      <c r="C74" s="275" t="s">
        <v>114</v>
      </c>
      <c r="D74" s="269"/>
      <c r="E74" s="270" t="s">
        <v>119</v>
      </c>
      <c r="F74" s="270"/>
      <c r="G74" s="270"/>
      <c r="H74" s="270"/>
      <c r="I74" s="270"/>
      <c r="J74" s="270"/>
      <c r="K74" s="270"/>
      <c r="L74" s="270"/>
      <c r="M74" s="270"/>
      <c r="N74" s="270"/>
      <c r="O74" s="270"/>
      <c r="P74" s="270"/>
      <c r="Q74" s="270"/>
      <c r="R74" s="270"/>
    </row>
    <row r="75" spans="2:18" ht="16.5" customHeight="1" thickBot="1">
      <c r="B75" s="274" t="s">
        <v>112</v>
      </c>
      <c r="C75" s="276">
        <v>67175</v>
      </c>
      <c r="D75" s="268"/>
      <c r="E75" s="330"/>
      <c r="F75" s="330"/>
      <c r="G75" s="330"/>
      <c r="H75" s="330"/>
      <c r="I75" s="330"/>
      <c r="J75" s="330"/>
      <c r="K75" s="330"/>
      <c r="L75" s="330"/>
      <c r="M75" s="330"/>
      <c r="N75" s="330"/>
      <c r="O75" s="330"/>
      <c r="P75" s="330"/>
      <c r="Q75" s="330"/>
      <c r="R75" s="330"/>
    </row>
    <row r="76" spans="2:18" ht="16.5" customHeight="1">
      <c r="B76" s="274" t="s">
        <v>110</v>
      </c>
      <c r="C76" s="277"/>
      <c r="D76" s="260"/>
      <c r="E76" s="278" t="s">
        <v>109</v>
      </c>
      <c r="F76" s="279" t="s">
        <v>108</v>
      </c>
      <c r="G76" s="280"/>
      <c r="H76" s="279" t="s">
        <v>107</v>
      </c>
      <c r="I76" s="280"/>
      <c r="J76" s="279" t="s">
        <v>106</v>
      </c>
      <c r="K76" s="280"/>
      <c r="L76" s="279" t="s">
        <v>105</v>
      </c>
      <c r="M76" s="280"/>
      <c r="N76" s="279" t="s">
        <v>96</v>
      </c>
      <c r="O76" s="280"/>
      <c r="P76" s="279" t="s">
        <v>104</v>
      </c>
      <c r="Q76" s="280"/>
      <c r="R76" s="281" t="s">
        <v>103</v>
      </c>
    </row>
    <row r="77" spans="2:18" ht="16.5" customHeight="1">
      <c r="B77" s="274" t="s">
        <v>102</v>
      </c>
      <c r="C77" s="283">
        <v>125</v>
      </c>
      <c r="D77" s="260"/>
      <c r="E77" s="289"/>
      <c r="F77" s="285" t="s">
        <v>101</v>
      </c>
      <c r="G77" s="331" t="s">
        <v>100</v>
      </c>
      <c r="H77" s="285" t="s">
        <v>101</v>
      </c>
      <c r="I77" s="331" t="s">
        <v>100</v>
      </c>
      <c r="J77" s="285" t="s">
        <v>101</v>
      </c>
      <c r="K77" s="331" t="s">
        <v>100</v>
      </c>
      <c r="L77" s="285" t="s">
        <v>101</v>
      </c>
      <c r="M77" s="331" t="s">
        <v>100</v>
      </c>
      <c r="N77" s="285" t="s">
        <v>101</v>
      </c>
      <c r="O77" s="331" t="s">
        <v>100</v>
      </c>
      <c r="P77" s="287" t="s">
        <v>101</v>
      </c>
      <c r="Q77" s="331" t="s">
        <v>100</v>
      </c>
      <c r="R77" s="289"/>
    </row>
    <row r="78" spans="2:18" ht="16.5" customHeight="1">
      <c r="B78" s="274" t="s">
        <v>107</v>
      </c>
      <c r="C78" s="288">
        <v>6867</v>
      </c>
      <c r="D78" s="260"/>
      <c r="E78" s="289" t="s">
        <v>87</v>
      </c>
      <c r="F78" s="290">
        <v>8</v>
      </c>
      <c r="G78" s="291">
        <f t="shared" ref="G78:G89" si="3">SUM($B$6*F78)*C90</f>
        <v>0</v>
      </c>
      <c r="H78" s="292"/>
      <c r="I78" s="291">
        <f t="shared" ref="I78:I89" si="4">IF(H78&gt;0,($B$7*C90),0)</f>
        <v>0</v>
      </c>
      <c r="J78" s="293"/>
      <c r="K78" s="291">
        <f t="shared" ref="K78:K89" si="5">IF(J78&gt;0,($B$8*C90),0)</f>
        <v>0</v>
      </c>
      <c r="L78" s="292">
        <v>1.5</v>
      </c>
      <c r="M78" s="291">
        <f t="shared" ref="M78:M89" si="6">IF(L78&gt;0,($B$9*L78),0)</f>
        <v>0</v>
      </c>
      <c r="N78" s="290">
        <v>0.75</v>
      </c>
      <c r="O78" s="291">
        <f t="shared" ref="O78:O89" si="7">IF(N78&gt;0,($B$10*N78),0)</f>
        <v>0</v>
      </c>
      <c r="P78" s="295"/>
      <c r="Q78" s="291">
        <f t="shared" ref="Q78:Q89" si="8">SUM(P78*$B$17)*C90</f>
        <v>0</v>
      </c>
      <c r="R78" s="296">
        <f t="shared" ref="R78:R89" si="9">SUM(Q78+O78+M78+K78+I78+G78)</f>
        <v>0</v>
      </c>
    </row>
    <row r="79" spans="2:18" ht="16.5" customHeight="1">
      <c r="B79" s="274" t="s">
        <v>121</v>
      </c>
      <c r="C79" s="288">
        <v>5460</v>
      </c>
      <c r="D79" s="260"/>
      <c r="E79" s="289" t="s">
        <v>86</v>
      </c>
      <c r="F79" s="290">
        <v>7</v>
      </c>
      <c r="G79" s="291">
        <f t="shared" si="3"/>
        <v>0</v>
      </c>
      <c r="H79" s="292"/>
      <c r="I79" s="291">
        <f t="shared" si="4"/>
        <v>0</v>
      </c>
      <c r="J79" s="293">
        <v>1</v>
      </c>
      <c r="K79" s="291">
        <f t="shared" si="5"/>
        <v>0</v>
      </c>
      <c r="L79" s="292">
        <v>2</v>
      </c>
      <c r="M79" s="291">
        <f t="shared" si="6"/>
        <v>0</v>
      </c>
      <c r="N79" s="333">
        <v>0.33</v>
      </c>
      <c r="O79" s="291">
        <f t="shared" si="7"/>
        <v>0</v>
      </c>
      <c r="P79" s="295"/>
      <c r="Q79" s="291">
        <f t="shared" si="8"/>
        <v>0</v>
      </c>
      <c r="R79" s="296">
        <f t="shared" si="9"/>
        <v>0</v>
      </c>
    </row>
    <row r="80" spans="2:18" ht="16.5" customHeight="1">
      <c r="B80" s="274" t="s">
        <v>122</v>
      </c>
      <c r="C80" s="288">
        <v>324</v>
      </c>
      <c r="D80" s="260"/>
      <c r="E80" s="289" t="s">
        <v>84</v>
      </c>
      <c r="F80" s="290">
        <v>4</v>
      </c>
      <c r="G80" s="291">
        <f t="shared" si="3"/>
        <v>0</v>
      </c>
      <c r="H80" s="292"/>
      <c r="I80" s="291">
        <f t="shared" si="4"/>
        <v>0</v>
      </c>
      <c r="J80" s="293">
        <v>1</v>
      </c>
      <c r="K80" s="291">
        <f t="shared" si="5"/>
        <v>0</v>
      </c>
      <c r="L80" s="292">
        <v>1</v>
      </c>
      <c r="M80" s="291">
        <f t="shared" si="6"/>
        <v>0</v>
      </c>
      <c r="N80" s="290">
        <v>1</v>
      </c>
      <c r="O80" s="291">
        <f t="shared" si="7"/>
        <v>0</v>
      </c>
      <c r="P80" s="295">
        <v>1</v>
      </c>
      <c r="Q80" s="291">
        <f t="shared" si="8"/>
        <v>0</v>
      </c>
      <c r="R80" s="296">
        <f t="shared" si="9"/>
        <v>0</v>
      </c>
    </row>
    <row r="81" spans="2:18" ht="16.5" customHeight="1">
      <c r="B81" s="274" t="s">
        <v>123</v>
      </c>
      <c r="C81" s="288">
        <v>1050</v>
      </c>
      <c r="D81" s="260"/>
      <c r="E81" s="289" t="s">
        <v>83</v>
      </c>
      <c r="F81" s="290">
        <v>3</v>
      </c>
      <c r="G81" s="291">
        <f t="shared" si="3"/>
        <v>0</v>
      </c>
      <c r="H81" s="292"/>
      <c r="I81" s="291">
        <f t="shared" si="4"/>
        <v>0</v>
      </c>
      <c r="J81" s="293"/>
      <c r="K81" s="291">
        <f t="shared" si="5"/>
        <v>0</v>
      </c>
      <c r="L81" s="292">
        <v>1</v>
      </c>
      <c r="M81" s="291">
        <f t="shared" si="6"/>
        <v>0</v>
      </c>
      <c r="N81" s="334"/>
      <c r="O81" s="291">
        <f t="shared" si="7"/>
        <v>0</v>
      </c>
      <c r="P81" s="295"/>
      <c r="Q81" s="291">
        <f t="shared" si="8"/>
        <v>0</v>
      </c>
      <c r="R81" s="296">
        <f t="shared" si="9"/>
        <v>0</v>
      </c>
    </row>
    <row r="82" spans="2:18" ht="16.5" customHeight="1">
      <c r="B82" s="274" t="s">
        <v>95</v>
      </c>
      <c r="C82" s="141">
        <v>16000</v>
      </c>
      <c r="D82" s="260"/>
      <c r="E82" s="289" t="s">
        <v>82</v>
      </c>
      <c r="F82" s="290"/>
      <c r="G82" s="291">
        <f t="shared" si="3"/>
        <v>0</v>
      </c>
      <c r="H82" s="292"/>
      <c r="I82" s="291">
        <f t="shared" si="4"/>
        <v>0</v>
      </c>
      <c r="J82" s="293"/>
      <c r="K82" s="291">
        <f t="shared" si="5"/>
        <v>0</v>
      </c>
      <c r="L82" s="292"/>
      <c r="M82" s="291">
        <f t="shared" si="6"/>
        <v>0</v>
      </c>
      <c r="N82" s="290"/>
      <c r="O82" s="291">
        <f t="shared" si="7"/>
        <v>0</v>
      </c>
      <c r="P82" s="295"/>
      <c r="Q82" s="291">
        <f t="shared" si="8"/>
        <v>0</v>
      </c>
      <c r="R82" s="296">
        <f t="shared" si="9"/>
        <v>0</v>
      </c>
    </row>
    <row r="83" spans="2:18" ht="16.5" customHeight="1">
      <c r="B83" s="274" t="s">
        <v>94</v>
      </c>
      <c r="C83" s="141">
        <v>5000</v>
      </c>
      <c r="D83" s="260"/>
      <c r="E83" s="289" t="s">
        <v>80</v>
      </c>
      <c r="F83" s="290"/>
      <c r="G83" s="291">
        <f t="shared" si="3"/>
        <v>0</v>
      </c>
      <c r="H83" s="292"/>
      <c r="I83" s="291">
        <f t="shared" si="4"/>
        <v>0</v>
      </c>
      <c r="J83" s="293"/>
      <c r="K83" s="291">
        <f t="shared" si="5"/>
        <v>0</v>
      </c>
      <c r="L83" s="292"/>
      <c r="M83" s="291">
        <f t="shared" si="6"/>
        <v>0</v>
      </c>
      <c r="N83" s="334"/>
      <c r="O83" s="291">
        <f t="shared" si="7"/>
        <v>0</v>
      </c>
      <c r="P83" s="295"/>
      <c r="Q83" s="291">
        <f t="shared" si="8"/>
        <v>0</v>
      </c>
      <c r="R83" s="296">
        <f t="shared" si="9"/>
        <v>0</v>
      </c>
    </row>
    <row r="84" spans="2:18" ht="16.5" customHeight="1">
      <c r="B84" s="274" t="s">
        <v>93</v>
      </c>
      <c r="C84" s="141">
        <v>175000</v>
      </c>
      <c r="D84" s="260"/>
      <c r="E84" s="289" t="s">
        <v>79</v>
      </c>
      <c r="F84" s="290"/>
      <c r="G84" s="291">
        <f t="shared" si="3"/>
        <v>0</v>
      </c>
      <c r="H84" s="292"/>
      <c r="I84" s="291">
        <f t="shared" si="4"/>
        <v>0</v>
      </c>
      <c r="J84" s="293"/>
      <c r="K84" s="291">
        <f t="shared" si="5"/>
        <v>0</v>
      </c>
      <c r="L84" s="292"/>
      <c r="M84" s="291">
        <f t="shared" si="6"/>
        <v>0</v>
      </c>
      <c r="N84" s="334"/>
      <c r="O84" s="291">
        <f t="shared" si="7"/>
        <v>0</v>
      </c>
      <c r="P84" s="295"/>
      <c r="Q84" s="291">
        <f t="shared" si="8"/>
        <v>0</v>
      </c>
      <c r="R84" s="296">
        <f t="shared" si="9"/>
        <v>0</v>
      </c>
    </row>
    <row r="85" spans="2:18" ht="16.5" customHeight="1">
      <c r="B85" s="274" t="s">
        <v>92</v>
      </c>
      <c r="C85" s="141">
        <v>175000</v>
      </c>
      <c r="D85" s="260"/>
      <c r="E85" s="289" t="s">
        <v>78</v>
      </c>
      <c r="F85" s="290"/>
      <c r="G85" s="291">
        <f t="shared" si="3"/>
        <v>0</v>
      </c>
      <c r="H85" s="292"/>
      <c r="I85" s="291">
        <f t="shared" si="4"/>
        <v>0</v>
      </c>
      <c r="J85" s="293"/>
      <c r="K85" s="291">
        <f t="shared" si="5"/>
        <v>0</v>
      </c>
      <c r="L85" s="292"/>
      <c r="M85" s="291">
        <f t="shared" si="6"/>
        <v>0</v>
      </c>
      <c r="N85" s="334"/>
      <c r="O85" s="291">
        <f t="shared" si="7"/>
        <v>0</v>
      </c>
      <c r="P85" s="295"/>
      <c r="Q85" s="291">
        <f t="shared" si="8"/>
        <v>0</v>
      </c>
      <c r="R85" s="296">
        <f t="shared" si="9"/>
        <v>0</v>
      </c>
    </row>
    <row r="86" spans="2:18" ht="16.5" customHeight="1">
      <c r="B86" s="274" t="s">
        <v>91</v>
      </c>
      <c r="C86" s="141">
        <v>12000</v>
      </c>
      <c r="D86" s="260"/>
      <c r="E86" s="289" t="s">
        <v>77</v>
      </c>
      <c r="F86" s="290"/>
      <c r="G86" s="291">
        <f t="shared" si="3"/>
        <v>0</v>
      </c>
      <c r="H86" s="292"/>
      <c r="I86" s="291">
        <f t="shared" si="4"/>
        <v>0</v>
      </c>
      <c r="J86" s="293"/>
      <c r="K86" s="291">
        <f t="shared" si="5"/>
        <v>0</v>
      </c>
      <c r="L86" s="292"/>
      <c r="M86" s="291">
        <f t="shared" si="6"/>
        <v>0</v>
      </c>
      <c r="N86" s="290"/>
      <c r="O86" s="291">
        <f t="shared" si="7"/>
        <v>0</v>
      </c>
      <c r="P86" s="295"/>
      <c r="Q86" s="291">
        <f t="shared" si="8"/>
        <v>0</v>
      </c>
      <c r="R86" s="296">
        <f t="shared" si="9"/>
        <v>0</v>
      </c>
    </row>
    <row r="87" spans="2:18" ht="16.5" customHeight="1">
      <c r="B87" s="274" t="s">
        <v>90</v>
      </c>
      <c r="C87" s="141">
        <v>25000</v>
      </c>
      <c r="D87" s="260"/>
      <c r="E87" s="289" t="s">
        <v>76</v>
      </c>
      <c r="F87" s="290"/>
      <c r="G87" s="291">
        <f t="shared" si="3"/>
        <v>0</v>
      </c>
      <c r="H87" s="292"/>
      <c r="I87" s="291">
        <f t="shared" si="4"/>
        <v>0</v>
      </c>
      <c r="J87" s="293"/>
      <c r="K87" s="291">
        <f t="shared" si="5"/>
        <v>0</v>
      </c>
      <c r="L87" s="292"/>
      <c r="M87" s="291">
        <f t="shared" si="6"/>
        <v>0</v>
      </c>
      <c r="N87" s="334"/>
      <c r="O87" s="291">
        <f t="shared" si="7"/>
        <v>0</v>
      </c>
      <c r="P87" s="295"/>
      <c r="Q87" s="291">
        <f t="shared" si="8"/>
        <v>0</v>
      </c>
      <c r="R87" s="296">
        <f t="shared" si="9"/>
        <v>0</v>
      </c>
    </row>
    <row r="88" spans="2:18" ht="16.5" customHeight="1">
      <c r="B88" s="297" t="s">
        <v>89</v>
      </c>
      <c r="C88" s="298">
        <v>92</v>
      </c>
      <c r="D88" s="260"/>
      <c r="E88" s="289" t="s">
        <v>75</v>
      </c>
      <c r="F88" s="290"/>
      <c r="G88" s="291">
        <f t="shared" si="3"/>
        <v>0</v>
      </c>
      <c r="H88" s="292"/>
      <c r="I88" s="291">
        <f t="shared" si="4"/>
        <v>0</v>
      </c>
      <c r="J88" s="293"/>
      <c r="K88" s="291">
        <f t="shared" si="5"/>
        <v>0</v>
      </c>
      <c r="L88" s="292"/>
      <c r="M88" s="291">
        <f t="shared" si="6"/>
        <v>0</v>
      </c>
      <c r="N88" s="334"/>
      <c r="O88" s="291">
        <f t="shared" si="7"/>
        <v>0</v>
      </c>
      <c r="P88" s="295"/>
      <c r="Q88" s="291">
        <f t="shared" si="8"/>
        <v>0</v>
      </c>
      <c r="R88" s="296">
        <f t="shared" si="9"/>
        <v>0</v>
      </c>
    </row>
    <row r="89" spans="2:18" ht="16.5" customHeight="1">
      <c r="B89" s="299" t="s">
        <v>88</v>
      </c>
      <c r="C89" s="300"/>
      <c r="D89" s="260"/>
      <c r="E89" s="289" t="s">
        <v>74</v>
      </c>
      <c r="F89" s="290"/>
      <c r="G89" s="291">
        <f t="shared" si="3"/>
        <v>0</v>
      </c>
      <c r="H89" s="292"/>
      <c r="I89" s="291">
        <f t="shared" si="4"/>
        <v>0</v>
      </c>
      <c r="J89" s="293"/>
      <c r="K89" s="291">
        <f t="shared" si="5"/>
        <v>0</v>
      </c>
      <c r="L89" s="292"/>
      <c r="M89" s="291">
        <f t="shared" si="6"/>
        <v>0</v>
      </c>
      <c r="N89" s="334"/>
      <c r="O89" s="291">
        <f t="shared" si="7"/>
        <v>0</v>
      </c>
      <c r="P89" s="295"/>
      <c r="Q89" s="291">
        <f t="shared" si="8"/>
        <v>0</v>
      </c>
      <c r="R89" s="296">
        <f t="shared" si="9"/>
        <v>0</v>
      </c>
    </row>
    <row r="90" spans="2:18" ht="16.5" customHeight="1">
      <c r="B90" s="301" t="s">
        <v>87</v>
      </c>
      <c r="C90" s="302">
        <v>1</v>
      </c>
      <c r="D90" s="260"/>
      <c r="E90" s="303"/>
      <c r="F90" s="304"/>
      <c r="G90" s="305"/>
      <c r="H90" s="306"/>
      <c r="I90" s="307"/>
      <c r="J90" s="308"/>
      <c r="K90" s="307"/>
      <c r="L90" s="306"/>
      <c r="M90" s="307"/>
      <c r="N90" s="304"/>
      <c r="O90" s="307"/>
      <c r="P90" s="306"/>
      <c r="Q90" s="307"/>
      <c r="R90" s="309"/>
    </row>
    <row r="91" spans="2:18" ht="16.5" customHeight="1" thickBot="1">
      <c r="B91" s="301" t="s">
        <v>86</v>
      </c>
      <c r="C91" s="301">
        <f t="shared" ref="C91:C101" si="10">SUM(C90+(C90*$B$5))</f>
        <v>1</v>
      </c>
      <c r="D91" s="260"/>
      <c r="E91" s="310" t="s">
        <v>85</v>
      </c>
      <c r="F91" s="311"/>
      <c r="G91" s="312">
        <f>SUM(G78:G89)</f>
        <v>0</v>
      </c>
      <c r="H91" s="313"/>
      <c r="I91" s="312">
        <f>SUM(I78:I89)</f>
        <v>0</v>
      </c>
      <c r="J91" s="314"/>
      <c r="K91" s="312">
        <f>SUM(K78:K89)</f>
        <v>0</v>
      </c>
      <c r="L91" s="313"/>
      <c r="M91" s="312">
        <f>SUM(M78:M89)</f>
        <v>0</v>
      </c>
      <c r="N91" s="315"/>
      <c r="O91" s="312">
        <f>SUM(O78:O89)</f>
        <v>0</v>
      </c>
      <c r="P91" s="313"/>
      <c r="Q91" s="312">
        <f>SUM(Q78:Q89)</f>
        <v>0</v>
      </c>
      <c r="R91" s="316">
        <f>SUM(R78:R89)</f>
        <v>0</v>
      </c>
    </row>
    <row r="92" spans="2:18" ht="16.5" customHeight="1" thickTop="1" thickBot="1">
      <c r="B92" s="301" t="s">
        <v>84</v>
      </c>
      <c r="C92" s="301">
        <f t="shared" si="10"/>
        <v>1</v>
      </c>
      <c r="D92" s="269"/>
      <c r="E92" s="317"/>
      <c r="F92" s="318"/>
      <c r="G92" s="319"/>
      <c r="H92" s="320"/>
      <c r="I92" s="319"/>
      <c r="J92" s="321"/>
      <c r="K92" s="319"/>
      <c r="L92" s="320"/>
      <c r="M92" s="319"/>
      <c r="N92" s="318"/>
      <c r="O92" s="319"/>
      <c r="P92" s="320"/>
      <c r="Q92" s="319"/>
      <c r="R92" s="323"/>
    </row>
    <row r="93" spans="2:18" ht="16.5" customHeight="1">
      <c r="B93" s="301" t="s">
        <v>83</v>
      </c>
      <c r="C93" s="324">
        <f t="shared" si="10"/>
        <v>1</v>
      </c>
      <c r="D93" s="269"/>
      <c r="E93" s="269"/>
      <c r="F93" s="335"/>
      <c r="G93" s="269"/>
      <c r="H93" s="326"/>
      <c r="I93" s="269"/>
      <c r="J93" s="326"/>
      <c r="K93" s="269"/>
      <c r="L93" s="326"/>
      <c r="M93" s="269"/>
      <c r="N93" s="326"/>
      <c r="O93" s="269"/>
      <c r="P93" s="326"/>
      <c r="Q93" s="269"/>
      <c r="R93" s="269"/>
    </row>
    <row r="94" spans="2:18" ht="16.5" customHeight="1">
      <c r="B94" s="301" t="s">
        <v>82</v>
      </c>
      <c r="C94" s="324">
        <f t="shared" si="10"/>
        <v>1</v>
      </c>
      <c r="D94" s="269"/>
      <c r="E94" s="269" t="s">
        <v>124</v>
      </c>
      <c r="F94" s="335"/>
      <c r="G94" s="269"/>
      <c r="H94" s="326"/>
      <c r="I94" s="269"/>
      <c r="J94" s="326"/>
      <c r="K94" s="269"/>
      <c r="L94" s="326"/>
      <c r="M94" s="269"/>
      <c r="N94" s="326"/>
      <c r="O94" s="269"/>
      <c r="P94" s="326"/>
      <c r="Q94" s="269"/>
      <c r="R94" s="269"/>
    </row>
    <row r="95" spans="2:18" ht="16.5" customHeight="1">
      <c r="B95" s="301" t="s">
        <v>80</v>
      </c>
      <c r="C95" s="324">
        <f t="shared" si="10"/>
        <v>1</v>
      </c>
      <c r="D95" s="269"/>
      <c r="E95" s="269"/>
      <c r="F95" s="335"/>
      <c r="G95" s="269"/>
      <c r="H95" s="326"/>
      <c r="I95" s="269"/>
      <c r="J95" s="326"/>
      <c r="K95" s="269"/>
      <c r="L95" s="326"/>
      <c r="M95" s="269"/>
      <c r="N95" s="326"/>
      <c r="O95" s="269"/>
      <c r="P95" s="326"/>
      <c r="Q95" s="269"/>
      <c r="R95" s="269"/>
    </row>
    <row r="96" spans="2:18" ht="16.5" customHeight="1">
      <c r="B96" s="301" t="s">
        <v>79</v>
      </c>
      <c r="C96" s="324">
        <f t="shared" si="10"/>
        <v>1</v>
      </c>
      <c r="D96" s="269"/>
      <c r="E96" s="380" t="s">
        <v>237</v>
      </c>
      <c r="F96" s="381"/>
      <c r="G96" s="382"/>
      <c r="H96" s="383"/>
      <c r="I96" s="380"/>
      <c r="J96" s="384"/>
      <c r="K96" s="380"/>
      <c r="L96" s="384"/>
      <c r="M96" s="380"/>
      <c r="N96" s="326"/>
      <c r="O96" s="269"/>
      <c r="P96" s="326"/>
      <c r="Q96" s="269"/>
      <c r="R96" s="269"/>
    </row>
    <row r="97" spans="2:18" ht="16.5" customHeight="1">
      <c r="B97" s="301" t="s">
        <v>78</v>
      </c>
      <c r="C97" s="324">
        <f t="shared" si="10"/>
        <v>1</v>
      </c>
      <c r="D97" s="269"/>
      <c r="E97" s="269"/>
      <c r="F97" s="335"/>
      <c r="G97" s="269"/>
      <c r="H97" s="326"/>
      <c r="I97" s="269"/>
      <c r="J97" s="326"/>
      <c r="K97" s="269"/>
      <c r="L97" s="326"/>
      <c r="M97" s="269"/>
      <c r="N97" s="326"/>
      <c r="O97" s="269"/>
      <c r="P97" s="326"/>
      <c r="Q97" s="269"/>
      <c r="R97" s="269"/>
    </row>
    <row r="98" spans="2:18" ht="16.5" customHeight="1">
      <c r="B98" s="301" t="s">
        <v>77</v>
      </c>
      <c r="C98" s="324">
        <f t="shared" si="10"/>
        <v>1</v>
      </c>
      <c r="D98" s="269"/>
      <c r="E98" s="385" t="s">
        <v>238</v>
      </c>
      <c r="F98" s="386"/>
      <c r="G98" s="385"/>
      <c r="H98" s="387"/>
      <c r="I98" s="385"/>
      <c r="J98" s="387"/>
      <c r="K98" s="385"/>
      <c r="L98" s="326"/>
      <c r="M98" s="269"/>
      <c r="N98" s="326"/>
      <c r="O98" s="269"/>
      <c r="P98" s="326"/>
      <c r="Q98" s="269"/>
      <c r="R98" s="269"/>
    </row>
    <row r="99" spans="2:18" ht="16.5" customHeight="1">
      <c r="B99" s="301" t="s">
        <v>76</v>
      </c>
      <c r="C99" s="324">
        <f t="shared" si="10"/>
        <v>1</v>
      </c>
      <c r="D99" s="269"/>
      <c r="E99" s="388" t="s">
        <v>239</v>
      </c>
      <c r="F99" s="389"/>
      <c r="G99" s="388"/>
      <c r="H99" s="390"/>
      <c r="I99" s="388"/>
      <c r="J99" s="390"/>
      <c r="K99" s="388"/>
      <c r="L99" s="326"/>
      <c r="M99" s="269"/>
      <c r="N99" s="326"/>
      <c r="O99" s="269"/>
      <c r="P99" s="326"/>
      <c r="Q99" s="269"/>
      <c r="R99" s="269"/>
    </row>
    <row r="100" spans="2:18" ht="16.5" customHeight="1">
      <c r="B100" s="301" t="s">
        <v>75</v>
      </c>
      <c r="C100" s="324">
        <f t="shared" si="10"/>
        <v>1</v>
      </c>
      <c r="D100" s="269"/>
      <c r="E100" s="269"/>
      <c r="F100" s="335"/>
      <c r="G100" s="269"/>
      <c r="H100" s="326"/>
      <c r="I100" s="269"/>
      <c r="J100" s="326"/>
      <c r="K100" s="269"/>
      <c r="L100" s="326"/>
      <c r="M100" s="269"/>
      <c r="N100" s="326"/>
      <c r="O100" s="269"/>
      <c r="P100" s="326"/>
      <c r="Q100" s="269"/>
      <c r="R100" s="269"/>
    </row>
    <row r="101" spans="2:18" ht="16.5" customHeight="1">
      <c r="B101" s="301" t="s">
        <v>74</v>
      </c>
      <c r="C101" s="324">
        <f t="shared" si="10"/>
        <v>1</v>
      </c>
      <c r="D101" s="269"/>
      <c r="E101" s="269"/>
      <c r="F101" s="335"/>
      <c r="G101" s="269"/>
      <c r="H101" s="326"/>
      <c r="I101" s="269"/>
      <c r="J101" s="326"/>
      <c r="K101" s="269"/>
      <c r="L101" s="326"/>
      <c r="M101" s="269"/>
      <c r="N101" s="326"/>
      <c r="O101" s="269"/>
      <c r="P101" s="326"/>
      <c r="Q101" s="269"/>
      <c r="R101" s="269"/>
    </row>
  </sheetData>
  <mergeCells count="20">
    <mergeCell ref="E41:R41"/>
    <mergeCell ref="E42:R42"/>
    <mergeCell ref="E43:R43"/>
    <mergeCell ref="E44:R44"/>
    <mergeCell ref="F45:G45"/>
    <mergeCell ref="H45:I45"/>
    <mergeCell ref="J45:K45"/>
    <mergeCell ref="L45:M45"/>
    <mergeCell ref="N45:O45"/>
    <mergeCell ref="P45:Q45"/>
    <mergeCell ref="E72:R72"/>
    <mergeCell ref="E73:R73"/>
    <mergeCell ref="E74:R74"/>
    <mergeCell ref="E75:R75"/>
    <mergeCell ref="F76:G76"/>
    <mergeCell ref="H76:I76"/>
    <mergeCell ref="J76:K76"/>
    <mergeCell ref="L76:M76"/>
    <mergeCell ref="N76:O76"/>
    <mergeCell ref="P76:Q76"/>
  </mergeCells>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manualMax="0" manualMin="0" displayEmptyCellsAs="gap" markers="1" last="1">
          <x14:colorSeries rgb="FF323232"/>
          <x14:colorNegative rgb="FFD00000"/>
          <x14:colorAxis rgb="FF000000"/>
          <x14:colorMarkers rgb="FFD00000"/>
          <x14:colorFirst rgb="FFD00000"/>
          <x14:colorLast rgb="FFD00000"/>
          <x14:colorHigh rgb="FFD00000"/>
          <x14:colorLow rgb="FFD00000"/>
          <x14:sparklines>
            <x14:sparkline>
              <xm:f>'Bus 203 summary'!C19:N19</xm:f>
              <xm:sqref>P19</xm:sqref>
            </x14:sparkline>
            <x14:sparkline>
              <xm:f>'Bus 203 summary'!C20:N20</xm:f>
              <xm:sqref>P20</xm:sqref>
            </x14:sparkline>
            <x14:sparkline>
              <xm:f>'Bus 203 summary'!C21:N21</xm:f>
              <xm:sqref>P21</xm:sqref>
            </x14:sparkline>
            <x14:sparkline>
              <xm:f>'Bus 203 summary'!C22:N22</xm:f>
              <xm:sqref>P22</xm:sqref>
            </x14:sparkline>
            <x14:sparkline>
              <xm:f>'Bus 203 summary'!C23:N23</xm:f>
              <xm:sqref>P23</xm:sqref>
            </x14:sparkline>
            <x14:sparkline>
              <xm:f>'Bus 203 summary'!C24:N24</xm:f>
              <xm:sqref>P24</xm:sqref>
            </x14:sparkline>
            <x14:sparkline>
              <xm:f>'Bus 203 summary'!C25:N25</xm:f>
              <xm:sqref>P25</xm:sqref>
            </x14:sparkline>
            <x14:sparkline>
              <xm:f>'Bus 203 summary'!C26:N26</xm:f>
              <xm:sqref>P26</xm:sqref>
            </x14:sparkline>
            <x14:sparkline>
              <xm:f>'Bus 203 summary'!C27:N27</xm:f>
              <xm:sqref>P27</xm:sqref>
            </x14:sparkline>
            <x14:sparkline>
              <xm:f>'Bus 203 summary'!C28:N28</xm:f>
              <xm:sqref>P28</xm:sqref>
            </x14:sparkline>
            <x14:sparkline>
              <xm:f>'Bus 203 summary'!C29:N29</xm:f>
              <xm:sqref>P29</xm:sqref>
            </x14:sparkline>
            <x14:sparkline>
              <xm:f>'Bus 203 summary'!C30:N30</xm:f>
              <xm:sqref>P30</xm:sqref>
            </x14:sparkline>
            <x14:sparkline>
              <xm:f>'Bus 203 summary'!C31:N31</xm:f>
              <xm:sqref>P31</xm:sqref>
            </x14:sparkline>
            <x14:sparkline>
              <xm:f>'Bus 203 summary'!C32:N32</xm:f>
              <xm:sqref>P32</xm:sqref>
            </x14:sparkline>
            <x14:sparkline>
              <xm:f>'Bus 203 summary'!C33:N33</xm:f>
              <xm:sqref>P33</xm:sqref>
            </x14:sparkline>
            <x14:sparkline>
              <xm:f>'Bus 203 summary'!C34:N34</xm:f>
              <xm:sqref>P34</xm:sqref>
            </x14:sparkline>
            <x14:sparkline>
              <xm:f>'Bus 203 summary'!C35:N35</xm:f>
              <xm:sqref>P35</xm:sqref>
            </x14:sparkline>
            <x14:sparkline>
              <xm:f>'Bus 203 summary'!C36:N36</xm:f>
              <xm:sqref>P36</xm:sqref>
            </x14:sparkline>
            <x14:sparkline>
              <xm:f>'Bus 203 summary'!C37:N37</xm:f>
              <xm:sqref>P37</xm:sqref>
            </x14:sparkline>
            <x14:sparkline>
              <xm:f>'Bus 203 summary'!C38:N38</xm:f>
              <xm:sqref>P38</xm:sqref>
            </x14:sparkline>
          </x14:sparklines>
        </x14:sparklineGroup>
        <x14:sparklineGroup manualMax="0" manualMin="0"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203 summary'!C39:N39</xm:f>
              <xm:sqref>P39</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167"/>
  <sheetViews>
    <sheetView showGridLines="0" topLeftCell="A109" zoomScale="115" zoomScaleNormal="115" workbookViewId="0">
      <selection activeCell="F124" sqref="F124"/>
    </sheetView>
  </sheetViews>
  <sheetFormatPr defaultColWidth="9.140625" defaultRowHeight="16.5" customHeight="1"/>
  <cols>
    <col min="1" max="1" width="3.140625" style="1" customWidth="1"/>
    <col min="2" max="4" width="12.28515625" style="1" customWidth="1"/>
    <col min="5" max="5" width="15.7109375" style="1" customWidth="1"/>
    <col min="6" max="6" width="42.5703125"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46</v>
      </c>
      <c r="G4" s="185" t="s">
        <v>45</v>
      </c>
    </row>
    <row r="5" spans="2:8" s="1" customFormat="1" ht="16.5" customHeight="1">
      <c r="B5" s="189">
        <v>42934</v>
      </c>
      <c r="C5" s="190" t="s">
        <v>241</v>
      </c>
      <c r="D5" s="52">
        <v>2</v>
      </c>
      <c r="E5" s="190" t="s">
        <v>230</v>
      </c>
      <c r="F5" s="190" t="s">
        <v>242</v>
      </c>
      <c r="G5" s="191"/>
    </row>
    <row r="6" spans="2:8" s="1" customFormat="1" ht="16.5" customHeight="1">
      <c r="B6" s="189">
        <v>42934</v>
      </c>
      <c r="C6" s="190" t="s">
        <v>241</v>
      </c>
      <c r="D6" s="52">
        <v>10</v>
      </c>
      <c r="E6" s="190" t="s">
        <v>2</v>
      </c>
      <c r="F6" s="190" t="s">
        <v>240</v>
      </c>
      <c r="G6" s="191"/>
    </row>
    <row r="7" spans="2:8" s="1" customFormat="1" ht="16.5" customHeight="1">
      <c r="B7" s="189"/>
      <c r="C7" s="190"/>
      <c r="D7" s="52"/>
      <c r="E7" s="190"/>
      <c r="F7" s="190"/>
      <c r="G7" s="191"/>
    </row>
    <row r="8" spans="2:8" s="1" customFormat="1" ht="16.5" customHeight="1">
      <c r="B8" s="189"/>
      <c r="C8" s="190"/>
      <c r="D8" s="52"/>
      <c r="E8" s="190"/>
      <c r="F8" s="190"/>
      <c r="G8" s="191"/>
    </row>
    <row r="9" spans="2:8" s="1" customFormat="1" ht="16.5" customHeight="1">
      <c r="B9" s="189"/>
      <c r="C9" s="190"/>
      <c r="D9" s="52"/>
      <c r="E9" s="190"/>
      <c r="F9" s="190"/>
      <c r="G9" s="191"/>
    </row>
    <row r="10" spans="2:8" s="1" customFormat="1" ht="16.5" customHeight="1">
      <c r="B10" s="189"/>
      <c r="C10" s="190"/>
      <c r="D10" s="52"/>
      <c r="E10" s="190"/>
      <c r="F10" s="190"/>
      <c r="G10" s="191"/>
    </row>
    <row r="11" spans="2:8" s="1" customFormat="1" ht="16.5" customHeight="1">
      <c r="B11" s="189"/>
      <c r="C11" s="190"/>
      <c r="D11" s="52"/>
      <c r="E11" s="190"/>
      <c r="F11" s="190"/>
      <c r="G11" s="191"/>
    </row>
    <row r="12" spans="2:8" s="1" customFormat="1" ht="16.5" customHeight="1">
      <c r="B12" s="189"/>
      <c r="C12" s="190"/>
      <c r="D12" s="52"/>
      <c r="E12" s="190"/>
      <c r="F12" s="190"/>
      <c r="G12" s="191"/>
    </row>
    <row r="13" spans="2:8" s="1" customFormat="1" ht="16.5" customHeight="1">
      <c r="B13" s="189"/>
      <c r="C13" s="190"/>
      <c r="D13" s="52"/>
      <c r="E13" s="190"/>
      <c r="F13" s="190"/>
      <c r="G13" s="191"/>
    </row>
    <row r="14" spans="2:8" s="1" customFormat="1" ht="24" customHeight="1">
      <c r="B14" s="391" t="s">
        <v>1</v>
      </c>
      <c r="C14" s="392"/>
      <c r="D14" s="393">
        <f>SUBTOTAL(109,ExpJul29[Amount])</f>
        <v>12</v>
      </c>
      <c r="E14" s="392"/>
      <c r="F14" s="392"/>
      <c r="G14" s="391"/>
    </row>
    <row r="15" spans="2:8" s="1" customFormat="1" ht="16.5" customHeight="1">
      <c r="B15" s="336"/>
      <c r="C15" s="196"/>
      <c r="D15" s="105"/>
      <c r="E15" s="196"/>
      <c r="F15" s="196"/>
      <c r="G15" s="101"/>
    </row>
    <row r="16" spans="2:8" s="1" customFormat="1" ht="25.5" customHeight="1">
      <c r="B16" s="205" t="s">
        <v>52</v>
      </c>
      <c r="C16" s="117"/>
      <c r="D16" s="117"/>
      <c r="E16" s="117"/>
      <c r="F16" s="117"/>
      <c r="G16" s="117"/>
    </row>
    <row r="17" spans="2:7" s="1" customFormat="1" ht="16.5" customHeight="1">
      <c r="B17" s="117"/>
      <c r="C17" s="117"/>
      <c r="D17" s="117"/>
      <c r="E17" s="117"/>
      <c r="F17" s="117"/>
      <c r="G17" s="117"/>
    </row>
    <row r="18" spans="2:7" s="1" customFormat="1" ht="16.5" customHeight="1">
      <c r="B18" s="206" t="s">
        <v>50</v>
      </c>
      <c r="C18" s="207" t="s">
        <v>71</v>
      </c>
      <c r="D18" s="206" t="s">
        <v>48</v>
      </c>
      <c r="E18" s="207" t="s">
        <v>47</v>
      </c>
      <c r="F18" s="207" t="s">
        <v>46</v>
      </c>
      <c r="G18" s="206" t="s">
        <v>45</v>
      </c>
    </row>
    <row r="19" spans="2:7" s="1" customFormat="1" ht="16.5" customHeight="1">
      <c r="B19" s="208">
        <v>42949</v>
      </c>
      <c r="C19" s="209">
        <v>10678</v>
      </c>
      <c r="D19" s="210">
        <v>2.87</v>
      </c>
      <c r="E19" s="209" t="s">
        <v>17</v>
      </c>
      <c r="F19" s="209" t="s">
        <v>243</v>
      </c>
      <c r="G19" s="209" t="s">
        <v>244</v>
      </c>
    </row>
    <row r="20" spans="2:7" s="1" customFormat="1" ht="16.5" customHeight="1">
      <c r="B20" s="208">
        <v>42949</v>
      </c>
      <c r="C20" s="209">
        <v>10678</v>
      </c>
      <c r="D20" s="210">
        <v>62.48</v>
      </c>
      <c r="E20" s="209" t="s">
        <v>17</v>
      </c>
      <c r="F20" s="209" t="s">
        <v>245</v>
      </c>
      <c r="G20" s="209" t="s">
        <v>246</v>
      </c>
    </row>
    <row r="21" spans="2:7" s="1" customFormat="1" ht="16.5" customHeight="1">
      <c r="B21" s="208">
        <v>42949</v>
      </c>
      <c r="C21" s="209">
        <v>10678</v>
      </c>
      <c r="D21" s="210">
        <v>73.3</v>
      </c>
      <c r="E21" s="209" t="s">
        <v>17</v>
      </c>
      <c r="F21" s="209" t="s">
        <v>247</v>
      </c>
      <c r="G21" s="209" t="s">
        <v>248</v>
      </c>
    </row>
    <row r="22" spans="2:7" s="1" customFormat="1" ht="16.5" customHeight="1">
      <c r="B22" s="208">
        <v>42949</v>
      </c>
      <c r="C22" s="209">
        <v>10678</v>
      </c>
      <c r="D22" s="210">
        <v>12</v>
      </c>
      <c r="E22" s="209" t="s">
        <v>17</v>
      </c>
      <c r="F22" s="209" t="s">
        <v>249</v>
      </c>
      <c r="G22" s="209" t="s">
        <v>250</v>
      </c>
    </row>
    <row r="23" spans="2:7" s="1" customFormat="1" ht="16.5" customHeight="1">
      <c r="B23" s="208">
        <v>42949</v>
      </c>
      <c r="C23" s="209">
        <v>10678</v>
      </c>
      <c r="D23" s="210">
        <v>160</v>
      </c>
      <c r="E23" s="209" t="s">
        <v>17</v>
      </c>
      <c r="F23" s="209" t="s">
        <v>69</v>
      </c>
      <c r="G23" s="209"/>
    </row>
    <row r="24" spans="2:7" s="1" customFormat="1" ht="16.5" customHeight="1">
      <c r="B24" s="25">
        <v>42973</v>
      </c>
      <c r="C24" s="51">
        <v>10745</v>
      </c>
      <c r="D24" s="211">
        <v>27.6</v>
      </c>
      <c r="E24" s="51" t="s">
        <v>3</v>
      </c>
      <c r="F24" s="51" t="s">
        <v>251</v>
      </c>
      <c r="G24" s="27" t="s">
        <v>252</v>
      </c>
    </row>
    <row r="25" spans="2:7" s="1" customFormat="1" ht="16.5" customHeight="1">
      <c r="B25" s="25">
        <v>42973</v>
      </c>
      <c r="C25" s="51">
        <v>10745</v>
      </c>
      <c r="D25" s="211">
        <v>60</v>
      </c>
      <c r="E25" s="51" t="s">
        <v>2</v>
      </c>
      <c r="F25" s="51" t="s">
        <v>253</v>
      </c>
      <c r="G25" s="27"/>
    </row>
    <row r="26" spans="2:7" s="1" customFormat="1" ht="16.5" customHeight="1">
      <c r="B26" s="25"/>
      <c r="C26" s="51"/>
      <c r="D26" s="211"/>
      <c r="E26" s="51"/>
      <c r="F26" s="51"/>
      <c r="G26" s="27"/>
    </row>
    <row r="27" spans="2:7" s="1" customFormat="1" ht="16.5" customHeight="1">
      <c r="B27" s="25"/>
      <c r="C27" s="51"/>
      <c r="D27" s="211"/>
      <c r="E27" s="51"/>
      <c r="F27" s="51"/>
      <c r="G27" s="27"/>
    </row>
    <row r="28" spans="2:7" s="1" customFormat="1" ht="16.5" customHeight="1">
      <c r="B28" s="25"/>
      <c r="C28" s="51"/>
      <c r="D28" s="211"/>
      <c r="E28" s="51"/>
      <c r="F28" s="51"/>
      <c r="G28" s="27"/>
    </row>
    <row r="29" spans="2:7" s="1" customFormat="1" ht="16.5" customHeight="1">
      <c r="B29" s="25"/>
      <c r="C29" s="51"/>
      <c r="D29" s="211"/>
      <c r="E29" s="51"/>
      <c r="F29" s="51"/>
      <c r="G29" s="27"/>
    </row>
    <row r="30" spans="2:7" s="1" customFormat="1" ht="16.5" customHeight="1">
      <c r="B30" s="212" t="s">
        <v>1</v>
      </c>
      <c r="C30" s="213"/>
      <c r="D30" s="214">
        <f>SUBTOTAL(109,ExpAug30[Amount])</f>
        <v>398.25</v>
      </c>
      <c r="E30" s="213"/>
      <c r="F30" s="213"/>
      <c r="G30" s="212"/>
    </row>
    <row r="32" spans="2:7" s="1" customFormat="1" ht="27.75" customHeight="1">
      <c r="B32" s="205" t="s">
        <v>56</v>
      </c>
      <c r="C32" s="117"/>
      <c r="D32" s="117"/>
      <c r="E32" s="117"/>
      <c r="F32" s="117"/>
      <c r="G32" s="117"/>
    </row>
    <row r="33" spans="2:7" s="1" customFormat="1" ht="16.5" customHeight="1">
      <c r="B33" s="117"/>
      <c r="C33" s="117"/>
      <c r="D33" s="117"/>
      <c r="E33" s="117"/>
      <c r="F33" s="117"/>
      <c r="G33" s="117"/>
    </row>
    <row r="34" spans="2:7" s="1" customFormat="1" ht="16.5" customHeight="1">
      <c r="B34" s="206" t="s">
        <v>50</v>
      </c>
      <c r="C34" s="207" t="s">
        <v>53</v>
      </c>
      <c r="D34" s="206" t="s">
        <v>48</v>
      </c>
      <c r="E34" s="207" t="s">
        <v>47</v>
      </c>
      <c r="F34" s="207" t="s">
        <v>46</v>
      </c>
      <c r="G34" s="206" t="s">
        <v>45</v>
      </c>
    </row>
    <row r="35" spans="2:7" s="1" customFormat="1" ht="16.5" customHeight="1">
      <c r="B35" s="25">
        <v>42994</v>
      </c>
      <c r="C35" s="51">
        <v>10801</v>
      </c>
      <c r="D35" s="211">
        <v>11.3</v>
      </c>
      <c r="E35" s="51" t="s">
        <v>15</v>
      </c>
      <c r="F35" s="51" t="s">
        <v>254</v>
      </c>
      <c r="G35" s="27" t="s">
        <v>255</v>
      </c>
    </row>
    <row r="36" spans="2:7" s="1" customFormat="1" ht="16.5" customHeight="1">
      <c r="B36" s="25">
        <v>42994</v>
      </c>
      <c r="C36" s="51">
        <v>10801</v>
      </c>
      <c r="D36" s="211">
        <v>40</v>
      </c>
      <c r="E36" s="51" t="s">
        <v>2</v>
      </c>
      <c r="F36" s="51" t="s">
        <v>256</v>
      </c>
      <c r="G36" s="27"/>
    </row>
    <row r="37" spans="2:7" s="1" customFormat="1" ht="16.5" customHeight="1">
      <c r="B37" s="25"/>
      <c r="C37" s="51"/>
      <c r="D37" s="211"/>
      <c r="E37" s="51"/>
      <c r="F37" s="51"/>
      <c r="G37" s="27"/>
    </row>
    <row r="38" spans="2:7" s="1" customFormat="1" ht="16.5" customHeight="1">
      <c r="B38" s="25"/>
      <c r="C38" s="51"/>
      <c r="D38" s="211"/>
      <c r="E38" s="51"/>
      <c r="F38" s="51"/>
      <c r="G38" s="27"/>
    </row>
    <row r="39" spans="2:7" s="1" customFormat="1" ht="16.5" customHeight="1">
      <c r="B39" s="25"/>
      <c r="C39" s="51"/>
      <c r="D39" s="211"/>
      <c r="E39" s="51"/>
      <c r="F39" s="51"/>
      <c r="G39" s="27"/>
    </row>
    <row r="40" spans="2:7" s="1" customFormat="1" ht="16.5" customHeight="1">
      <c r="B40" s="25"/>
      <c r="C40" s="51"/>
      <c r="D40" s="211"/>
      <c r="E40" s="51"/>
      <c r="F40" s="51"/>
      <c r="G40" s="27"/>
    </row>
    <row r="41" spans="2:7" s="1" customFormat="1" ht="16.5" customHeight="1">
      <c r="B41" s="25"/>
      <c r="C41" s="51"/>
      <c r="D41" s="211"/>
      <c r="E41" s="51"/>
      <c r="F41" s="51"/>
      <c r="G41" s="27"/>
    </row>
    <row r="42" spans="2:7" s="1" customFormat="1" ht="16.5" customHeight="1">
      <c r="B42" s="25"/>
      <c r="C42" s="51"/>
      <c r="D42" s="211"/>
      <c r="E42" s="51"/>
      <c r="F42" s="51"/>
      <c r="G42" s="27"/>
    </row>
    <row r="43" spans="2:7" s="1" customFormat="1" ht="16.5" customHeight="1">
      <c r="B43" s="25"/>
      <c r="C43" s="51"/>
      <c r="D43" s="211"/>
      <c r="E43" s="51"/>
      <c r="F43" s="51"/>
      <c r="G43" s="27"/>
    </row>
    <row r="44" spans="2:7" s="1" customFormat="1" ht="16.5" customHeight="1">
      <c r="B44" s="212" t="s">
        <v>1</v>
      </c>
      <c r="C44" s="213"/>
      <c r="D44" s="214">
        <f>SUBTOTAL(109,ExpSep31[Amount])</f>
        <v>51.3</v>
      </c>
      <c r="E44" s="213"/>
      <c r="F44" s="213"/>
      <c r="G44" s="212"/>
    </row>
    <row r="46" spans="2:7" s="1" customFormat="1" ht="27" customHeight="1">
      <c r="B46" s="205" t="s">
        <v>70</v>
      </c>
      <c r="C46" s="117"/>
      <c r="D46" s="117"/>
      <c r="E46" s="117"/>
      <c r="F46" s="117"/>
      <c r="G46" s="117"/>
    </row>
    <row r="47" spans="2:7" s="1" customFormat="1" ht="16.5" customHeight="1">
      <c r="B47" s="117"/>
      <c r="C47" s="117"/>
      <c r="D47" s="117"/>
      <c r="E47" s="117"/>
      <c r="F47" s="117"/>
      <c r="G47" s="117"/>
    </row>
    <row r="48" spans="2:7" s="1" customFormat="1" ht="16.5" customHeight="1">
      <c r="B48" s="206" t="s">
        <v>50</v>
      </c>
      <c r="C48" s="207" t="s">
        <v>71</v>
      </c>
      <c r="D48" s="206" t="s">
        <v>48</v>
      </c>
      <c r="E48" s="207" t="s">
        <v>47</v>
      </c>
      <c r="F48" s="207" t="s">
        <v>46</v>
      </c>
      <c r="G48" s="206" t="s">
        <v>45</v>
      </c>
    </row>
    <row r="49" spans="2:7" s="1" customFormat="1" ht="16.5" customHeight="1">
      <c r="B49" s="208">
        <v>43015</v>
      </c>
      <c r="C49" s="209">
        <v>10848</v>
      </c>
      <c r="D49" s="210">
        <v>2.87</v>
      </c>
      <c r="E49" s="209" t="s">
        <v>17</v>
      </c>
      <c r="F49" s="209" t="s">
        <v>257</v>
      </c>
      <c r="G49" s="209" t="s">
        <v>258</v>
      </c>
    </row>
    <row r="50" spans="2:7" s="1" customFormat="1" ht="16.5" customHeight="1">
      <c r="B50" s="208">
        <v>43015</v>
      </c>
      <c r="C50" s="209">
        <v>10848</v>
      </c>
      <c r="D50" s="210">
        <v>7.99</v>
      </c>
      <c r="E50" s="209" t="s">
        <v>17</v>
      </c>
      <c r="F50" s="209" t="s">
        <v>259</v>
      </c>
      <c r="G50" s="209" t="s">
        <v>260</v>
      </c>
    </row>
    <row r="51" spans="2:7" s="1" customFormat="1" ht="16.5" customHeight="1">
      <c r="B51" s="208">
        <v>43015</v>
      </c>
      <c r="C51" s="209">
        <v>10848</v>
      </c>
      <c r="D51" s="210">
        <v>14</v>
      </c>
      <c r="E51" s="209" t="s">
        <v>17</v>
      </c>
      <c r="F51" s="209" t="s">
        <v>261</v>
      </c>
      <c r="G51" s="209" t="s">
        <v>262</v>
      </c>
    </row>
    <row r="52" spans="2:7" s="1" customFormat="1" ht="16.5" customHeight="1">
      <c r="B52" s="208">
        <v>43015</v>
      </c>
      <c r="C52" s="209">
        <v>10848</v>
      </c>
      <c r="D52" s="210">
        <v>80</v>
      </c>
      <c r="E52" s="209" t="s">
        <v>17</v>
      </c>
      <c r="F52" s="209" t="s">
        <v>263</v>
      </c>
      <c r="G52" s="209"/>
    </row>
    <row r="53" spans="2:7" s="1" customFormat="1" ht="16.5" customHeight="1">
      <c r="B53" s="25"/>
      <c r="C53" s="51"/>
      <c r="D53" s="211"/>
      <c r="E53" s="51"/>
      <c r="F53" s="51"/>
      <c r="G53" s="27"/>
    </row>
    <row r="54" spans="2:7" s="1" customFormat="1" ht="16.5" customHeight="1">
      <c r="B54" s="25"/>
      <c r="C54" s="51"/>
      <c r="D54" s="211"/>
      <c r="E54" s="51"/>
      <c r="F54" s="51"/>
      <c r="G54" s="27"/>
    </row>
    <row r="55" spans="2:7" s="1" customFormat="1" ht="16.5" customHeight="1">
      <c r="B55" s="25"/>
      <c r="C55" s="51"/>
      <c r="D55" s="211"/>
      <c r="E55" s="51"/>
      <c r="F55" s="51"/>
      <c r="G55" s="27"/>
    </row>
    <row r="56" spans="2:7" s="1" customFormat="1" ht="16.5" customHeight="1">
      <c r="B56" s="25"/>
      <c r="C56" s="51"/>
      <c r="D56" s="211"/>
      <c r="E56" s="51"/>
      <c r="F56" s="51"/>
      <c r="G56" s="27"/>
    </row>
    <row r="57" spans="2:7" s="1" customFormat="1" ht="16.5" customHeight="1">
      <c r="B57" s="25"/>
      <c r="C57" s="51"/>
      <c r="D57" s="211"/>
      <c r="E57" s="51"/>
      <c r="F57" s="51"/>
      <c r="G57" s="27"/>
    </row>
    <row r="58" spans="2:7" s="1" customFormat="1" ht="16.5" customHeight="1">
      <c r="B58" s="25"/>
      <c r="C58" s="51"/>
      <c r="D58" s="211"/>
      <c r="E58" s="51"/>
      <c r="F58" s="51"/>
      <c r="G58" s="27"/>
    </row>
    <row r="59" spans="2:7" s="1" customFormat="1" ht="16.5" customHeight="1">
      <c r="B59" s="25"/>
      <c r="C59" s="51"/>
      <c r="D59" s="211"/>
      <c r="E59" s="51"/>
      <c r="F59" s="51"/>
      <c r="G59" s="27"/>
    </row>
    <row r="60" spans="2:7" s="1" customFormat="1" ht="16.5" customHeight="1">
      <c r="B60" s="212" t="s">
        <v>1</v>
      </c>
      <c r="C60" s="213"/>
      <c r="D60" s="214">
        <f>SUBTOTAL(109,ExpOct32[Amount])</f>
        <v>104.86</v>
      </c>
      <c r="E60" s="213"/>
      <c r="F60" s="213"/>
      <c r="G60" s="212"/>
    </row>
    <row r="62" spans="2:7" s="1" customFormat="1" ht="26.25" customHeight="1">
      <c r="B62" s="205" t="s">
        <v>159</v>
      </c>
      <c r="C62" s="117"/>
      <c r="D62" s="117"/>
      <c r="E62" s="117"/>
      <c r="F62" s="117"/>
      <c r="G62" s="117"/>
    </row>
    <row r="63" spans="2:7" s="1" customFormat="1" ht="16.5" customHeight="1">
      <c r="B63" s="117"/>
      <c r="C63" s="117"/>
      <c r="D63" s="117"/>
      <c r="E63" s="117"/>
      <c r="F63" s="117"/>
      <c r="G63" s="117"/>
    </row>
    <row r="64" spans="2:7" s="1" customFormat="1" ht="16.5" customHeight="1">
      <c r="B64" s="206" t="s">
        <v>50</v>
      </c>
      <c r="C64" s="207" t="s">
        <v>71</v>
      </c>
      <c r="D64" s="206" t="s">
        <v>48</v>
      </c>
      <c r="E64" s="207" t="s">
        <v>47</v>
      </c>
      <c r="F64" s="207" t="s">
        <v>161</v>
      </c>
      <c r="G64" s="206" t="s">
        <v>160</v>
      </c>
    </row>
    <row r="65" spans="2:7" s="1" customFormat="1" ht="16.5" customHeight="1">
      <c r="B65" s="25"/>
      <c r="C65" s="51"/>
      <c r="D65" s="211"/>
      <c r="E65" s="51"/>
      <c r="F65" s="51"/>
      <c r="G65" s="27"/>
    </row>
    <row r="66" spans="2:7" s="1" customFormat="1" ht="16.5" customHeight="1">
      <c r="B66" s="25"/>
      <c r="C66" s="51"/>
      <c r="D66" s="211"/>
      <c r="E66" s="51"/>
      <c r="F66" s="51"/>
      <c r="G66" s="27"/>
    </row>
    <row r="67" spans="2:7" s="1" customFormat="1" ht="16.5" customHeight="1">
      <c r="B67" s="25"/>
      <c r="C67" s="51"/>
      <c r="D67" s="211"/>
      <c r="E67" s="51"/>
      <c r="F67" s="51"/>
      <c r="G67" s="27"/>
    </row>
    <row r="68" spans="2:7" s="1" customFormat="1" ht="16.5" customHeight="1">
      <c r="B68" s="25"/>
      <c r="C68" s="51"/>
      <c r="D68" s="211"/>
      <c r="E68" s="51"/>
      <c r="F68" s="51"/>
      <c r="G68" s="27"/>
    </row>
    <row r="69" spans="2:7" s="1" customFormat="1" ht="16.5" customHeight="1">
      <c r="B69" s="25"/>
      <c r="C69" s="51"/>
      <c r="D69" s="211"/>
      <c r="E69" s="51"/>
      <c r="F69" s="51"/>
      <c r="G69" s="27"/>
    </row>
    <row r="70" spans="2:7" s="1" customFormat="1" ht="16.5" customHeight="1">
      <c r="B70" s="25"/>
      <c r="C70" s="51"/>
      <c r="D70" s="211"/>
      <c r="E70" s="51"/>
      <c r="F70" s="51"/>
      <c r="G70" s="27"/>
    </row>
    <row r="71" spans="2:7" s="1" customFormat="1" ht="16.5" customHeight="1">
      <c r="B71" s="25"/>
      <c r="C71" s="51"/>
      <c r="D71" s="211"/>
      <c r="E71" s="51"/>
      <c r="F71" s="51"/>
      <c r="G71" s="27"/>
    </row>
    <row r="72" spans="2:7" s="1" customFormat="1" ht="16.5" customHeight="1">
      <c r="B72" s="25"/>
      <c r="C72" s="51"/>
      <c r="D72" s="211"/>
      <c r="E72" s="51"/>
      <c r="F72" s="51"/>
      <c r="G72" s="27"/>
    </row>
    <row r="73" spans="2:7" s="1" customFormat="1" ht="16.5" customHeight="1">
      <c r="B73" s="25"/>
      <c r="C73" s="51"/>
      <c r="D73" s="211"/>
      <c r="E73" s="51"/>
      <c r="F73" s="51"/>
      <c r="G73" s="27"/>
    </row>
    <row r="74" spans="2:7" s="1" customFormat="1" ht="16.5" customHeight="1">
      <c r="B74" s="25"/>
      <c r="C74" s="51"/>
      <c r="D74" s="211"/>
      <c r="E74" s="51"/>
      <c r="F74" s="51"/>
      <c r="G74" s="27"/>
    </row>
    <row r="75" spans="2:7" s="1" customFormat="1" ht="16.5" customHeight="1">
      <c r="B75" s="212" t="s">
        <v>1</v>
      </c>
      <c r="C75" s="213"/>
      <c r="D75" s="214">
        <f>SUBTOTAL(109,ExpNov33[Amount])</f>
        <v>0</v>
      </c>
      <c r="E75" s="213"/>
      <c r="F75" s="213"/>
      <c r="G75" s="212"/>
    </row>
    <row r="77" spans="2:7" s="1" customFormat="1" ht="27" customHeight="1">
      <c r="B77" s="205" t="s">
        <v>162</v>
      </c>
      <c r="C77" s="117"/>
      <c r="D77" s="117"/>
      <c r="E77" s="117"/>
      <c r="F77" s="117"/>
      <c r="G77" s="117"/>
    </row>
    <row r="78" spans="2:7" s="1" customFormat="1" ht="16.5" customHeight="1">
      <c r="B78" s="117"/>
      <c r="C78" s="117"/>
      <c r="D78" s="117"/>
      <c r="E78" s="117"/>
      <c r="F78" s="117"/>
      <c r="G78" s="117"/>
    </row>
    <row r="79" spans="2:7" s="1" customFormat="1" ht="16.5" customHeight="1">
      <c r="B79" s="206" t="s">
        <v>50</v>
      </c>
      <c r="C79" s="207" t="s">
        <v>71</v>
      </c>
      <c r="D79" s="206" t="s">
        <v>48</v>
      </c>
      <c r="E79" s="207" t="s">
        <v>47</v>
      </c>
      <c r="F79" s="207" t="s">
        <v>161</v>
      </c>
      <c r="G79" s="206" t="s">
        <v>160</v>
      </c>
    </row>
    <row r="80" spans="2:7" s="1" customFormat="1" ht="16.5" customHeight="1">
      <c r="B80" s="25"/>
      <c r="C80" s="51"/>
      <c r="D80" s="211"/>
      <c r="E80" s="51"/>
      <c r="F80" s="51"/>
      <c r="G80" s="27"/>
    </row>
    <row r="81" spans="2:7" s="1" customFormat="1" ht="16.5" customHeight="1">
      <c r="B81" s="25"/>
      <c r="C81" s="51"/>
      <c r="D81" s="211"/>
      <c r="E81" s="51"/>
      <c r="F81" s="51"/>
      <c r="G81" s="27"/>
    </row>
    <row r="82" spans="2:7" s="1" customFormat="1" ht="16.5" customHeight="1">
      <c r="B82" s="25"/>
      <c r="C82" s="51"/>
      <c r="D82" s="211"/>
      <c r="E82" s="51"/>
      <c r="F82" s="51"/>
      <c r="G82" s="27"/>
    </row>
    <row r="83" spans="2:7" s="1" customFormat="1" ht="16.5" customHeight="1">
      <c r="B83" s="25"/>
      <c r="C83" s="51"/>
      <c r="D83" s="211"/>
      <c r="E83" s="51"/>
      <c r="F83" s="51"/>
      <c r="G83" s="27"/>
    </row>
    <row r="84" spans="2:7" s="1" customFormat="1" ht="16.5" customHeight="1">
      <c r="B84" s="25"/>
      <c r="C84" s="51"/>
      <c r="D84" s="211"/>
      <c r="E84" s="51"/>
      <c r="F84" s="51"/>
      <c r="G84" s="27"/>
    </row>
    <row r="85" spans="2:7" s="1" customFormat="1" ht="16.5" customHeight="1">
      <c r="B85" s="25"/>
      <c r="C85" s="51"/>
      <c r="D85" s="211"/>
      <c r="E85" s="51"/>
      <c r="F85" s="51"/>
      <c r="G85" s="27"/>
    </row>
    <row r="86" spans="2:7" s="1" customFormat="1" ht="16.5" customHeight="1">
      <c r="B86" s="25"/>
      <c r="C86" s="51"/>
      <c r="D86" s="211"/>
      <c r="E86" s="51"/>
      <c r="F86" s="51"/>
      <c r="G86" s="27"/>
    </row>
    <row r="87" spans="2:7" s="1" customFormat="1" ht="16.5" customHeight="1">
      <c r="B87" s="25"/>
      <c r="C87" s="51"/>
      <c r="D87" s="211"/>
      <c r="E87" s="51"/>
      <c r="F87" s="51"/>
      <c r="G87" s="27"/>
    </row>
    <row r="88" spans="2:7" s="1" customFormat="1" ht="16.5" customHeight="1">
      <c r="B88" s="212" t="s">
        <v>1</v>
      </c>
      <c r="C88" s="213"/>
      <c r="D88" s="214">
        <f>SUBTOTAL(109,ExpDec34[Amount])</f>
        <v>0</v>
      </c>
      <c r="E88" s="213"/>
      <c r="F88" s="213"/>
      <c r="G88" s="212"/>
    </row>
    <row r="90" spans="2:7" s="1" customFormat="1" ht="27" customHeight="1">
      <c r="B90" s="205" t="s">
        <v>163</v>
      </c>
      <c r="C90" s="36"/>
      <c r="D90" s="36"/>
      <c r="E90" s="36"/>
      <c r="F90" s="36"/>
      <c r="G90" s="36"/>
    </row>
    <row r="91" spans="2:7" s="1" customFormat="1" ht="16.5" customHeight="1">
      <c r="B91" s="36"/>
      <c r="C91" s="36"/>
      <c r="D91" s="36"/>
      <c r="E91" s="36"/>
      <c r="F91" s="36"/>
      <c r="G91" s="36"/>
    </row>
    <row r="92" spans="2:7" s="1" customFormat="1" ht="16.5" customHeight="1">
      <c r="B92" s="206" t="s">
        <v>50</v>
      </c>
      <c r="C92" s="207" t="s">
        <v>164</v>
      </c>
      <c r="D92" s="206" t="s">
        <v>48</v>
      </c>
      <c r="E92" s="207" t="s">
        <v>47</v>
      </c>
      <c r="F92" s="207" t="s">
        <v>161</v>
      </c>
      <c r="G92" s="206" t="s">
        <v>160</v>
      </c>
    </row>
    <row r="93" spans="2:7" s="1" customFormat="1" ht="16.5" customHeight="1">
      <c r="B93" s="25"/>
      <c r="C93" s="51"/>
      <c r="D93" s="211"/>
      <c r="E93" s="51"/>
      <c r="F93" s="51"/>
      <c r="G93" s="27"/>
    </row>
    <row r="94" spans="2:7" s="1" customFormat="1" ht="16.5" customHeight="1">
      <c r="B94" s="25"/>
      <c r="C94" s="51"/>
      <c r="D94" s="211"/>
      <c r="E94" s="51"/>
      <c r="F94" s="51"/>
      <c r="G94" s="27"/>
    </row>
    <row r="95" spans="2:7" s="1" customFormat="1" ht="16.5" customHeight="1">
      <c r="B95" s="25"/>
      <c r="C95" s="51"/>
      <c r="D95" s="211"/>
      <c r="E95" s="51"/>
      <c r="F95" s="51"/>
      <c r="G95" s="27"/>
    </row>
    <row r="96" spans="2:7" s="1" customFormat="1" ht="16.5" customHeight="1">
      <c r="B96" s="25"/>
      <c r="C96" s="51"/>
      <c r="D96" s="211"/>
      <c r="E96" s="51"/>
      <c r="F96" s="51"/>
      <c r="G96" s="27"/>
    </row>
    <row r="97" spans="2:7" s="1" customFormat="1" ht="16.5" customHeight="1">
      <c r="B97" s="25"/>
      <c r="C97" s="51"/>
      <c r="D97" s="211"/>
      <c r="E97" s="51"/>
      <c r="F97" s="51"/>
      <c r="G97" s="27"/>
    </row>
    <row r="98" spans="2:7" s="1" customFormat="1" ht="16.5" customHeight="1">
      <c r="B98" s="25"/>
      <c r="C98" s="51"/>
      <c r="D98" s="211"/>
      <c r="E98" s="51"/>
      <c r="F98" s="51"/>
      <c r="G98" s="27"/>
    </row>
    <row r="99" spans="2:7" s="1" customFormat="1" ht="16.5" customHeight="1">
      <c r="B99" s="25"/>
      <c r="C99" s="26"/>
      <c r="D99" s="211"/>
      <c r="E99" s="26"/>
      <c r="F99" s="26"/>
      <c r="G99" s="27"/>
    </row>
    <row r="100" spans="2:7" s="1" customFormat="1" ht="16.5" customHeight="1">
      <c r="B100" s="25"/>
      <c r="C100" s="26"/>
      <c r="D100" s="211"/>
      <c r="E100" s="26"/>
      <c r="F100" s="26"/>
      <c r="G100" s="27"/>
    </row>
    <row r="101" spans="2:7" s="1" customFormat="1" ht="16.5" customHeight="1">
      <c r="B101" s="27"/>
      <c r="C101" s="26"/>
      <c r="D101" s="211"/>
      <c r="E101" s="26"/>
      <c r="F101" s="26"/>
      <c r="G101" s="27"/>
    </row>
    <row r="102" spans="2:7" s="1" customFormat="1" ht="16.5" customHeight="1">
      <c r="B102" s="27"/>
      <c r="C102" s="26"/>
      <c r="D102" s="211"/>
      <c r="E102" s="26"/>
      <c r="F102" s="26"/>
      <c r="G102" s="27"/>
    </row>
    <row r="103" spans="2:7" s="1" customFormat="1" ht="16.5" customHeight="1">
      <c r="B103" s="212" t="s">
        <v>1</v>
      </c>
      <c r="C103" s="213"/>
      <c r="D103" s="214">
        <f>SUBTOTAL(109,ExpJan35[Amount])</f>
        <v>0</v>
      </c>
      <c r="E103" s="213"/>
      <c r="F103" s="213"/>
      <c r="G103" s="212"/>
    </row>
    <row r="105" spans="2:7" s="1" customFormat="1" ht="24.75" customHeight="1">
      <c r="B105" s="205" t="s">
        <v>165</v>
      </c>
      <c r="C105" s="117"/>
      <c r="D105" s="117"/>
      <c r="E105" s="117"/>
      <c r="F105" s="117"/>
      <c r="G105" s="117"/>
    </row>
    <row r="106" spans="2:7" s="1" customFormat="1" ht="16.5" customHeight="1">
      <c r="B106" s="117"/>
      <c r="C106" s="117"/>
      <c r="D106" s="117"/>
      <c r="E106" s="117"/>
      <c r="F106" s="117"/>
      <c r="G106" s="117"/>
    </row>
    <row r="107" spans="2:7" s="1" customFormat="1" ht="16.5" customHeight="1">
      <c r="B107" s="206" t="s">
        <v>50</v>
      </c>
      <c r="C107" s="207" t="s">
        <v>71</v>
      </c>
      <c r="D107" s="206" t="s">
        <v>48</v>
      </c>
      <c r="E107" s="207" t="s">
        <v>47</v>
      </c>
      <c r="F107" s="207" t="s">
        <v>161</v>
      </c>
      <c r="G107" s="206" t="s">
        <v>160</v>
      </c>
    </row>
    <row r="108" spans="2:7" s="1" customFormat="1" ht="16.5" customHeight="1">
      <c r="B108" s="25"/>
      <c r="C108" s="51"/>
      <c r="D108" s="211"/>
      <c r="E108" s="51"/>
      <c r="F108" s="51"/>
      <c r="G108" s="27"/>
    </row>
    <row r="109" spans="2:7" s="1" customFormat="1" ht="16.5" customHeight="1">
      <c r="B109" s="25"/>
      <c r="C109" s="51"/>
      <c r="D109" s="211"/>
      <c r="E109" s="51"/>
      <c r="F109" s="51"/>
      <c r="G109" s="27"/>
    </row>
    <row r="110" spans="2:7" s="1" customFormat="1" ht="16.5" customHeight="1">
      <c r="B110" s="25"/>
      <c r="C110" s="51"/>
      <c r="D110" s="211"/>
      <c r="E110" s="51"/>
      <c r="F110" s="51"/>
      <c r="G110" s="27"/>
    </row>
    <row r="111" spans="2:7" s="1" customFormat="1" ht="16.5" customHeight="1">
      <c r="B111" s="25"/>
      <c r="C111" s="51"/>
      <c r="D111" s="211"/>
      <c r="E111" s="51"/>
      <c r="F111" s="51"/>
      <c r="G111" s="27"/>
    </row>
    <row r="112" spans="2:7" s="1" customFormat="1" ht="16.5" customHeight="1">
      <c r="B112" s="25"/>
      <c r="C112" s="51"/>
      <c r="D112" s="211"/>
      <c r="E112" s="51"/>
      <c r="F112" s="51"/>
      <c r="G112" s="27"/>
    </row>
    <row r="113" spans="2:7" s="1" customFormat="1" ht="16.5" customHeight="1">
      <c r="B113" s="25"/>
      <c r="C113" s="51"/>
      <c r="D113" s="211"/>
      <c r="E113" s="51"/>
      <c r="F113" s="51"/>
      <c r="G113" s="27"/>
    </row>
    <row r="114" spans="2:7" s="1" customFormat="1" ht="16.5" customHeight="1">
      <c r="B114" s="212" t="s">
        <v>1</v>
      </c>
      <c r="C114" s="213"/>
      <c r="D114" s="214">
        <f>SUBTOTAL(109,ExpFeb36[Amount])</f>
        <v>0</v>
      </c>
      <c r="E114" s="213"/>
      <c r="F114" s="213"/>
      <c r="G114" s="212"/>
    </row>
    <row r="116" spans="2:7" s="1" customFormat="1" ht="26.25" customHeight="1">
      <c r="B116" s="205" t="s">
        <v>166</v>
      </c>
      <c r="C116" s="117"/>
      <c r="D116" s="117"/>
      <c r="E116" s="117"/>
      <c r="F116" s="117"/>
      <c r="G116" s="117"/>
    </row>
    <row r="117" spans="2:7" s="1" customFormat="1" ht="16.5" customHeight="1">
      <c r="B117" s="117"/>
      <c r="C117" s="117"/>
      <c r="D117" s="117"/>
      <c r="E117" s="117"/>
      <c r="F117" s="117"/>
      <c r="G117" s="117"/>
    </row>
    <row r="118" spans="2:7" s="1" customFormat="1" ht="16.5" customHeight="1">
      <c r="B118" s="206" t="s">
        <v>50</v>
      </c>
      <c r="C118" s="207" t="s">
        <v>71</v>
      </c>
      <c r="D118" s="206" t="s">
        <v>48</v>
      </c>
      <c r="E118" s="207" t="s">
        <v>47</v>
      </c>
      <c r="F118" s="207" t="s">
        <v>161</v>
      </c>
      <c r="G118" s="206" t="s">
        <v>160</v>
      </c>
    </row>
    <row r="119" spans="2:7" s="1" customFormat="1" ht="16.5" customHeight="1">
      <c r="B119" s="25"/>
      <c r="C119" s="51"/>
      <c r="D119" s="211"/>
      <c r="E119" s="51"/>
      <c r="F119" s="51"/>
      <c r="G119" s="27"/>
    </row>
    <row r="120" spans="2:7" s="1" customFormat="1" ht="16.5" customHeight="1">
      <c r="B120" s="25"/>
      <c r="C120" s="51"/>
      <c r="D120" s="211"/>
      <c r="E120" s="51"/>
      <c r="F120" s="51"/>
      <c r="G120" s="27"/>
    </row>
    <row r="121" spans="2:7" s="1" customFormat="1" ht="16.5" customHeight="1">
      <c r="B121" s="25"/>
      <c r="C121" s="51"/>
      <c r="D121" s="211"/>
      <c r="E121" s="51"/>
      <c r="F121" s="51"/>
      <c r="G121" s="27"/>
    </row>
    <row r="122" spans="2:7" s="1" customFormat="1" ht="16.5" customHeight="1">
      <c r="B122" s="25"/>
      <c r="C122" s="51"/>
      <c r="D122" s="211"/>
      <c r="E122" s="51"/>
      <c r="F122" s="51"/>
      <c r="G122" s="27"/>
    </row>
    <row r="123" spans="2:7" s="1" customFormat="1" ht="16.5" customHeight="1">
      <c r="B123" s="25"/>
      <c r="C123" s="51"/>
      <c r="D123" s="211"/>
      <c r="E123" s="51"/>
      <c r="F123" s="51"/>
      <c r="G123" s="27"/>
    </row>
    <row r="124" spans="2:7" s="1" customFormat="1" ht="16.5" customHeight="1">
      <c r="B124" s="25"/>
      <c r="C124" s="51"/>
      <c r="D124" s="211"/>
      <c r="E124" s="51"/>
      <c r="F124" s="51"/>
      <c r="G124" s="27"/>
    </row>
    <row r="125" spans="2:7" s="1" customFormat="1" ht="16.5" customHeight="1">
      <c r="B125" s="25"/>
      <c r="C125" s="51"/>
      <c r="D125" s="211"/>
      <c r="E125" s="51"/>
      <c r="F125" s="51"/>
      <c r="G125" s="27"/>
    </row>
    <row r="126" spans="2:7" s="1" customFormat="1" ht="16.5" customHeight="1">
      <c r="B126" s="25"/>
      <c r="C126" s="51"/>
      <c r="D126" s="211"/>
      <c r="E126" s="51"/>
      <c r="F126" s="51"/>
      <c r="G126" s="27"/>
    </row>
    <row r="127" spans="2:7" s="1" customFormat="1" ht="16.5" customHeight="1">
      <c r="B127" s="25"/>
      <c r="C127" s="51"/>
      <c r="D127" s="211"/>
      <c r="E127" s="51"/>
      <c r="F127" s="51"/>
      <c r="G127" s="27"/>
    </row>
    <row r="128" spans="2:7" s="1" customFormat="1" ht="16.5" customHeight="1">
      <c r="B128" s="212" t="s">
        <v>1</v>
      </c>
      <c r="C128" s="213"/>
      <c r="D128" s="214">
        <f>SUBTOTAL(109,ExpMar37[Amount])</f>
        <v>0</v>
      </c>
      <c r="E128" s="213"/>
      <c r="F128" s="213"/>
      <c r="G128" s="212"/>
    </row>
    <row r="130" spans="2:7" s="1" customFormat="1" ht="27.75" customHeight="1">
      <c r="B130" s="205" t="s">
        <v>167</v>
      </c>
      <c r="C130" s="117"/>
      <c r="D130" s="117"/>
      <c r="E130" s="117"/>
      <c r="F130" s="117"/>
      <c r="G130" s="117"/>
    </row>
    <row r="131" spans="2:7" s="1" customFormat="1" ht="16.5" customHeight="1">
      <c r="B131" s="117"/>
      <c r="C131" s="117"/>
      <c r="D131" s="117"/>
      <c r="E131" s="117"/>
      <c r="F131" s="117"/>
      <c r="G131" s="117"/>
    </row>
    <row r="132" spans="2:7" s="1" customFormat="1" ht="16.5" customHeight="1">
      <c r="B132" s="206" t="s">
        <v>50</v>
      </c>
      <c r="C132" s="207" t="s">
        <v>168</v>
      </c>
      <c r="D132" s="206" t="s">
        <v>48</v>
      </c>
      <c r="E132" s="207" t="s">
        <v>47</v>
      </c>
      <c r="F132" s="207" t="s">
        <v>46</v>
      </c>
      <c r="G132" s="206" t="s">
        <v>45</v>
      </c>
    </row>
    <row r="133" spans="2:7" s="1" customFormat="1" ht="16.5" customHeight="1">
      <c r="B133" s="215"/>
      <c r="C133" s="51"/>
      <c r="D133" s="216"/>
      <c r="E133" s="51"/>
      <c r="F133" s="51"/>
      <c r="G133" s="51"/>
    </row>
    <row r="134" spans="2:7" s="1" customFormat="1" ht="16.5" customHeight="1">
      <c r="B134" s="215"/>
      <c r="C134" s="51"/>
      <c r="D134" s="216"/>
      <c r="E134" s="51"/>
      <c r="F134" s="51"/>
      <c r="G134" s="51"/>
    </row>
    <row r="135" spans="2:7" s="1" customFormat="1" ht="16.5" customHeight="1">
      <c r="B135" s="215"/>
      <c r="C135" s="51"/>
      <c r="D135" s="216"/>
      <c r="E135" s="51"/>
      <c r="F135" s="51"/>
      <c r="G135" s="51"/>
    </row>
    <row r="136" spans="2:7" s="1" customFormat="1" ht="16.5" customHeight="1">
      <c r="B136" s="215"/>
      <c r="C136" s="51"/>
      <c r="D136" s="216"/>
      <c r="E136" s="51"/>
      <c r="F136" s="51"/>
      <c r="G136" s="51"/>
    </row>
    <row r="137" spans="2:7" s="1" customFormat="1" ht="16.5" customHeight="1">
      <c r="B137" s="215"/>
      <c r="C137" s="51"/>
      <c r="D137" s="216"/>
      <c r="E137" s="51"/>
      <c r="F137" s="51"/>
      <c r="G137" s="51"/>
    </row>
    <row r="138" spans="2:7" s="1" customFormat="1" ht="16.5" customHeight="1">
      <c r="B138" s="215"/>
      <c r="C138" s="51"/>
      <c r="D138" s="216"/>
      <c r="E138" s="51"/>
      <c r="F138" s="51"/>
      <c r="G138" s="51"/>
    </row>
    <row r="139" spans="2:7" s="1" customFormat="1" ht="16.5" customHeight="1">
      <c r="B139" s="212" t="s">
        <v>1</v>
      </c>
      <c r="C139" s="213"/>
      <c r="D139" s="214">
        <f>SUBTOTAL(109,ExpApr38[Amount])</f>
        <v>0</v>
      </c>
      <c r="E139" s="213"/>
      <c r="F139" s="213"/>
      <c r="G139" s="212"/>
    </row>
    <row r="141" spans="2:7" s="1" customFormat="1" ht="26.25" customHeight="1">
      <c r="B141" s="205" t="s">
        <v>169</v>
      </c>
      <c r="C141" s="117"/>
      <c r="D141" s="117"/>
      <c r="E141" s="117"/>
      <c r="F141" s="117"/>
      <c r="G141" s="117"/>
    </row>
    <row r="142" spans="2:7" s="1" customFormat="1" ht="16.5" customHeight="1">
      <c r="B142" s="117"/>
      <c r="C142" s="117"/>
      <c r="D142" s="117"/>
      <c r="E142" s="117"/>
      <c r="F142" s="117"/>
      <c r="G142" s="117"/>
    </row>
    <row r="143" spans="2:7" s="1" customFormat="1" ht="16.5" customHeight="1">
      <c r="B143" s="206" t="s">
        <v>50</v>
      </c>
      <c r="C143" s="207" t="s">
        <v>71</v>
      </c>
      <c r="D143" s="206" t="s">
        <v>48</v>
      </c>
      <c r="E143" s="207" t="s">
        <v>47</v>
      </c>
      <c r="F143" s="207" t="s">
        <v>46</v>
      </c>
      <c r="G143" s="206" t="s">
        <v>45</v>
      </c>
    </row>
    <row r="144" spans="2:7" s="1" customFormat="1" ht="16.5" customHeight="1">
      <c r="B144" s="394"/>
      <c r="C144" s="221"/>
      <c r="D144" s="222"/>
      <c r="E144" s="221"/>
      <c r="F144" s="395"/>
      <c r="G144" s="395"/>
    </row>
    <row r="145" spans="2:7" s="1" customFormat="1" ht="16.5" customHeight="1">
      <c r="B145" s="221"/>
      <c r="C145" s="221"/>
      <c r="D145" s="222"/>
      <c r="E145" s="221"/>
      <c r="F145" s="395"/>
      <c r="G145" s="395"/>
    </row>
    <row r="146" spans="2:7" s="1" customFormat="1" ht="16.5" customHeight="1">
      <c r="B146" s="221"/>
      <c r="C146" s="221"/>
      <c r="D146" s="222"/>
      <c r="E146" s="221"/>
      <c r="F146" s="395"/>
      <c r="G146" s="395"/>
    </row>
    <row r="147" spans="2:7" s="1" customFormat="1" ht="16.5" customHeight="1">
      <c r="B147" s="221"/>
      <c r="C147" s="221"/>
      <c r="D147" s="222"/>
      <c r="E147" s="221"/>
      <c r="F147" s="395"/>
      <c r="G147" s="395"/>
    </row>
    <row r="148" spans="2:7" s="1" customFormat="1" ht="16.5" customHeight="1">
      <c r="B148" s="221"/>
      <c r="C148" s="221"/>
      <c r="D148" s="222"/>
      <c r="E148" s="221"/>
      <c r="F148" s="395"/>
      <c r="G148" s="395"/>
    </row>
    <row r="149" spans="2:7" s="1" customFormat="1" ht="16.5" customHeight="1">
      <c r="B149" s="221"/>
      <c r="C149" s="221"/>
      <c r="D149" s="222"/>
      <c r="E149" s="221"/>
      <c r="F149" s="395"/>
      <c r="G149" s="395"/>
    </row>
    <row r="150" spans="2:7" s="1" customFormat="1" ht="16.5" customHeight="1">
      <c r="B150" s="221"/>
      <c r="C150" s="221"/>
      <c r="D150" s="222"/>
      <c r="E150" s="221"/>
      <c r="F150" s="395"/>
      <c r="G150" s="395"/>
    </row>
    <row r="151" spans="2:7" s="1" customFormat="1" ht="16.5" customHeight="1">
      <c r="B151" s="395" t="s">
        <v>1</v>
      </c>
      <c r="C151" s="395"/>
      <c r="D151" s="396"/>
      <c r="E151" s="395"/>
      <c r="F151" s="395"/>
      <c r="G151" s="395"/>
    </row>
    <row r="153" spans="2:7" s="1" customFormat="1" ht="28.5" customHeight="1">
      <c r="B153" s="205" t="s">
        <v>170</v>
      </c>
      <c r="C153" s="117"/>
      <c r="D153" s="117"/>
      <c r="E153" s="117"/>
      <c r="F153" s="117"/>
      <c r="G153" s="117"/>
    </row>
    <row r="154" spans="2:7" s="1" customFormat="1" ht="16.5" customHeight="1">
      <c r="B154" s="117"/>
      <c r="C154" s="117"/>
      <c r="D154" s="117"/>
      <c r="E154" s="117"/>
      <c r="F154" s="117"/>
      <c r="G154" s="117"/>
    </row>
    <row r="155" spans="2:7" s="1" customFormat="1" ht="16.5" customHeight="1">
      <c r="B155" s="206" t="s">
        <v>50</v>
      </c>
      <c r="C155" s="207" t="s">
        <v>155</v>
      </c>
      <c r="D155" s="206" t="s">
        <v>48</v>
      </c>
      <c r="E155" s="207" t="s">
        <v>47</v>
      </c>
      <c r="F155" s="207" t="s">
        <v>46</v>
      </c>
      <c r="G155" s="206" t="s">
        <v>45</v>
      </c>
    </row>
    <row r="156" spans="2:7" s="1" customFormat="1" ht="16.5" customHeight="1">
      <c r="B156" s="25"/>
      <c r="C156" s="51"/>
      <c r="D156" s="211"/>
      <c r="E156" s="51"/>
      <c r="F156" s="51"/>
      <c r="G156" s="27"/>
    </row>
    <row r="157" spans="2:7" s="1" customFormat="1" ht="16.5" customHeight="1">
      <c r="B157" s="25"/>
      <c r="C157" s="51"/>
      <c r="D157" s="211"/>
      <c r="E157" s="51"/>
      <c r="F157" s="51"/>
      <c r="G157" s="27"/>
    </row>
    <row r="158" spans="2:7" s="1" customFormat="1" ht="16.5" customHeight="1">
      <c r="B158" s="25"/>
      <c r="C158" s="51"/>
      <c r="D158" s="211"/>
      <c r="E158" s="51"/>
      <c r="F158" s="51"/>
      <c r="G158" s="27"/>
    </row>
    <row r="159" spans="2:7" s="1" customFormat="1" ht="16.5" customHeight="1">
      <c r="B159" s="25"/>
      <c r="C159" s="51"/>
      <c r="D159" s="211"/>
      <c r="E159" s="51"/>
      <c r="F159" s="51"/>
      <c r="G159" s="27"/>
    </row>
    <row r="160" spans="2:7" s="1" customFormat="1" ht="16.5" customHeight="1">
      <c r="B160" s="25"/>
      <c r="C160" s="51"/>
      <c r="D160" s="211"/>
      <c r="E160" s="51"/>
      <c r="F160" s="51"/>
      <c r="G160" s="27"/>
    </row>
    <row r="161" spans="2:7" s="1" customFormat="1" ht="16.5" customHeight="1">
      <c r="B161" s="25"/>
      <c r="C161" s="51"/>
      <c r="D161" s="211"/>
      <c r="E161" s="51"/>
      <c r="F161" s="51"/>
      <c r="G161" s="27"/>
    </row>
    <row r="162" spans="2:7" s="1" customFormat="1" ht="16.5" customHeight="1">
      <c r="B162" s="25"/>
      <c r="C162" s="51"/>
      <c r="D162" s="211"/>
      <c r="E162" s="51"/>
      <c r="F162" s="51"/>
      <c r="G162" s="27"/>
    </row>
    <row r="163" spans="2:7" s="1" customFormat="1" ht="16.5" customHeight="1">
      <c r="B163" s="25"/>
      <c r="C163" s="51"/>
      <c r="D163" s="211"/>
      <c r="E163" s="51"/>
      <c r="F163" s="51"/>
      <c r="G163" s="27"/>
    </row>
    <row r="164" spans="2:7" s="1" customFormat="1" ht="16.5" customHeight="1">
      <c r="B164" s="25"/>
      <c r="C164" s="51"/>
      <c r="D164" s="211"/>
      <c r="E164" s="51"/>
      <c r="F164" s="51"/>
      <c r="G164" s="27"/>
    </row>
    <row r="165" spans="2:7" s="1" customFormat="1" ht="16.5" customHeight="1">
      <c r="B165" s="25"/>
      <c r="C165" s="51"/>
      <c r="D165" s="211"/>
      <c r="E165" s="51"/>
      <c r="F165" s="51"/>
      <c r="G165" s="27"/>
    </row>
    <row r="166" spans="2:7" s="1" customFormat="1" ht="16.5" customHeight="1">
      <c r="B166" s="25"/>
      <c r="C166" s="51"/>
      <c r="D166" s="211"/>
      <c r="E166" s="51"/>
      <c r="F166" s="51"/>
      <c r="G166" s="27"/>
    </row>
    <row r="167" spans="2:7" s="1" customFormat="1" ht="16.5" customHeight="1">
      <c r="B167" s="224" t="s">
        <v>1</v>
      </c>
      <c r="C167" s="225"/>
      <c r="D167" s="226">
        <f>SUBTOTAL(109,ExpJun40[Amount])</f>
        <v>0</v>
      </c>
      <c r="E167" s="225"/>
      <c r="F167" s="225"/>
      <c r="G167" s="224"/>
    </row>
  </sheetData>
  <dataValidations count="14">
    <dataValidation type="custom" errorStyle="warning" allowBlank="1" showInputMessage="1" showErrorMessage="1" errorTitle="Amount Validation" error="Amount should be a number." sqref="D5:D13 D15 D19:D29 D35:D43 D49:D59 D65:D74 D80:D87 D93:D102 D108:D113 D119:D127 D133:D138 D144:D150 D156:D166">
      <formula1>ISNUMBER($D5)</formula1>
    </dataValidation>
    <dataValidation type="custom" errorStyle="warning" allowBlank="1" showInputMessage="1" showErrorMessage="1" errorTitle="Date Validation" error="A date in July needs be entered  in order for this expense to be added to the Summary sheet." sqref="B5:B13 B15">
      <formula1>MONTH($B5)=7</formula1>
    </dataValidation>
    <dataValidation type="list" errorStyle="warning" allowBlank="1" showInputMessage="1" showErrorMessage="1" errorTitle="Unknown Category" error="An expense from the drop down should be selected in order for it to be included on the Summary sheet." sqref="E5:F13 E15:F15 E19:F29 E35:F43 E49:F59 E65:F74 E80:F87 E93:F102 E108:F113 E119:F127 E133:F138 E144:F150 E156:F166">
      <formula1>ExpenseCategories</formula1>
    </dataValidation>
    <dataValidation type="custom" errorStyle="warning" allowBlank="1" showInputMessage="1" showErrorMessage="1" errorTitle="Date Validation" error="A date in August needs be entered  in order for this expense to be added to the Summary sheet." sqref="B19:B29">
      <formula1>MONTH($B19)=8</formula1>
    </dataValidation>
    <dataValidation type="custom" errorStyle="warning" allowBlank="1" showInputMessage="1" showErrorMessage="1" errorTitle="Date Validation" error="A date in September needs be entered  in order for this expense to be added to the Summary sheet." sqref="B35:B43">
      <formula1>MONTH($B35)=9</formula1>
    </dataValidation>
    <dataValidation type="custom" errorStyle="warning" allowBlank="1" showInputMessage="1" showErrorMessage="1" errorTitle="Date Validation" error="A date in October needs be entered  in order for this expense to be added to the Summary sheet." sqref="B49:B59">
      <formula1>MONTH($B49)=10</formula1>
    </dataValidation>
    <dataValidation type="custom" errorStyle="warning" allowBlank="1" showInputMessage="1" showErrorMessage="1" errorTitle="Date Validation" error="A date in November needs be entered  in order for this expense to be added to the Summary sheet." sqref="B65:B74">
      <formula1>MONTH($B65)=11</formula1>
    </dataValidation>
    <dataValidation type="custom" errorStyle="warning" allowBlank="1" showInputMessage="1" showErrorMessage="1" errorTitle="Date Validation" error="A date in December needs be entered  in order for this expense to be added to the Summary sheet." sqref="B80:B87">
      <formula1>MONTH($B80)=12</formula1>
    </dataValidation>
    <dataValidation type="custom" errorStyle="warning" allowBlank="1" showInputMessage="1" showErrorMessage="1" errorTitle="Date Validation" error="A date in January needs be entered in order for this expense to be added to the Summary sheet." sqref="B93:B102">
      <formula1>MONTH($B93)=1</formula1>
    </dataValidation>
    <dataValidation type="custom" errorStyle="warning" allowBlank="1" showInputMessage="1" showErrorMessage="1" errorTitle="Date Validation" error="A date in February needs be entered in order for this expense to be added to the Summary sheet." sqref="B108:B113">
      <formula1>MONTH($B108)=2</formula1>
    </dataValidation>
    <dataValidation type="custom" errorStyle="warning" allowBlank="1" showInputMessage="1" showErrorMessage="1" errorTitle="Date Validation" error="A date in March needs be entered in order for this expense to be added to the Summary sheet." sqref="B119:B127">
      <formula1>MONTH($B119)=3</formula1>
    </dataValidation>
    <dataValidation type="custom" errorStyle="warning" allowBlank="1" showInputMessage="1" showErrorMessage="1" errorTitle="Date Validation" error="A date in April needs be entered  in order for this expense to be added to the Summary sheet." sqref="B133:B138">
      <formula1>MONTH($B133)=4</formula1>
    </dataValidation>
    <dataValidation type="custom" errorStyle="warning" allowBlank="1" showInputMessage="1" showErrorMessage="1" errorTitle="Date Validation" error="A date in May needs be entered  in order for this expense to be added to the Summary sheet." sqref="B144:B150">
      <formula1>MONTH($B144)=5</formula1>
    </dataValidation>
    <dataValidation type="custom" errorStyle="warning" allowBlank="1" showInputMessage="1" showErrorMessage="1" errorTitle="Date Validation" error="A date in June needs be entered  in order for this expense to be added to the Summary sheet." sqref="B156:B166">
      <formula1>MONTH($B156)=6</formula1>
    </dataValidation>
  </dataValidations>
  <printOptions horizontalCentered="1"/>
  <pageMargins left="0.25" right="0.25" top="0.75" bottom="0.75" header="0.3" footer="0.3"/>
  <pageSetup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8"/>
  <sheetViews>
    <sheetView workbookViewId="0">
      <selection activeCell="I21" sqref="I21"/>
    </sheetView>
  </sheetViews>
  <sheetFormatPr defaultColWidth="9.140625" defaultRowHeight="12.75"/>
  <cols>
    <col min="1" max="1" width="15.42578125" style="260" customWidth="1"/>
    <col min="2" max="2" width="14" style="260" customWidth="1"/>
    <col min="3" max="3" width="13.28515625" style="260" customWidth="1"/>
    <col min="4" max="4" width="13.5703125" style="260" customWidth="1"/>
    <col min="5" max="5" width="13.7109375" style="260" customWidth="1"/>
    <col min="6" max="6" width="14.7109375" style="260" customWidth="1"/>
    <col min="7" max="7" width="17.7109375" style="260" customWidth="1"/>
    <col min="8" max="16384" width="9.140625" style="260"/>
  </cols>
  <sheetData>
    <row r="1" spans="1:7" ht="13.5" customHeight="1">
      <c r="A1" s="278" t="s">
        <v>155</v>
      </c>
      <c r="B1" s="279" t="s">
        <v>154</v>
      </c>
      <c r="C1" s="280"/>
      <c r="D1" s="279" t="s">
        <v>153</v>
      </c>
      <c r="E1" s="280"/>
      <c r="F1" s="279" t="s">
        <v>152</v>
      </c>
      <c r="G1" s="280"/>
    </row>
    <row r="2" spans="1:7">
      <c r="A2" s="348"/>
      <c r="B2" s="349"/>
      <c r="C2" s="350"/>
      <c r="D2" s="351" t="s">
        <v>285</v>
      </c>
      <c r="E2" s="352">
        <v>4967</v>
      </c>
      <c r="F2" s="285"/>
      <c r="G2" s="353"/>
    </row>
    <row r="3" spans="1:7">
      <c r="A3" s="348">
        <v>8168</v>
      </c>
      <c r="B3" s="354" t="str">
        <f t="shared" ref="B3:B38" si="0">D2</f>
        <v>2.27.14</v>
      </c>
      <c r="C3" s="355">
        <v>4967</v>
      </c>
      <c r="D3" s="356" t="s">
        <v>284</v>
      </c>
      <c r="E3" s="357">
        <v>9966</v>
      </c>
      <c r="F3" s="358">
        <f t="shared" ref="F3:F38" si="1">SUM(E3-E2)</f>
        <v>4999</v>
      </c>
      <c r="G3" s="359" t="b">
        <f t="shared" ref="G3:G32" si="2">IF(F3&gt;5250,"OVER")</f>
        <v>0</v>
      </c>
    </row>
    <row r="4" spans="1:7">
      <c r="A4" s="348">
        <v>8283</v>
      </c>
      <c r="B4" s="354" t="str">
        <f t="shared" si="0"/>
        <v>4.11.14</v>
      </c>
      <c r="C4" s="355">
        <v>9966</v>
      </c>
      <c r="D4" s="356" t="s">
        <v>283</v>
      </c>
      <c r="E4" s="357">
        <v>15044</v>
      </c>
      <c r="F4" s="358">
        <f t="shared" si="1"/>
        <v>5078</v>
      </c>
      <c r="G4" s="359" t="b">
        <f t="shared" si="2"/>
        <v>0</v>
      </c>
    </row>
    <row r="5" spans="1:7">
      <c r="A5" s="348">
        <v>8378</v>
      </c>
      <c r="B5" s="354" t="str">
        <f t="shared" si="0"/>
        <v>5.23.14</v>
      </c>
      <c r="C5" s="355">
        <v>15044</v>
      </c>
      <c r="D5" s="356" t="s">
        <v>282</v>
      </c>
      <c r="E5" s="357">
        <v>20119</v>
      </c>
      <c r="F5" s="358">
        <f t="shared" si="1"/>
        <v>5075</v>
      </c>
      <c r="G5" s="359" t="b">
        <f t="shared" si="2"/>
        <v>0</v>
      </c>
    </row>
    <row r="6" spans="1:7">
      <c r="A6" s="348">
        <v>8460</v>
      </c>
      <c r="B6" s="354" t="str">
        <f t="shared" si="0"/>
        <v>7.7.14</v>
      </c>
      <c r="C6" s="355">
        <v>20119</v>
      </c>
      <c r="D6" s="356" t="s">
        <v>281</v>
      </c>
      <c r="E6" s="357">
        <v>25004</v>
      </c>
      <c r="F6" s="358">
        <f t="shared" si="1"/>
        <v>4885</v>
      </c>
      <c r="G6" s="359" t="b">
        <f t="shared" si="2"/>
        <v>0</v>
      </c>
    </row>
    <row r="7" spans="1:7">
      <c r="A7" s="348">
        <v>8571</v>
      </c>
      <c r="B7" s="354" t="str">
        <f t="shared" si="0"/>
        <v>8.20.14</v>
      </c>
      <c r="C7" s="355">
        <v>25004</v>
      </c>
      <c r="D7" s="356" t="s">
        <v>280</v>
      </c>
      <c r="E7" s="357">
        <v>30048</v>
      </c>
      <c r="F7" s="358">
        <f t="shared" si="1"/>
        <v>5044</v>
      </c>
      <c r="G7" s="359" t="b">
        <f t="shared" si="2"/>
        <v>0</v>
      </c>
    </row>
    <row r="8" spans="1:7">
      <c r="A8" s="348">
        <v>8664</v>
      </c>
      <c r="B8" s="354" t="str">
        <f t="shared" si="0"/>
        <v>10.3.14</v>
      </c>
      <c r="C8" s="355">
        <v>30048</v>
      </c>
      <c r="D8" s="356" t="s">
        <v>279</v>
      </c>
      <c r="E8" s="357">
        <v>34978</v>
      </c>
      <c r="F8" s="358">
        <f t="shared" si="1"/>
        <v>4930</v>
      </c>
      <c r="G8" s="359" t="b">
        <f t="shared" si="2"/>
        <v>0</v>
      </c>
    </row>
    <row r="9" spans="1:7">
      <c r="A9" s="397">
        <v>8740</v>
      </c>
      <c r="B9" s="398" t="str">
        <f t="shared" si="0"/>
        <v>11.11.14</v>
      </c>
      <c r="C9" s="399">
        <v>34978</v>
      </c>
      <c r="D9" s="400" t="s">
        <v>278</v>
      </c>
      <c r="E9" s="401">
        <v>39956</v>
      </c>
      <c r="F9" s="402">
        <f t="shared" si="1"/>
        <v>4978</v>
      </c>
      <c r="G9" s="359" t="b">
        <f t="shared" si="2"/>
        <v>0</v>
      </c>
    </row>
    <row r="10" spans="1:7">
      <c r="A10" s="348">
        <v>8831</v>
      </c>
      <c r="B10" s="354" t="str">
        <f t="shared" si="0"/>
        <v>12.24.14</v>
      </c>
      <c r="C10" s="355">
        <v>39956</v>
      </c>
      <c r="D10" s="356" t="s">
        <v>277</v>
      </c>
      <c r="E10" s="357">
        <v>44956</v>
      </c>
      <c r="F10" s="358">
        <f t="shared" si="1"/>
        <v>5000</v>
      </c>
      <c r="G10" s="359" t="b">
        <f t="shared" si="2"/>
        <v>0</v>
      </c>
    </row>
    <row r="11" spans="1:7">
      <c r="A11" s="348">
        <v>8929</v>
      </c>
      <c r="B11" s="354" t="str">
        <f t="shared" si="0"/>
        <v>2.7.15</v>
      </c>
      <c r="C11" s="355">
        <v>44956</v>
      </c>
      <c r="D11" s="356" t="s">
        <v>276</v>
      </c>
      <c r="E11" s="357">
        <v>50189</v>
      </c>
      <c r="F11" s="358">
        <f t="shared" si="1"/>
        <v>5233</v>
      </c>
      <c r="G11" s="359" t="b">
        <f t="shared" si="2"/>
        <v>0</v>
      </c>
    </row>
    <row r="12" spans="1:7">
      <c r="A12" s="348">
        <v>9029</v>
      </c>
      <c r="B12" s="354" t="str">
        <f t="shared" si="0"/>
        <v>3.25.15</v>
      </c>
      <c r="C12" s="355">
        <v>50189</v>
      </c>
      <c r="D12" s="356" t="s">
        <v>275</v>
      </c>
      <c r="E12" s="357">
        <v>55196</v>
      </c>
      <c r="F12" s="358">
        <f t="shared" si="1"/>
        <v>5007</v>
      </c>
      <c r="G12" s="359" t="b">
        <f t="shared" si="2"/>
        <v>0</v>
      </c>
    </row>
    <row r="13" spans="1:7">
      <c r="A13" s="348">
        <v>9106</v>
      </c>
      <c r="B13" s="354" t="str">
        <f t="shared" si="0"/>
        <v>5.6.15</v>
      </c>
      <c r="C13" s="355">
        <v>55196</v>
      </c>
      <c r="D13" s="356" t="s">
        <v>274</v>
      </c>
      <c r="E13" s="357">
        <v>60013</v>
      </c>
      <c r="F13" s="358">
        <f t="shared" si="1"/>
        <v>4817</v>
      </c>
      <c r="G13" s="359" t="b">
        <f t="shared" si="2"/>
        <v>0</v>
      </c>
    </row>
    <row r="14" spans="1:7">
      <c r="A14" s="348">
        <v>9180</v>
      </c>
      <c r="B14" s="354" t="str">
        <f t="shared" si="0"/>
        <v>6.18.15</v>
      </c>
      <c r="C14" s="355">
        <v>60013</v>
      </c>
      <c r="D14" s="356" t="s">
        <v>273</v>
      </c>
      <c r="E14" s="357">
        <v>65030</v>
      </c>
      <c r="F14" s="358">
        <f t="shared" si="1"/>
        <v>5017</v>
      </c>
      <c r="G14" s="359" t="b">
        <f t="shared" si="2"/>
        <v>0</v>
      </c>
    </row>
    <row r="15" spans="1:7">
      <c r="A15" s="348">
        <v>9276</v>
      </c>
      <c r="B15" s="354" t="str">
        <f t="shared" si="0"/>
        <v>8.3.15</v>
      </c>
      <c r="C15" s="361">
        <v>65030</v>
      </c>
      <c r="D15" s="362" t="s">
        <v>272</v>
      </c>
      <c r="E15" s="363">
        <v>70036</v>
      </c>
      <c r="F15" s="358">
        <f t="shared" si="1"/>
        <v>5006</v>
      </c>
      <c r="G15" s="359" t="b">
        <f t="shared" si="2"/>
        <v>0</v>
      </c>
    </row>
    <row r="16" spans="1:7" ht="13.5" thickBot="1">
      <c r="A16" s="364">
        <v>9404</v>
      </c>
      <c r="B16" s="354" t="str">
        <f t="shared" si="0"/>
        <v>10.8.15</v>
      </c>
      <c r="C16" s="365">
        <v>70036</v>
      </c>
      <c r="D16" s="366" t="s">
        <v>271</v>
      </c>
      <c r="E16" s="367">
        <v>75103</v>
      </c>
      <c r="F16" s="358">
        <f t="shared" si="1"/>
        <v>5067</v>
      </c>
      <c r="G16" s="368" t="b">
        <f t="shared" si="2"/>
        <v>0</v>
      </c>
    </row>
    <row r="17" spans="1:7" ht="13.5" thickBot="1">
      <c r="A17" s="369">
        <v>9500</v>
      </c>
      <c r="B17" s="354" t="str">
        <f t="shared" si="0"/>
        <v>11.25.15</v>
      </c>
      <c r="C17" s="370">
        <v>75103</v>
      </c>
      <c r="D17" s="371" t="s">
        <v>270</v>
      </c>
      <c r="E17" s="372">
        <v>80030</v>
      </c>
      <c r="F17" s="358">
        <f t="shared" si="1"/>
        <v>4927</v>
      </c>
      <c r="G17" s="373" t="b">
        <f t="shared" si="2"/>
        <v>0</v>
      </c>
    </row>
    <row r="18" spans="1:7">
      <c r="A18" s="374">
        <v>9602</v>
      </c>
      <c r="B18" s="354" t="str">
        <f t="shared" si="0"/>
        <v>1.22.16</v>
      </c>
      <c r="C18" s="375">
        <v>80030</v>
      </c>
      <c r="D18" s="403" t="s">
        <v>269</v>
      </c>
      <c r="E18" s="377">
        <v>85021</v>
      </c>
      <c r="F18" s="358">
        <f t="shared" si="1"/>
        <v>4991</v>
      </c>
      <c r="G18" s="378" t="b">
        <f t="shared" si="2"/>
        <v>0</v>
      </c>
    </row>
    <row r="19" spans="1:7">
      <c r="A19" s="348">
        <v>9696</v>
      </c>
      <c r="B19" s="354" t="str">
        <f t="shared" si="0"/>
        <v>3.11.16</v>
      </c>
      <c r="C19" s="355">
        <v>85021</v>
      </c>
      <c r="D19" s="356" t="s">
        <v>268</v>
      </c>
      <c r="E19" s="357">
        <v>89988</v>
      </c>
      <c r="F19" s="358">
        <f t="shared" si="1"/>
        <v>4967</v>
      </c>
      <c r="G19" s="359" t="b">
        <f t="shared" si="2"/>
        <v>0</v>
      </c>
    </row>
    <row r="20" spans="1:7">
      <c r="A20" s="348">
        <v>9786</v>
      </c>
      <c r="B20" s="354" t="str">
        <f t="shared" si="0"/>
        <v>4.29.16</v>
      </c>
      <c r="C20" s="355">
        <v>89988</v>
      </c>
      <c r="D20" s="356" t="s">
        <v>267</v>
      </c>
      <c r="E20" s="357">
        <v>95281</v>
      </c>
      <c r="F20" s="358">
        <f t="shared" si="1"/>
        <v>5293</v>
      </c>
      <c r="G20" s="360" t="str">
        <f t="shared" si="2"/>
        <v>OVER</v>
      </c>
    </row>
    <row r="21" spans="1:7">
      <c r="A21" s="348">
        <v>9979</v>
      </c>
      <c r="B21" s="354" t="str">
        <f t="shared" si="0"/>
        <v>8.19.16</v>
      </c>
      <c r="C21" s="355">
        <v>95281</v>
      </c>
      <c r="D21" s="356" t="s">
        <v>266</v>
      </c>
      <c r="E21" s="357">
        <v>100249</v>
      </c>
      <c r="F21" s="358">
        <f t="shared" si="1"/>
        <v>4968</v>
      </c>
      <c r="G21" s="359" t="b">
        <f t="shared" si="2"/>
        <v>0</v>
      </c>
    </row>
    <row r="22" spans="1:7">
      <c r="A22" s="348">
        <v>10431</v>
      </c>
      <c r="B22" s="354" t="str">
        <f t="shared" si="0"/>
        <v>4.20.17</v>
      </c>
      <c r="C22" s="355">
        <v>100249</v>
      </c>
      <c r="D22" s="356" t="s">
        <v>265</v>
      </c>
      <c r="E22" s="357">
        <v>105393</v>
      </c>
      <c r="F22" s="358">
        <f t="shared" si="1"/>
        <v>5144</v>
      </c>
      <c r="G22" s="359" t="b">
        <f t="shared" si="2"/>
        <v>0</v>
      </c>
    </row>
    <row r="23" spans="1:7">
      <c r="A23" s="348">
        <v>10678</v>
      </c>
      <c r="B23" s="354" t="str">
        <f t="shared" si="0"/>
        <v>8.2.17</v>
      </c>
      <c r="C23" s="355">
        <v>105393</v>
      </c>
      <c r="D23" s="356" t="s">
        <v>264</v>
      </c>
      <c r="E23" s="357">
        <v>110213</v>
      </c>
      <c r="F23" s="358">
        <f t="shared" si="1"/>
        <v>4820</v>
      </c>
      <c r="G23" s="359" t="b">
        <f t="shared" si="2"/>
        <v>0</v>
      </c>
    </row>
    <row r="24" spans="1:7">
      <c r="A24" s="348">
        <v>10848</v>
      </c>
      <c r="B24" s="354" t="str">
        <f t="shared" si="0"/>
        <v>10.7.17</v>
      </c>
      <c r="C24" s="355">
        <v>110213</v>
      </c>
      <c r="D24" s="356"/>
      <c r="E24" s="357"/>
      <c r="F24" s="358">
        <f t="shared" si="1"/>
        <v>-110213</v>
      </c>
      <c r="G24" s="359" t="b">
        <f t="shared" si="2"/>
        <v>0</v>
      </c>
    </row>
    <row r="25" spans="1:7">
      <c r="A25" s="348"/>
      <c r="B25" s="354">
        <f t="shared" si="0"/>
        <v>0</v>
      </c>
      <c r="C25" s="355"/>
      <c r="D25" s="356"/>
      <c r="E25" s="357"/>
      <c r="F25" s="358">
        <f t="shared" si="1"/>
        <v>0</v>
      </c>
      <c r="G25" s="359" t="b">
        <f t="shared" si="2"/>
        <v>0</v>
      </c>
    </row>
    <row r="26" spans="1:7">
      <c r="A26" s="348"/>
      <c r="B26" s="354">
        <f t="shared" si="0"/>
        <v>0</v>
      </c>
      <c r="C26" s="355"/>
      <c r="D26" s="356"/>
      <c r="E26" s="357"/>
      <c r="F26" s="358">
        <f t="shared" si="1"/>
        <v>0</v>
      </c>
      <c r="G26" s="359" t="b">
        <f t="shared" si="2"/>
        <v>0</v>
      </c>
    </row>
    <row r="27" spans="1:7">
      <c r="A27" s="348"/>
      <c r="B27" s="354">
        <f t="shared" si="0"/>
        <v>0</v>
      </c>
      <c r="C27" s="355"/>
      <c r="D27" s="356"/>
      <c r="E27" s="357"/>
      <c r="F27" s="358">
        <f t="shared" si="1"/>
        <v>0</v>
      </c>
      <c r="G27" s="359" t="b">
        <f t="shared" si="2"/>
        <v>0</v>
      </c>
    </row>
    <row r="28" spans="1:7">
      <c r="A28" s="348"/>
      <c r="B28" s="354">
        <f t="shared" si="0"/>
        <v>0</v>
      </c>
      <c r="C28" s="355"/>
      <c r="D28" s="356"/>
      <c r="E28" s="357"/>
      <c r="F28" s="358">
        <f t="shared" si="1"/>
        <v>0</v>
      </c>
      <c r="G28" s="359" t="b">
        <f t="shared" si="2"/>
        <v>0</v>
      </c>
    </row>
    <row r="29" spans="1:7">
      <c r="A29" s="348"/>
      <c r="B29" s="354">
        <f t="shared" si="0"/>
        <v>0</v>
      </c>
      <c r="C29" s="355"/>
      <c r="D29" s="356"/>
      <c r="E29" s="357"/>
      <c r="F29" s="358">
        <f t="shared" si="1"/>
        <v>0</v>
      </c>
      <c r="G29" s="359" t="b">
        <f t="shared" si="2"/>
        <v>0</v>
      </c>
    </row>
    <row r="30" spans="1:7">
      <c r="A30" s="348"/>
      <c r="B30" s="354">
        <f t="shared" si="0"/>
        <v>0</v>
      </c>
      <c r="C30" s="355"/>
      <c r="D30" s="356"/>
      <c r="E30" s="357"/>
      <c r="F30" s="358">
        <f t="shared" si="1"/>
        <v>0</v>
      </c>
      <c r="G30" s="359" t="b">
        <f t="shared" si="2"/>
        <v>0</v>
      </c>
    </row>
    <row r="31" spans="1:7">
      <c r="A31" s="348"/>
      <c r="B31" s="354">
        <f t="shared" si="0"/>
        <v>0</v>
      </c>
      <c r="C31" s="355"/>
      <c r="D31" s="356"/>
      <c r="E31" s="357"/>
      <c r="F31" s="358">
        <f t="shared" si="1"/>
        <v>0</v>
      </c>
      <c r="G31" s="359" t="b">
        <f t="shared" si="2"/>
        <v>0</v>
      </c>
    </row>
    <row r="32" spans="1:7">
      <c r="A32" s="348"/>
      <c r="B32" s="354">
        <f t="shared" si="0"/>
        <v>0</v>
      </c>
      <c r="C32" s="355"/>
      <c r="D32" s="356"/>
      <c r="E32" s="357"/>
      <c r="F32" s="358">
        <f t="shared" si="1"/>
        <v>0</v>
      </c>
      <c r="G32" s="359" t="b">
        <f t="shared" si="2"/>
        <v>0</v>
      </c>
    </row>
    <row r="33" spans="1:7">
      <c r="A33" s="348"/>
      <c r="B33" s="354">
        <f t="shared" si="0"/>
        <v>0</v>
      </c>
      <c r="C33" s="355"/>
      <c r="D33" s="356"/>
      <c r="E33" s="357"/>
      <c r="F33" s="358">
        <f t="shared" si="1"/>
        <v>0</v>
      </c>
      <c r="G33" s="359"/>
    </row>
    <row r="34" spans="1:7">
      <c r="A34" s="348"/>
      <c r="B34" s="354">
        <f t="shared" si="0"/>
        <v>0</v>
      </c>
      <c r="C34" s="355"/>
      <c r="D34" s="356"/>
      <c r="E34" s="357"/>
      <c r="F34" s="358">
        <f t="shared" si="1"/>
        <v>0</v>
      </c>
      <c r="G34" s="359"/>
    </row>
    <row r="35" spans="1:7">
      <c r="A35" s="348"/>
      <c r="B35" s="354">
        <f t="shared" si="0"/>
        <v>0</v>
      </c>
      <c r="C35" s="355"/>
      <c r="D35" s="356"/>
      <c r="E35" s="357"/>
      <c r="F35" s="358">
        <f t="shared" si="1"/>
        <v>0</v>
      </c>
      <c r="G35" s="359"/>
    </row>
    <row r="36" spans="1:7">
      <c r="A36" s="348"/>
      <c r="B36" s="354">
        <f t="shared" si="0"/>
        <v>0</v>
      </c>
      <c r="C36" s="355"/>
      <c r="D36" s="356"/>
      <c r="E36" s="357"/>
      <c r="F36" s="358">
        <f t="shared" si="1"/>
        <v>0</v>
      </c>
      <c r="G36" s="359"/>
    </row>
    <row r="37" spans="1:7">
      <c r="A37" s="348"/>
      <c r="B37" s="354">
        <f t="shared" si="0"/>
        <v>0</v>
      </c>
      <c r="C37" s="355"/>
      <c r="D37" s="356"/>
      <c r="E37" s="357"/>
      <c r="F37" s="358">
        <f t="shared" si="1"/>
        <v>0</v>
      </c>
      <c r="G37" s="359"/>
    </row>
    <row r="38" spans="1:7">
      <c r="A38" s="348"/>
      <c r="B38" s="354">
        <f t="shared" si="0"/>
        <v>0</v>
      </c>
      <c r="C38" s="355"/>
      <c r="D38" s="356"/>
      <c r="E38" s="357"/>
      <c r="F38" s="358">
        <f t="shared" si="1"/>
        <v>0</v>
      </c>
      <c r="G38" s="359"/>
    </row>
  </sheetData>
  <mergeCells count="3">
    <mergeCell ref="B1:C1"/>
    <mergeCell ref="D1:E1"/>
    <mergeCell ref="F1:G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Q15"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'[10]Projected Maint Practices'!Q7</f>
        <v>3864.33</v>
      </c>
      <c r="D6" s="264">
        <f>'[10]True Maint Practices'!Q7</f>
        <v>2273.5</v>
      </c>
    </row>
    <row r="7" spans="1:6" ht="15">
      <c r="B7" s="263">
        <v>2</v>
      </c>
      <c r="C7" s="264">
        <f>'[10]Projected Maint Practices'!Q8</f>
        <v>3864.33</v>
      </c>
      <c r="D7" s="264">
        <f>'[10]True Maint Practices'!Q8</f>
        <v>7329.5</v>
      </c>
    </row>
    <row r="8" spans="1:6" ht="15">
      <c r="B8" s="263">
        <v>3</v>
      </c>
      <c r="C8" s="264">
        <f>'[10]Projected Maint Practices'!Q9</f>
        <v>3864.33</v>
      </c>
      <c r="D8" s="264">
        <f>'[10]True Maint Practices'!Q9</f>
        <v>7426</v>
      </c>
    </row>
    <row r="9" spans="1:6" ht="15">
      <c r="B9" s="263">
        <v>4</v>
      </c>
      <c r="C9" s="264">
        <f>'[10]Projected Maint Practices'!Q10</f>
        <v>3864.33</v>
      </c>
      <c r="D9" s="264">
        <f>'[10]True Maint Practices'!Q10</f>
        <v>699</v>
      </c>
    </row>
    <row r="10" spans="1:6" ht="15">
      <c r="B10" s="263">
        <v>5</v>
      </c>
      <c r="C10" s="264">
        <f>'[10]Projected Maint Practices'!Q11</f>
        <v>0</v>
      </c>
      <c r="D10" s="264">
        <f>'[10]True Maint Practices'!Q11</f>
        <v>0</v>
      </c>
    </row>
    <row r="11" spans="1:6" ht="15">
      <c r="B11" s="263">
        <v>6</v>
      </c>
      <c r="C11" s="264">
        <f>'[10]Projected Maint Practices'!Q12</f>
        <v>0</v>
      </c>
      <c r="D11" s="264">
        <f>'[10]True Maint Practices'!Q12</f>
        <v>0</v>
      </c>
    </row>
    <row r="12" spans="1:6" ht="15">
      <c r="B12" s="263">
        <v>7</v>
      </c>
      <c r="C12" s="264">
        <f>'[10]Projected Maint Practices'!Q13</f>
        <v>0</v>
      </c>
      <c r="D12" s="264">
        <f>'[10]True Maint Practices'!Q13</f>
        <v>0</v>
      </c>
    </row>
    <row r="13" spans="1:6" ht="15">
      <c r="B13" s="263">
        <v>8</v>
      </c>
      <c r="C13" s="264">
        <f>'[10]Projected Maint Practices'!Q14</f>
        <v>0</v>
      </c>
      <c r="D13" s="264">
        <f>'[10]True Maint Practices'!Q14</f>
        <v>0</v>
      </c>
    </row>
    <row r="14" spans="1:6" ht="15">
      <c r="B14" s="263">
        <v>9</v>
      </c>
      <c r="C14" s="264">
        <f>'[10]Projected Maint Practices'!Q15</f>
        <v>0</v>
      </c>
      <c r="D14" s="264">
        <f>'[10]True Maint Practices'!Q15</f>
        <v>0</v>
      </c>
    </row>
    <row r="15" spans="1:6" ht="15">
      <c r="B15" s="263">
        <v>10</v>
      </c>
      <c r="C15" s="264">
        <f>'[10]Projected Maint Practices'!Q16</f>
        <v>0</v>
      </c>
      <c r="D15" s="264">
        <f>'[10]True Maint Practices'!Q16</f>
        <v>0</v>
      </c>
    </row>
    <row r="16" spans="1:6" ht="15">
      <c r="B16" s="263">
        <v>11</v>
      </c>
      <c r="C16" s="264">
        <f>'[10]Projected Maint Practices'!Q17</f>
        <v>0</v>
      </c>
      <c r="D16" s="264">
        <f>'[10]True Maint Practices'!Q17</f>
        <v>0</v>
      </c>
    </row>
    <row r="17" spans="2:4" ht="15">
      <c r="B17" s="263">
        <v>12</v>
      </c>
      <c r="C17" s="264">
        <f>'[10]Projected Maint Practices'!Q18</f>
        <v>0</v>
      </c>
      <c r="D17" s="264">
        <f>'[10]True Maint Practices'!Q18</f>
        <v>0</v>
      </c>
    </row>
    <row r="18" spans="2:4" ht="15">
      <c r="B18" s="260" t="s">
        <v>1</v>
      </c>
      <c r="C18" s="264">
        <f>SUM(C6:C17)</f>
        <v>15457.32</v>
      </c>
      <c r="D18" s="264">
        <f>SUM(D6:D17)</f>
        <v>17728</v>
      </c>
    </row>
  </sheetData>
  <printOptions horizontalCentered="1" verticalCentered="1"/>
  <pageMargins left="0.5" right="0.5" top="0.75" bottom="0.75" header="0.5" footer="0.5"/>
  <pageSetup orientation="landscape" horizontalDpi="1200" verticalDpi="12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2"/>
  <sheetViews>
    <sheetView showGridLines="0" zoomScaleNormal="100" workbookViewId="0">
      <selection activeCell="Q8" sqref="A1:XFD1048576"/>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s="1" customFormat="1" ht="16.5" customHeight="1">
      <c r="B1" s="43"/>
      <c r="C1" s="43"/>
      <c r="D1" s="43"/>
      <c r="E1" s="43"/>
      <c r="F1" s="43"/>
      <c r="G1" s="43"/>
      <c r="H1" s="43"/>
      <c r="I1" s="43"/>
      <c r="J1" s="43"/>
      <c r="K1" s="43"/>
      <c r="L1" s="43"/>
      <c r="M1" s="43"/>
      <c r="N1" s="43"/>
      <c r="O1" s="43"/>
      <c r="P1" s="43"/>
    </row>
    <row r="2" spans="2:22" s="1" customFormat="1" ht="31.5" customHeight="1">
      <c r="B2" s="404" t="s">
        <v>286</v>
      </c>
      <c r="C2" s="43"/>
      <c r="D2" s="43"/>
      <c r="E2" s="43"/>
      <c r="F2" s="43"/>
      <c r="G2" s="43"/>
      <c r="H2" s="43"/>
      <c r="I2" s="43"/>
      <c r="J2" s="43"/>
      <c r="K2" s="43"/>
      <c r="L2" s="43"/>
      <c r="M2" s="43"/>
      <c r="N2" s="43" t="s">
        <v>233</v>
      </c>
      <c r="O2" s="43"/>
      <c r="P2" s="43"/>
    </row>
    <row r="3" spans="2:22" s="1" customFormat="1" ht="16.5" customHeight="1">
      <c r="B3" s="43"/>
      <c r="C3" s="43"/>
      <c r="D3" s="43"/>
      <c r="E3" s="43"/>
      <c r="F3" s="43"/>
      <c r="G3" s="43"/>
      <c r="H3" s="43"/>
      <c r="I3" s="43"/>
      <c r="J3" s="43"/>
      <c r="K3" s="43"/>
      <c r="L3" s="43"/>
      <c r="M3" s="43"/>
      <c r="N3" s="43"/>
      <c r="O3" s="43"/>
      <c r="P3" s="43"/>
    </row>
    <row r="12" spans="2:22" s="1" customFormat="1" ht="16.5" customHeight="1">
      <c r="V12" s="1" t="s">
        <v>32</v>
      </c>
    </row>
    <row r="18" spans="2:16" s="1" customFormat="1"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s="1" customFormat="1" ht="16.5" customHeight="1">
      <c r="B19" s="101" t="s">
        <v>17</v>
      </c>
      <c r="C19" s="8"/>
      <c r="D19" s="8"/>
      <c r="E19" s="8"/>
      <c r="F19" s="8"/>
      <c r="G19" s="8"/>
      <c r="H19" s="8"/>
      <c r="I19" s="8"/>
      <c r="J19" s="8"/>
      <c r="K19" s="8"/>
      <c r="L19" s="8"/>
      <c r="M19" s="30"/>
      <c r="N19" s="8"/>
      <c r="O19" s="4">
        <f t="shared" ref="O19:O38" si="0">SUM(C19:N19)</f>
        <v>0</v>
      </c>
      <c r="P19" s="102"/>
    </row>
    <row r="20" spans="2:16" s="1" customFormat="1" ht="16.5" customHeight="1">
      <c r="B20" s="101" t="s">
        <v>16</v>
      </c>
      <c r="C20" s="8"/>
      <c r="D20" s="8"/>
      <c r="E20" s="8"/>
      <c r="F20" s="8"/>
      <c r="G20" s="8"/>
      <c r="H20" s="8"/>
      <c r="I20" s="8"/>
      <c r="J20" s="8"/>
      <c r="K20" s="8">
        <v>418.88</v>
      </c>
      <c r="L20" s="8"/>
      <c r="M20" s="30"/>
      <c r="N20" s="8"/>
      <c r="O20" s="4">
        <f t="shared" si="0"/>
        <v>418.88</v>
      </c>
      <c r="P20" s="102"/>
    </row>
    <row r="21" spans="2:16" s="1" customFormat="1" ht="16.5" customHeight="1">
      <c r="B21" s="101" t="s">
        <v>15</v>
      </c>
      <c r="C21" s="8"/>
      <c r="D21" s="8"/>
      <c r="E21" s="8"/>
      <c r="F21" s="8"/>
      <c r="G21" s="8"/>
      <c r="H21" s="8"/>
      <c r="I21" s="8"/>
      <c r="J21" s="8"/>
      <c r="K21" s="8">
        <v>11.3</v>
      </c>
      <c r="L21" s="8"/>
      <c r="M21" s="30"/>
      <c r="N21" s="8"/>
      <c r="O21" s="4">
        <f t="shared" si="0"/>
        <v>11.3</v>
      </c>
      <c r="P21" s="102"/>
    </row>
    <row r="22" spans="2:16" s="1" customFormat="1" ht="16.5" customHeight="1">
      <c r="B22" s="101" t="s">
        <v>14</v>
      </c>
      <c r="C22" s="8"/>
      <c r="D22" s="8"/>
      <c r="E22" s="8"/>
      <c r="F22" s="8"/>
      <c r="G22" s="8"/>
      <c r="H22" s="8"/>
      <c r="I22" s="8"/>
      <c r="J22" s="8"/>
      <c r="K22" s="8"/>
      <c r="L22" s="8"/>
      <c r="M22" s="30"/>
      <c r="N22" s="8"/>
      <c r="O22" s="4">
        <f t="shared" si="0"/>
        <v>0</v>
      </c>
      <c r="P22" s="102"/>
    </row>
    <row r="23" spans="2:16" s="1" customFormat="1" ht="16.5" customHeight="1">
      <c r="B23" s="101" t="s">
        <v>13</v>
      </c>
      <c r="C23" s="8"/>
      <c r="D23" s="8"/>
      <c r="E23" s="8"/>
      <c r="F23" s="8"/>
      <c r="G23" s="8"/>
      <c r="H23" s="8"/>
      <c r="I23" s="8"/>
      <c r="J23" s="8"/>
      <c r="K23" s="8"/>
      <c r="L23" s="8"/>
      <c r="M23" s="30"/>
      <c r="N23" s="8"/>
      <c r="O23" s="4">
        <f t="shared" si="0"/>
        <v>0</v>
      </c>
      <c r="P23" s="102"/>
    </row>
    <row r="24" spans="2:16" s="1" customFormat="1" ht="16.5" customHeight="1">
      <c r="B24" s="103" t="s">
        <v>12</v>
      </c>
      <c r="C24" s="17"/>
      <c r="D24" s="17"/>
      <c r="E24" s="17"/>
      <c r="F24" s="17"/>
      <c r="G24" s="17"/>
      <c r="H24" s="17"/>
      <c r="I24" s="17"/>
      <c r="J24" s="17"/>
      <c r="K24" s="17"/>
      <c r="L24" s="17"/>
      <c r="M24" s="35"/>
      <c r="N24" s="17"/>
      <c r="O24" s="4">
        <f t="shared" si="0"/>
        <v>0</v>
      </c>
      <c r="P24" s="102"/>
    </row>
    <row r="25" spans="2:16" s="1" customFormat="1" ht="16.5" customHeight="1">
      <c r="B25" s="103" t="s">
        <v>11</v>
      </c>
      <c r="C25" s="17"/>
      <c r="D25" s="17"/>
      <c r="E25" s="17"/>
      <c r="F25" s="17"/>
      <c r="G25" s="17"/>
      <c r="H25" s="17"/>
      <c r="I25" s="17"/>
      <c r="J25" s="17"/>
      <c r="K25" s="17"/>
      <c r="L25" s="17"/>
      <c r="M25" s="35"/>
      <c r="N25" s="17"/>
      <c r="O25" s="4">
        <f t="shared" si="0"/>
        <v>0</v>
      </c>
      <c r="P25" s="102"/>
    </row>
    <row r="26" spans="2:16" s="1" customFormat="1" ht="16.5" customHeight="1">
      <c r="B26" s="103" t="s">
        <v>10</v>
      </c>
      <c r="C26" s="17"/>
      <c r="D26" s="17"/>
      <c r="E26" s="17"/>
      <c r="F26" s="17"/>
      <c r="G26" s="17"/>
      <c r="H26" s="17"/>
      <c r="I26" s="17"/>
      <c r="J26" s="17"/>
      <c r="K26" s="17"/>
      <c r="L26" s="17"/>
      <c r="M26" s="35"/>
      <c r="N26" s="17"/>
      <c r="O26" s="4">
        <f t="shared" si="0"/>
        <v>0</v>
      </c>
      <c r="P26" s="102"/>
    </row>
    <row r="27" spans="2:16" s="1" customFormat="1" ht="16.5" customHeight="1">
      <c r="B27" s="103" t="s">
        <v>9</v>
      </c>
      <c r="C27" s="17"/>
      <c r="D27" s="17"/>
      <c r="E27" s="17"/>
      <c r="F27" s="17"/>
      <c r="G27" s="17"/>
      <c r="H27" s="17"/>
      <c r="I27" s="17"/>
      <c r="J27" s="17"/>
      <c r="K27" s="17">
        <v>101.7</v>
      </c>
      <c r="L27" s="17"/>
      <c r="M27" s="35"/>
      <c r="N27" s="17"/>
      <c r="O27" s="4">
        <f t="shared" si="0"/>
        <v>101.7</v>
      </c>
      <c r="P27" s="102"/>
    </row>
    <row r="28" spans="2:16" s="1" customFormat="1" ht="16.5" hidden="1" customHeight="1">
      <c r="B28" s="103"/>
      <c r="C28" s="15"/>
      <c r="D28" s="15"/>
      <c r="E28" s="15"/>
      <c r="F28" s="15"/>
      <c r="G28" s="15"/>
      <c r="H28" s="15"/>
      <c r="I28" s="15"/>
      <c r="J28" s="15"/>
      <c r="K28" s="15"/>
      <c r="L28" s="15"/>
      <c r="M28" s="16"/>
      <c r="N28" s="15"/>
      <c r="O28" s="4">
        <f t="shared" si="0"/>
        <v>0</v>
      </c>
      <c r="P28" s="102"/>
    </row>
    <row r="29" spans="2:16" s="1" customFormat="1" ht="16.5" hidden="1" customHeight="1">
      <c r="B29" s="103"/>
      <c r="C29" s="15"/>
      <c r="D29" s="15"/>
      <c r="E29" s="15"/>
      <c r="F29" s="15"/>
      <c r="G29" s="15"/>
      <c r="H29" s="15"/>
      <c r="I29" s="15"/>
      <c r="J29" s="15"/>
      <c r="K29" s="15"/>
      <c r="L29" s="15"/>
      <c r="M29" s="16"/>
      <c r="N29" s="15"/>
      <c r="O29" s="4">
        <f t="shared" si="0"/>
        <v>0</v>
      </c>
      <c r="P29" s="102"/>
    </row>
    <row r="30" spans="2:16" s="1" customFormat="1" ht="16.5" hidden="1" customHeight="1">
      <c r="B30" s="103"/>
      <c r="C30" s="15"/>
      <c r="D30" s="15"/>
      <c r="E30" s="15"/>
      <c r="F30" s="15"/>
      <c r="G30" s="15"/>
      <c r="H30" s="15"/>
      <c r="I30" s="15"/>
      <c r="J30" s="15"/>
      <c r="K30" s="15"/>
      <c r="L30" s="15"/>
      <c r="M30" s="16"/>
      <c r="N30" s="15"/>
      <c r="O30" s="4">
        <f t="shared" si="0"/>
        <v>0</v>
      </c>
      <c r="P30" s="102"/>
    </row>
    <row r="31" spans="2:16" s="1" customFormat="1" ht="16.5" hidden="1" customHeight="1">
      <c r="B31" s="103"/>
      <c r="C31" s="15"/>
      <c r="D31" s="15"/>
      <c r="E31" s="15"/>
      <c r="F31" s="15"/>
      <c r="G31" s="15"/>
      <c r="H31" s="15"/>
      <c r="I31" s="15"/>
      <c r="J31" s="15"/>
      <c r="K31" s="15"/>
      <c r="L31" s="15"/>
      <c r="M31" s="16"/>
      <c r="N31" s="15"/>
      <c r="O31" s="4">
        <f t="shared" si="0"/>
        <v>0</v>
      </c>
      <c r="P31" s="102"/>
    </row>
    <row r="32" spans="2:16" s="1" customFormat="1" ht="16.5" customHeight="1">
      <c r="B32" s="103" t="s">
        <v>8</v>
      </c>
      <c r="C32" s="4"/>
      <c r="D32" s="4"/>
      <c r="E32" s="4"/>
      <c r="F32" s="4"/>
      <c r="G32" s="4"/>
      <c r="H32" s="4"/>
      <c r="I32" s="4"/>
      <c r="J32" s="4"/>
      <c r="K32" s="4"/>
      <c r="L32" s="4"/>
      <c r="M32" s="33"/>
      <c r="N32" s="4"/>
      <c r="O32" s="4">
        <f t="shared" si="0"/>
        <v>0</v>
      </c>
      <c r="P32" s="102"/>
    </row>
    <row r="33" spans="2:18" s="1" customFormat="1" ht="16.5" customHeight="1">
      <c r="B33" s="103" t="s">
        <v>231</v>
      </c>
      <c r="C33" s="12"/>
      <c r="D33" s="12"/>
      <c r="E33" s="12"/>
      <c r="F33" s="12"/>
      <c r="G33" s="12"/>
      <c r="H33" s="12"/>
      <c r="I33" s="12"/>
      <c r="J33" s="12"/>
      <c r="K33" s="12"/>
      <c r="L33" s="12"/>
      <c r="M33" s="32"/>
      <c r="N33" s="12"/>
      <c r="O33" s="4">
        <f t="shared" si="0"/>
        <v>0</v>
      </c>
      <c r="P33" s="102"/>
    </row>
    <row r="34" spans="2:18" s="1" customFormat="1" ht="16.5" customHeight="1">
      <c r="B34" s="103" t="s">
        <v>6</v>
      </c>
      <c r="C34" s="41"/>
      <c r="D34" s="41"/>
      <c r="E34" s="41"/>
      <c r="F34" s="41"/>
      <c r="G34" s="41"/>
      <c r="H34" s="41"/>
      <c r="I34" s="41"/>
      <c r="J34" s="41"/>
      <c r="K34" s="41"/>
      <c r="L34" s="41"/>
      <c r="M34" s="42"/>
      <c r="N34" s="41"/>
      <c r="O34" s="4">
        <f t="shared" si="0"/>
        <v>0</v>
      </c>
      <c r="P34" s="102"/>
    </row>
    <row r="35" spans="2:18" s="1" customFormat="1" ht="16.5" customHeight="1">
      <c r="B35" s="103" t="s">
        <v>5</v>
      </c>
      <c r="C35" s="8"/>
      <c r="D35" s="8"/>
      <c r="E35" s="8"/>
      <c r="F35" s="8"/>
      <c r="G35" s="8"/>
      <c r="H35" s="8"/>
      <c r="I35" s="8"/>
      <c r="J35" s="8"/>
      <c r="K35" s="8">
        <v>7.83</v>
      </c>
      <c r="L35" s="8"/>
      <c r="M35" s="30"/>
      <c r="N35" s="8"/>
      <c r="O35" s="4">
        <f t="shared" si="0"/>
        <v>7.83</v>
      </c>
      <c r="P35" s="102"/>
    </row>
    <row r="36" spans="2:18" s="1" customFormat="1" ht="16.5" customHeight="1">
      <c r="B36" s="103" t="s">
        <v>171</v>
      </c>
      <c r="C36" s="8"/>
      <c r="D36" s="8"/>
      <c r="E36" s="8"/>
      <c r="F36" s="8"/>
      <c r="G36" s="8"/>
      <c r="H36" s="8"/>
      <c r="I36" s="8"/>
      <c r="J36" s="8"/>
      <c r="K36" s="8">
        <v>20.95</v>
      </c>
      <c r="L36" s="8"/>
      <c r="M36" s="30"/>
      <c r="N36" s="8"/>
      <c r="O36" s="4">
        <f t="shared" si="0"/>
        <v>20.95</v>
      </c>
      <c r="P36" s="102"/>
    </row>
    <row r="37" spans="2:18" s="1" customFormat="1" ht="16.5" customHeight="1">
      <c r="B37" s="103" t="s">
        <v>3</v>
      </c>
      <c r="C37" s="8"/>
      <c r="D37" s="8"/>
      <c r="E37" s="8"/>
      <c r="F37" s="8"/>
      <c r="G37" s="8"/>
      <c r="H37" s="8"/>
      <c r="I37" s="8"/>
      <c r="J37" s="8"/>
      <c r="K37" s="8">
        <v>186.61</v>
      </c>
      <c r="L37" s="8"/>
      <c r="M37" s="30"/>
      <c r="N37" s="8"/>
      <c r="O37" s="4">
        <f t="shared" si="0"/>
        <v>186.61</v>
      </c>
      <c r="P37" s="102"/>
    </row>
    <row r="38" spans="2:18" s="1" customFormat="1" ht="16.5" customHeight="1">
      <c r="B38" s="103" t="s">
        <v>2</v>
      </c>
      <c r="C38" s="5"/>
      <c r="D38" s="5"/>
      <c r="E38" s="5"/>
      <c r="F38" s="5"/>
      <c r="G38" s="5"/>
      <c r="H38" s="5"/>
      <c r="I38" s="5"/>
      <c r="J38" s="5"/>
      <c r="K38" s="5">
        <v>180</v>
      </c>
      <c r="L38" s="5"/>
      <c r="M38" s="29"/>
      <c r="N38" s="5"/>
      <c r="O38" s="4">
        <f t="shared" si="0"/>
        <v>180</v>
      </c>
      <c r="P38" s="102"/>
    </row>
    <row r="39" spans="2:18" s="1" customFormat="1" ht="16.5" customHeight="1">
      <c r="B39" s="101" t="s">
        <v>1</v>
      </c>
      <c r="C39" s="104">
        <f>SUBTOTAL(109,ExpenseSummary41[Jan])</f>
        <v>0</v>
      </c>
      <c r="D39" s="105">
        <f>SUBTOTAL(109,ExpenseSummary41[Feb])</f>
        <v>0</v>
      </c>
      <c r="E39" s="104">
        <f>SUBTOTAL(109,ExpenseSummary41[Mar])</f>
        <v>0</v>
      </c>
      <c r="F39" s="105">
        <f>SUBTOTAL(109,ExpenseSummary41[Apr])</f>
        <v>0</v>
      </c>
      <c r="G39" s="104">
        <f>SUBTOTAL(109,ExpenseSummary41[May])</f>
        <v>0</v>
      </c>
      <c r="H39" s="105">
        <f>SUBTOTAL(109,ExpenseSummary41[Jun])</f>
        <v>0</v>
      </c>
      <c r="I39" s="104">
        <f>SUBTOTAL(109,ExpenseSummary41[Jul])</f>
        <v>0</v>
      </c>
      <c r="J39" s="105">
        <f>SUBTOTAL(109,ExpenseSummary41[Aug])</f>
        <v>0</v>
      </c>
      <c r="K39" s="104">
        <f>SUBTOTAL(109,ExpenseSummary41[Sep])</f>
        <v>927.2700000000001</v>
      </c>
      <c r="L39" s="105">
        <f>SUBTOTAL(109,ExpenseSummary41[Oct])</f>
        <v>0</v>
      </c>
      <c r="M39" s="267">
        <f>SUBTOTAL(109,ExpenseSummary41[Nov])</f>
        <v>0</v>
      </c>
      <c r="N39" s="105">
        <f>SUBTOTAL(109,ExpenseSummary41[Dec])</f>
        <v>0</v>
      </c>
      <c r="O39" s="106">
        <f>SUBTOTAL(109,ExpenseSummary41[Total])</f>
        <v>927.2700000000001</v>
      </c>
      <c r="P39" s="102"/>
    </row>
    <row r="40" spans="2:18" s="1" customFormat="1" ht="16.5" customHeight="1">
      <c r="B40" s="28"/>
      <c r="C40" s="28"/>
    </row>
    <row r="42" spans="2:18" s="1" customFormat="1" ht="16.5" customHeight="1">
      <c r="B42" s="268"/>
      <c r="C42" s="268"/>
      <c r="D42" s="269"/>
      <c r="E42" s="270" t="s">
        <v>118</v>
      </c>
      <c r="F42" s="270"/>
      <c r="G42" s="270"/>
      <c r="H42" s="270"/>
      <c r="I42" s="270"/>
      <c r="J42" s="270"/>
      <c r="K42" s="270"/>
      <c r="L42" s="270"/>
      <c r="M42" s="270"/>
      <c r="N42" s="270"/>
      <c r="O42" s="270"/>
      <c r="P42" s="270"/>
      <c r="Q42" s="270"/>
      <c r="R42" s="270"/>
    </row>
    <row r="43" spans="2:18" s="1" customFormat="1" ht="16.5" customHeight="1">
      <c r="B43" s="271" t="s">
        <v>287</v>
      </c>
      <c r="C43" s="272" t="s">
        <v>288</v>
      </c>
      <c r="D43" s="269"/>
      <c r="E43" s="273" t="s">
        <v>320</v>
      </c>
      <c r="F43" s="273"/>
      <c r="G43" s="273"/>
      <c r="H43" s="273"/>
      <c r="I43" s="273"/>
      <c r="J43" s="273"/>
      <c r="K43" s="273"/>
      <c r="L43" s="273"/>
      <c r="M43" s="273"/>
      <c r="N43" s="273"/>
      <c r="O43" s="273"/>
      <c r="P43" s="273"/>
      <c r="Q43" s="273"/>
      <c r="R43" s="273"/>
    </row>
    <row r="44" spans="2:18" s="1" customFormat="1" ht="16.5" customHeight="1">
      <c r="B44" s="274" t="s">
        <v>115</v>
      </c>
      <c r="C44" s="275" t="s">
        <v>289</v>
      </c>
      <c r="D44" s="269"/>
      <c r="E44" s="270" t="s">
        <v>113</v>
      </c>
      <c r="F44" s="270"/>
      <c r="G44" s="270"/>
      <c r="H44" s="270"/>
      <c r="I44" s="270"/>
      <c r="J44" s="270"/>
      <c r="K44" s="270"/>
      <c r="L44" s="270"/>
      <c r="M44" s="270"/>
      <c r="N44" s="270"/>
      <c r="O44" s="270"/>
      <c r="P44" s="270"/>
      <c r="Q44" s="270"/>
      <c r="R44" s="270"/>
    </row>
    <row r="45" spans="2:18" s="1" customFormat="1" ht="16.5" customHeight="1" thickBot="1">
      <c r="B45" s="274" t="s">
        <v>112</v>
      </c>
      <c r="C45" s="276">
        <v>93175</v>
      </c>
      <c r="D45" s="268"/>
      <c r="E45" s="273" t="s">
        <v>290</v>
      </c>
      <c r="F45" s="273"/>
      <c r="G45" s="273"/>
      <c r="H45" s="273"/>
      <c r="I45" s="273"/>
      <c r="J45" s="273"/>
      <c r="K45" s="273"/>
      <c r="L45" s="273"/>
      <c r="M45" s="273"/>
      <c r="N45" s="273"/>
      <c r="O45" s="273"/>
      <c r="P45" s="273"/>
      <c r="Q45" s="273"/>
      <c r="R45" s="273"/>
    </row>
    <row r="46" spans="2:18" s="1" customFormat="1" ht="16.5" customHeight="1">
      <c r="B46" s="274" t="s">
        <v>110</v>
      </c>
      <c r="C46" s="277"/>
      <c r="D46" s="260"/>
      <c r="E46" s="278" t="s">
        <v>109</v>
      </c>
      <c r="F46" s="279" t="s">
        <v>108</v>
      </c>
      <c r="G46" s="280"/>
      <c r="H46" s="279" t="s">
        <v>107</v>
      </c>
      <c r="I46" s="280"/>
      <c r="J46" s="279" t="s">
        <v>106</v>
      </c>
      <c r="K46" s="280"/>
      <c r="L46" s="279" t="s">
        <v>105</v>
      </c>
      <c r="M46" s="280"/>
      <c r="N46" s="279" t="s">
        <v>96</v>
      </c>
      <c r="O46" s="280"/>
      <c r="P46" s="279" t="s">
        <v>104</v>
      </c>
      <c r="Q46" s="280"/>
      <c r="R46" s="281" t="s">
        <v>103</v>
      </c>
    </row>
    <row r="47" spans="2:18" s="1" customFormat="1" ht="16.5" customHeight="1">
      <c r="B47" s="282" t="s">
        <v>102</v>
      </c>
      <c r="C47" s="283">
        <v>283</v>
      </c>
      <c r="D47" s="262"/>
      <c r="E47" s="284"/>
      <c r="F47" s="285" t="s">
        <v>101</v>
      </c>
      <c r="G47" s="286" t="s">
        <v>100</v>
      </c>
      <c r="H47" s="285" t="s">
        <v>101</v>
      </c>
      <c r="I47" s="286" t="s">
        <v>100</v>
      </c>
      <c r="J47" s="285" t="s">
        <v>101</v>
      </c>
      <c r="K47" s="286" t="s">
        <v>100</v>
      </c>
      <c r="L47" s="287" t="s">
        <v>101</v>
      </c>
      <c r="M47" s="405" t="s">
        <v>100</v>
      </c>
      <c r="N47" s="287" t="s">
        <v>101</v>
      </c>
      <c r="O47" s="286" t="s">
        <v>100</v>
      </c>
      <c r="P47" s="287" t="s">
        <v>101</v>
      </c>
      <c r="Q47" s="286" t="s">
        <v>100</v>
      </c>
      <c r="R47" s="284"/>
    </row>
    <row r="48" spans="2:18" s="1" customFormat="1" ht="16.5" customHeight="1">
      <c r="B48" s="274" t="s">
        <v>99</v>
      </c>
      <c r="C48" s="288">
        <v>6867</v>
      </c>
      <c r="D48" s="260"/>
      <c r="E48" s="289" t="s">
        <v>87</v>
      </c>
      <c r="F48" s="290">
        <v>7</v>
      </c>
      <c r="G48" s="291">
        <f t="shared" ref="G48:G59" si="1">SUM($B$6*F48)*C60</f>
        <v>0</v>
      </c>
      <c r="H48" s="292"/>
      <c r="I48" s="291">
        <f>IF(H48&gt;0,($B$7*C60),0)</f>
        <v>0</v>
      </c>
      <c r="J48" s="293"/>
      <c r="K48" s="291">
        <f>IF(J48&gt;0,($B$8*C60),0)</f>
        <v>0</v>
      </c>
      <c r="L48" s="292">
        <v>3</v>
      </c>
      <c r="M48" s="406">
        <f t="shared" ref="M48:M59" si="2">IF(L48&gt;0,($B$9*L48),0)</f>
        <v>0</v>
      </c>
      <c r="N48" s="294">
        <v>2</v>
      </c>
      <c r="O48" s="291">
        <f t="shared" ref="O48:O59" si="3">IF(N48&gt;0,($B$10*N48),0)</f>
        <v>0</v>
      </c>
      <c r="P48" s="295">
        <v>2</v>
      </c>
      <c r="Q48" s="291">
        <f t="shared" ref="Q48:Q59" si="4">SUM(P48*$B$17)*C60</f>
        <v>0</v>
      </c>
      <c r="R48" s="296">
        <f t="shared" ref="R48:R59" si="5">SUM(Q48+O48+M48+K48+I48+G48)</f>
        <v>0</v>
      </c>
    </row>
    <row r="49" spans="2:18" s="1" customFormat="1" ht="16.5" customHeight="1">
      <c r="B49" s="274" t="s">
        <v>98</v>
      </c>
      <c r="C49" s="288">
        <v>3500</v>
      </c>
      <c r="D49" s="260"/>
      <c r="E49" s="289" t="s">
        <v>86</v>
      </c>
      <c r="F49" s="290">
        <v>7</v>
      </c>
      <c r="G49" s="291">
        <f t="shared" si="1"/>
        <v>0</v>
      </c>
      <c r="H49" s="292"/>
      <c r="I49" s="291">
        <f t="shared" ref="I49:I59" si="6">IF(H49&gt;0,($B$7*C61),0)</f>
        <v>0</v>
      </c>
      <c r="J49" s="293"/>
      <c r="K49" s="291">
        <f t="shared" ref="K49:K59" si="7">IF(J49&gt;0,($B$8*C61),0)</f>
        <v>0</v>
      </c>
      <c r="L49" s="292">
        <v>3</v>
      </c>
      <c r="M49" s="406">
        <f t="shared" si="2"/>
        <v>0</v>
      </c>
      <c r="N49" s="294">
        <v>2</v>
      </c>
      <c r="O49" s="291">
        <f t="shared" si="3"/>
        <v>0</v>
      </c>
      <c r="P49" s="295">
        <v>2</v>
      </c>
      <c r="Q49" s="291">
        <f t="shared" si="4"/>
        <v>0</v>
      </c>
      <c r="R49" s="296">
        <f t="shared" si="5"/>
        <v>0</v>
      </c>
    </row>
    <row r="50" spans="2:18" s="1" customFormat="1" ht="16.5" customHeight="1">
      <c r="B50" s="407" t="s">
        <v>97</v>
      </c>
      <c r="C50" s="288">
        <v>324</v>
      </c>
      <c r="D50" s="260"/>
      <c r="E50" s="289" t="s">
        <v>84</v>
      </c>
      <c r="F50" s="290">
        <v>7</v>
      </c>
      <c r="G50" s="291">
        <f t="shared" si="1"/>
        <v>0</v>
      </c>
      <c r="H50" s="292"/>
      <c r="I50" s="291">
        <f t="shared" si="6"/>
        <v>0</v>
      </c>
      <c r="J50" s="293"/>
      <c r="K50" s="291">
        <f t="shared" si="7"/>
        <v>0</v>
      </c>
      <c r="L50" s="292">
        <v>3</v>
      </c>
      <c r="M50" s="406">
        <f t="shared" si="2"/>
        <v>0</v>
      </c>
      <c r="N50" s="294">
        <v>2</v>
      </c>
      <c r="O50" s="291">
        <f t="shared" si="3"/>
        <v>0</v>
      </c>
      <c r="P50" s="295">
        <v>2</v>
      </c>
      <c r="Q50" s="291">
        <f t="shared" si="4"/>
        <v>0</v>
      </c>
      <c r="R50" s="296">
        <f t="shared" si="5"/>
        <v>0</v>
      </c>
    </row>
    <row r="51" spans="2:18" s="1" customFormat="1" ht="16.5" customHeight="1">
      <c r="B51" s="408" t="s">
        <v>96</v>
      </c>
      <c r="C51" s="288">
        <v>1050</v>
      </c>
      <c r="D51" s="260"/>
      <c r="E51" s="289" t="s">
        <v>83</v>
      </c>
      <c r="F51" s="290">
        <v>7</v>
      </c>
      <c r="G51" s="291">
        <f t="shared" si="1"/>
        <v>0</v>
      </c>
      <c r="H51" s="292"/>
      <c r="I51" s="291">
        <f t="shared" si="6"/>
        <v>0</v>
      </c>
      <c r="J51" s="293"/>
      <c r="K51" s="291">
        <f t="shared" si="7"/>
        <v>0</v>
      </c>
      <c r="L51" s="292">
        <v>3</v>
      </c>
      <c r="M51" s="406">
        <f t="shared" si="2"/>
        <v>0</v>
      </c>
      <c r="N51" s="294">
        <v>2</v>
      </c>
      <c r="O51" s="291">
        <f t="shared" si="3"/>
        <v>0</v>
      </c>
      <c r="P51" s="295">
        <v>2</v>
      </c>
      <c r="Q51" s="291">
        <f t="shared" si="4"/>
        <v>0</v>
      </c>
      <c r="R51" s="296">
        <f t="shared" si="5"/>
        <v>0</v>
      </c>
    </row>
    <row r="52" spans="2:18" s="1" customFormat="1" ht="16.5" customHeight="1">
      <c r="B52" s="274" t="s">
        <v>95</v>
      </c>
      <c r="C52" s="141">
        <v>35000</v>
      </c>
      <c r="D52" s="260"/>
      <c r="E52" s="289" t="s">
        <v>82</v>
      </c>
      <c r="F52" s="290">
        <v>7</v>
      </c>
      <c r="G52" s="291">
        <f t="shared" si="1"/>
        <v>0</v>
      </c>
      <c r="H52" s="292">
        <v>1</v>
      </c>
      <c r="I52" s="291">
        <f t="shared" si="6"/>
        <v>0</v>
      </c>
      <c r="J52" s="293">
        <v>1</v>
      </c>
      <c r="K52" s="291">
        <f t="shared" si="7"/>
        <v>0</v>
      </c>
      <c r="L52" s="292">
        <v>3</v>
      </c>
      <c r="M52" s="406">
        <f t="shared" si="2"/>
        <v>0</v>
      </c>
      <c r="N52" s="294">
        <v>2</v>
      </c>
      <c r="O52" s="291">
        <f t="shared" si="3"/>
        <v>0</v>
      </c>
      <c r="P52" s="295">
        <v>2</v>
      </c>
      <c r="Q52" s="291">
        <f t="shared" si="4"/>
        <v>0</v>
      </c>
      <c r="R52" s="296">
        <f t="shared" si="5"/>
        <v>0</v>
      </c>
    </row>
    <row r="53" spans="2:18" s="1" customFormat="1" ht="16.5" customHeight="1">
      <c r="B53" s="274" t="s">
        <v>94</v>
      </c>
      <c r="C53" s="141">
        <v>5000</v>
      </c>
      <c r="D53" s="260"/>
      <c r="E53" s="289" t="s">
        <v>80</v>
      </c>
      <c r="F53" s="290">
        <v>7</v>
      </c>
      <c r="G53" s="291">
        <f t="shared" si="1"/>
        <v>0</v>
      </c>
      <c r="H53" s="292"/>
      <c r="I53" s="291">
        <f t="shared" si="6"/>
        <v>0</v>
      </c>
      <c r="J53" s="293"/>
      <c r="K53" s="291">
        <f t="shared" si="7"/>
        <v>0</v>
      </c>
      <c r="L53" s="292">
        <v>3</v>
      </c>
      <c r="M53" s="406">
        <f t="shared" si="2"/>
        <v>0</v>
      </c>
      <c r="N53" s="294">
        <v>2</v>
      </c>
      <c r="O53" s="291">
        <f t="shared" si="3"/>
        <v>0</v>
      </c>
      <c r="P53" s="295">
        <v>2</v>
      </c>
      <c r="Q53" s="291">
        <f t="shared" si="4"/>
        <v>0</v>
      </c>
      <c r="R53" s="296">
        <f t="shared" si="5"/>
        <v>0</v>
      </c>
    </row>
    <row r="54" spans="2:18" s="1" customFormat="1" ht="16.5" customHeight="1">
      <c r="B54" s="274" t="s">
        <v>93</v>
      </c>
      <c r="C54" s="141">
        <v>175000</v>
      </c>
      <c r="D54" s="260"/>
      <c r="E54" s="289" t="s">
        <v>79</v>
      </c>
      <c r="F54" s="290">
        <v>7</v>
      </c>
      <c r="G54" s="291">
        <f t="shared" si="1"/>
        <v>0</v>
      </c>
      <c r="H54" s="292"/>
      <c r="I54" s="291">
        <f t="shared" si="6"/>
        <v>0</v>
      </c>
      <c r="J54" s="293"/>
      <c r="K54" s="291">
        <f t="shared" si="7"/>
        <v>0</v>
      </c>
      <c r="L54" s="292">
        <v>3</v>
      </c>
      <c r="M54" s="406">
        <f t="shared" si="2"/>
        <v>0</v>
      </c>
      <c r="N54" s="294">
        <v>2</v>
      </c>
      <c r="O54" s="291">
        <f t="shared" si="3"/>
        <v>0</v>
      </c>
      <c r="P54" s="295">
        <v>2</v>
      </c>
      <c r="Q54" s="291">
        <f t="shared" si="4"/>
        <v>0</v>
      </c>
      <c r="R54" s="296">
        <f t="shared" si="5"/>
        <v>0</v>
      </c>
    </row>
    <row r="55" spans="2:18" s="1" customFormat="1" ht="16.5" customHeight="1">
      <c r="B55" s="274" t="s">
        <v>92</v>
      </c>
      <c r="C55" s="141">
        <v>175000</v>
      </c>
      <c r="D55" s="260"/>
      <c r="E55" s="289" t="s">
        <v>78</v>
      </c>
      <c r="F55" s="290">
        <v>7</v>
      </c>
      <c r="G55" s="291">
        <f t="shared" si="1"/>
        <v>0</v>
      </c>
      <c r="H55" s="292"/>
      <c r="I55" s="291">
        <f t="shared" si="6"/>
        <v>0</v>
      </c>
      <c r="J55" s="293"/>
      <c r="K55" s="291">
        <f t="shared" si="7"/>
        <v>0</v>
      </c>
      <c r="L55" s="292">
        <v>3</v>
      </c>
      <c r="M55" s="406">
        <f t="shared" si="2"/>
        <v>0</v>
      </c>
      <c r="N55" s="294">
        <v>2</v>
      </c>
      <c r="O55" s="291">
        <f t="shared" si="3"/>
        <v>0</v>
      </c>
      <c r="P55" s="295">
        <v>2</v>
      </c>
      <c r="Q55" s="291">
        <f t="shared" si="4"/>
        <v>0</v>
      </c>
      <c r="R55" s="296">
        <f t="shared" si="5"/>
        <v>0</v>
      </c>
    </row>
    <row r="56" spans="2:18" s="1" customFormat="1" ht="16.5" customHeight="1">
      <c r="B56" s="274" t="s">
        <v>91</v>
      </c>
      <c r="C56" s="141">
        <v>12000</v>
      </c>
      <c r="D56" s="260"/>
      <c r="E56" s="289" t="s">
        <v>77</v>
      </c>
      <c r="F56" s="290">
        <v>7</v>
      </c>
      <c r="G56" s="291">
        <f t="shared" si="1"/>
        <v>0</v>
      </c>
      <c r="H56" s="292"/>
      <c r="I56" s="291">
        <f t="shared" si="6"/>
        <v>0</v>
      </c>
      <c r="J56" s="293"/>
      <c r="K56" s="291">
        <f t="shared" si="7"/>
        <v>0</v>
      </c>
      <c r="L56" s="292">
        <v>3</v>
      </c>
      <c r="M56" s="406">
        <f t="shared" si="2"/>
        <v>0</v>
      </c>
      <c r="N56" s="294">
        <v>2</v>
      </c>
      <c r="O56" s="291">
        <f t="shared" si="3"/>
        <v>0</v>
      </c>
      <c r="P56" s="295">
        <v>2</v>
      </c>
      <c r="Q56" s="291">
        <f t="shared" si="4"/>
        <v>0</v>
      </c>
      <c r="R56" s="296">
        <f t="shared" si="5"/>
        <v>0</v>
      </c>
    </row>
    <row r="57" spans="2:18" s="1" customFormat="1" ht="16.5" customHeight="1">
      <c r="B57" s="274" t="s">
        <v>90</v>
      </c>
      <c r="C57" s="141">
        <v>25000</v>
      </c>
      <c r="D57" s="260"/>
      <c r="E57" s="289" t="s">
        <v>76</v>
      </c>
      <c r="F57" s="290">
        <v>7</v>
      </c>
      <c r="G57" s="291">
        <f t="shared" si="1"/>
        <v>0</v>
      </c>
      <c r="H57" s="292"/>
      <c r="I57" s="291">
        <f t="shared" si="6"/>
        <v>0</v>
      </c>
      <c r="J57" s="293"/>
      <c r="K57" s="291">
        <f t="shared" si="7"/>
        <v>0</v>
      </c>
      <c r="L57" s="292">
        <v>3</v>
      </c>
      <c r="M57" s="406">
        <f t="shared" si="2"/>
        <v>0</v>
      </c>
      <c r="N57" s="294">
        <v>2</v>
      </c>
      <c r="O57" s="291">
        <f t="shared" si="3"/>
        <v>0</v>
      </c>
      <c r="P57" s="295">
        <v>2</v>
      </c>
      <c r="Q57" s="291">
        <f t="shared" si="4"/>
        <v>0</v>
      </c>
      <c r="R57" s="296">
        <f t="shared" si="5"/>
        <v>0</v>
      </c>
    </row>
    <row r="58" spans="2:18" s="1" customFormat="1" ht="16.5" customHeight="1">
      <c r="B58" s="297" t="s">
        <v>89</v>
      </c>
      <c r="C58" s="298">
        <v>92</v>
      </c>
      <c r="D58" s="260"/>
      <c r="E58" s="289" t="s">
        <v>75</v>
      </c>
      <c r="F58" s="290">
        <v>7</v>
      </c>
      <c r="G58" s="291">
        <f t="shared" si="1"/>
        <v>0</v>
      </c>
      <c r="H58" s="292"/>
      <c r="I58" s="291">
        <f t="shared" si="6"/>
        <v>0</v>
      </c>
      <c r="J58" s="293"/>
      <c r="K58" s="291">
        <f t="shared" si="7"/>
        <v>0</v>
      </c>
      <c r="L58" s="292">
        <v>3</v>
      </c>
      <c r="M58" s="406">
        <f t="shared" si="2"/>
        <v>0</v>
      </c>
      <c r="N58" s="294">
        <v>2</v>
      </c>
      <c r="O58" s="291">
        <f t="shared" si="3"/>
        <v>0</v>
      </c>
      <c r="P58" s="295">
        <v>2</v>
      </c>
      <c r="Q58" s="291">
        <f t="shared" si="4"/>
        <v>0</v>
      </c>
      <c r="R58" s="296">
        <f t="shared" si="5"/>
        <v>0</v>
      </c>
    </row>
    <row r="59" spans="2:18" s="1" customFormat="1" ht="16.5" customHeight="1">
      <c r="B59" s="299" t="s">
        <v>88</v>
      </c>
      <c r="C59" s="300"/>
      <c r="D59" s="260"/>
      <c r="E59" s="289" t="s">
        <v>74</v>
      </c>
      <c r="F59" s="290">
        <v>7</v>
      </c>
      <c r="G59" s="291">
        <f t="shared" si="1"/>
        <v>0</v>
      </c>
      <c r="H59" s="292"/>
      <c r="I59" s="291">
        <f t="shared" si="6"/>
        <v>0</v>
      </c>
      <c r="J59" s="293"/>
      <c r="K59" s="291">
        <f t="shared" si="7"/>
        <v>0</v>
      </c>
      <c r="L59" s="292">
        <v>3</v>
      </c>
      <c r="M59" s="406">
        <f t="shared" si="2"/>
        <v>0</v>
      </c>
      <c r="N59" s="294">
        <v>2</v>
      </c>
      <c r="O59" s="291">
        <f t="shared" si="3"/>
        <v>0</v>
      </c>
      <c r="P59" s="295">
        <v>2</v>
      </c>
      <c r="Q59" s="291">
        <f t="shared" si="4"/>
        <v>0</v>
      </c>
      <c r="R59" s="296">
        <f t="shared" si="5"/>
        <v>0</v>
      </c>
    </row>
    <row r="60" spans="2:18" s="1" customFormat="1" ht="16.5" customHeight="1">
      <c r="B60" s="301" t="s">
        <v>87</v>
      </c>
      <c r="C60" s="302">
        <v>1</v>
      </c>
      <c r="D60" s="260"/>
      <c r="E60" s="303"/>
      <c r="F60" s="304"/>
      <c r="G60" s="305"/>
      <c r="H60" s="306"/>
      <c r="I60" s="307"/>
      <c r="J60" s="308"/>
      <c r="K60" s="307"/>
      <c r="L60" s="306"/>
      <c r="M60" s="409"/>
      <c r="N60" s="304"/>
      <c r="O60" s="305"/>
      <c r="P60" s="306"/>
      <c r="Q60" s="307"/>
      <c r="R60" s="309"/>
    </row>
    <row r="61" spans="2:18" s="1" customFormat="1" ht="16.5" customHeight="1" thickBot="1">
      <c r="B61" s="301" t="s">
        <v>86</v>
      </c>
      <c r="C61" s="301">
        <f t="shared" ref="C61:C71" si="8">SUM(C60+(C60*$B$5))</f>
        <v>1</v>
      </c>
      <c r="D61" s="260"/>
      <c r="E61" s="310" t="s">
        <v>85</v>
      </c>
      <c r="F61" s="311"/>
      <c r="G61" s="312">
        <f>SUM(G48:G59)</f>
        <v>0</v>
      </c>
      <c r="H61" s="313"/>
      <c r="I61" s="312">
        <f>SUM(I48:I59)</f>
        <v>0</v>
      </c>
      <c r="J61" s="314"/>
      <c r="K61" s="312">
        <f>SUM(K48:K59)</f>
        <v>0</v>
      </c>
      <c r="L61" s="313"/>
      <c r="M61" s="410">
        <f>SUM(M48:M59)</f>
        <v>0</v>
      </c>
      <c r="N61" s="315"/>
      <c r="O61" s="312">
        <f>SUM(O48:O59)</f>
        <v>0</v>
      </c>
      <c r="P61" s="313"/>
      <c r="Q61" s="312">
        <f>SUM(Q48:Q59)</f>
        <v>0</v>
      </c>
      <c r="R61" s="316">
        <f>SUM(R48:R59)</f>
        <v>0</v>
      </c>
    </row>
    <row r="62" spans="2:18" s="1" customFormat="1" ht="16.5" customHeight="1" thickTop="1" thickBot="1">
      <c r="B62" s="301" t="s">
        <v>84</v>
      </c>
      <c r="C62" s="301">
        <f t="shared" si="8"/>
        <v>1</v>
      </c>
      <c r="D62" s="269"/>
      <c r="E62" s="317"/>
      <c r="F62" s="318"/>
      <c r="G62" s="319"/>
      <c r="H62" s="320"/>
      <c r="I62" s="319"/>
      <c r="J62" s="321"/>
      <c r="K62" s="319"/>
      <c r="L62" s="320"/>
      <c r="M62" s="411"/>
      <c r="N62" s="318"/>
      <c r="O62" s="322"/>
      <c r="P62" s="320"/>
      <c r="Q62" s="319"/>
      <c r="R62" s="323"/>
    </row>
    <row r="63" spans="2:18" s="1" customFormat="1" ht="16.5" customHeight="1">
      <c r="B63" s="301" t="s">
        <v>83</v>
      </c>
      <c r="C63" s="324">
        <f t="shared" si="8"/>
        <v>1</v>
      </c>
      <c r="D63" s="269"/>
      <c r="E63" s="269"/>
      <c r="F63" s="325"/>
      <c r="G63" s="269"/>
      <c r="H63" s="326"/>
      <c r="I63" s="269"/>
      <c r="J63" s="327"/>
      <c r="K63" s="269"/>
      <c r="L63" s="326"/>
      <c r="M63" s="412"/>
      <c r="N63" s="325"/>
      <c r="O63" s="269"/>
      <c r="P63" s="326"/>
      <c r="Q63" s="269"/>
      <c r="R63" s="269"/>
    </row>
    <row r="64" spans="2:18" s="1" customFormat="1" ht="16.5" customHeight="1">
      <c r="B64" s="301" t="s">
        <v>82</v>
      </c>
      <c r="C64" s="324">
        <f t="shared" si="8"/>
        <v>1</v>
      </c>
      <c r="D64" s="269"/>
      <c r="E64" s="269" t="s">
        <v>81</v>
      </c>
      <c r="F64" s="325"/>
      <c r="G64" s="269"/>
      <c r="H64" s="326"/>
      <c r="I64" s="269"/>
      <c r="J64" s="327"/>
      <c r="K64" s="269"/>
      <c r="L64" s="326"/>
      <c r="M64" s="412"/>
      <c r="N64" s="325"/>
      <c r="O64" s="269"/>
      <c r="P64" s="326"/>
      <c r="Q64" s="269"/>
      <c r="R64" s="269"/>
    </row>
    <row r="65" spans="2:20" s="1" customFormat="1" ht="16.5" customHeight="1">
      <c r="B65" s="301" t="s">
        <v>80</v>
      </c>
      <c r="C65" s="324">
        <f t="shared" si="8"/>
        <v>1</v>
      </c>
      <c r="D65" s="269"/>
      <c r="E65" s="269"/>
      <c r="F65" s="325"/>
      <c r="G65" s="269"/>
      <c r="H65" s="326"/>
      <c r="I65" s="269"/>
      <c r="J65" s="327"/>
      <c r="K65" s="269"/>
      <c r="L65" s="326"/>
      <c r="M65" s="412"/>
      <c r="N65" s="325"/>
      <c r="O65" s="269"/>
      <c r="P65" s="326"/>
      <c r="Q65" s="269"/>
      <c r="R65" s="269"/>
    </row>
    <row r="66" spans="2:20" s="1" customFormat="1" ht="16.5" customHeight="1">
      <c r="B66" s="301" t="s">
        <v>79</v>
      </c>
      <c r="C66" s="324">
        <f t="shared" si="8"/>
        <v>1</v>
      </c>
      <c r="D66" s="269"/>
      <c r="E66" s="413" t="s">
        <v>291</v>
      </c>
      <c r="F66" s="414"/>
      <c r="G66" s="415"/>
      <c r="H66" s="416"/>
      <c r="I66" s="413"/>
      <c r="J66" s="417"/>
      <c r="K66" s="413"/>
      <c r="L66" s="417"/>
      <c r="M66" s="413"/>
      <c r="N66" s="417"/>
      <c r="O66" s="413"/>
      <c r="P66" s="326"/>
      <c r="Q66" s="269"/>
      <c r="R66" s="269"/>
    </row>
    <row r="67" spans="2:20" s="1" customFormat="1" ht="16.5" customHeight="1">
      <c r="B67" s="301" t="s">
        <v>78</v>
      </c>
      <c r="C67" s="324">
        <f t="shared" si="8"/>
        <v>1</v>
      </c>
      <c r="D67" s="269"/>
      <c r="E67" s="418" t="s">
        <v>292</v>
      </c>
      <c r="F67" s="419"/>
      <c r="G67" s="418"/>
      <c r="H67" s="420"/>
      <c r="I67" s="269"/>
      <c r="J67" s="326"/>
      <c r="K67" s="269"/>
      <c r="L67" s="326"/>
      <c r="M67" s="269"/>
      <c r="N67" s="326"/>
      <c r="O67" s="269"/>
      <c r="P67" s="326"/>
      <c r="Q67" s="269"/>
      <c r="R67" s="269"/>
    </row>
    <row r="68" spans="2:20" s="1" customFormat="1" ht="16.5" customHeight="1">
      <c r="B68" s="301" t="s">
        <v>77</v>
      </c>
      <c r="C68" s="324">
        <f t="shared" si="8"/>
        <v>1</v>
      </c>
      <c r="D68" s="269"/>
      <c r="E68" s="269"/>
      <c r="F68" s="325"/>
      <c r="G68" s="269"/>
      <c r="H68" s="326"/>
      <c r="I68" s="269"/>
      <c r="J68" s="327"/>
      <c r="K68" s="269"/>
      <c r="L68" s="326"/>
      <c r="M68" s="412"/>
      <c r="N68" s="325"/>
      <c r="O68" s="269"/>
      <c r="P68" s="326"/>
      <c r="Q68" s="269"/>
      <c r="R68" s="269"/>
    </row>
    <row r="69" spans="2:20" s="1" customFormat="1" ht="16.5" customHeight="1">
      <c r="B69" s="301" t="s">
        <v>76</v>
      </c>
      <c r="C69" s="324">
        <f t="shared" si="8"/>
        <v>1</v>
      </c>
      <c r="D69" s="269"/>
      <c r="E69" s="269"/>
      <c r="F69" s="325"/>
      <c r="G69" s="269"/>
      <c r="H69" s="326"/>
      <c r="I69" s="269"/>
      <c r="J69" s="327"/>
      <c r="K69" s="269"/>
      <c r="L69" s="326"/>
      <c r="M69" s="412"/>
      <c r="N69" s="325"/>
      <c r="O69" s="269"/>
      <c r="P69" s="326"/>
      <c r="Q69" s="269"/>
      <c r="R69" s="269"/>
    </row>
    <row r="70" spans="2:20" s="1" customFormat="1" ht="16.5" customHeight="1">
      <c r="B70" s="301" t="s">
        <v>75</v>
      </c>
      <c r="C70" s="324">
        <f t="shared" si="8"/>
        <v>1</v>
      </c>
      <c r="D70" s="269"/>
      <c r="E70" s="269"/>
      <c r="F70" s="325"/>
      <c r="G70" s="269"/>
      <c r="H70" s="326"/>
      <c r="I70" s="269"/>
      <c r="J70" s="327"/>
      <c r="K70" s="269"/>
      <c r="L70" s="326"/>
      <c r="M70" s="412"/>
      <c r="N70" s="325"/>
      <c r="O70" s="269"/>
      <c r="P70" s="326"/>
      <c r="Q70" s="269"/>
      <c r="R70" s="269"/>
    </row>
    <row r="71" spans="2:20" s="1" customFormat="1" ht="16.5" customHeight="1">
      <c r="B71" s="301" t="s">
        <v>74</v>
      </c>
      <c r="C71" s="324">
        <f t="shared" si="8"/>
        <v>1</v>
      </c>
      <c r="D71" s="269"/>
      <c r="E71" s="269"/>
      <c r="F71" s="325"/>
      <c r="G71" s="269"/>
      <c r="H71" s="326"/>
      <c r="I71" s="269"/>
      <c r="J71" s="327"/>
      <c r="K71" s="269"/>
      <c r="L71" s="326"/>
      <c r="M71" s="412"/>
      <c r="N71" s="325"/>
      <c r="O71" s="269"/>
      <c r="P71" s="326"/>
      <c r="Q71" s="269"/>
      <c r="R71" s="269"/>
    </row>
    <row r="73" spans="2:20" s="1" customFormat="1" ht="16.5" customHeight="1">
      <c r="B73" s="268"/>
      <c r="C73" s="268"/>
      <c r="D73" s="269"/>
      <c r="E73" s="270" t="s">
        <v>118</v>
      </c>
      <c r="F73" s="270"/>
      <c r="G73" s="270"/>
      <c r="H73" s="270"/>
      <c r="I73" s="270"/>
      <c r="J73" s="270"/>
      <c r="K73" s="270"/>
      <c r="L73" s="270"/>
      <c r="M73" s="270"/>
      <c r="N73" s="270"/>
      <c r="O73" s="270"/>
      <c r="P73" s="270"/>
      <c r="Q73" s="270"/>
      <c r="R73" s="270"/>
      <c r="S73" s="269"/>
      <c r="T73" s="269"/>
    </row>
    <row r="74" spans="2:20" s="1" customFormat="1" ht="16.5" customHeight="1">
      <c r="B74" s="271" t="s">
        <v>287</v>
      </c>
      <c r="C74" s="272" t="s">
        <v>288</v>
      </c>
      <c r="D74" s="269"/>
      <c r="E74" s="273" t="s">
        <v>321</v>
      </c>
      <c r="F74" s="273"/>
      <c r="G74" s="273"/>
      <c r="H74" s="273"/>
      <c r="I74" s="273"/>
      <c r="J74" s="273"/>
      <c r="K74" s="273"/>
      <c r="L74" s="273"/>
      <c r="M74" s="273"/>
      <c r="N74" s="273"/>
      <c r="O74" s="273"/>
      <c r="P74" s="273"/>
      <c r="Q74" s="273"/>
      <c r="R74" s="273"/>
      <c r="S74" s="269"/>
      <c r="T74" s="269"/>
    </row>
    <row r="75" spans="2:20" s="1" customFormat="1" ht="16.5" customHeight="1">
      <c r="B75" s="274" t="s">
        <v>115</v>
      </c>
      <c r="C75" s="275" t="s">
        <v>289</v>
      </c>
      <c r="D75" s="269"/>
      <c r="E75" s="270" t="s">
        <v>119</v>
      </c>
      <c r="F75" s="270"/>
      <c r="G75" s="270"/>
      <c r="H75" s="270"/>
      <c r="I75" s="270"/>
      <c r="J75" s="270"/>
      <c r="K75" s="270"/>
      <c r="L75" s="270"/>
      <c r="M75" s="270"/>
      <c r="N75" s="270"/>
      <c r="O75" s="270"/>
      <c r="P75" s="270"/>
      <c r="Q75" s="270"/>
      <c r="R75" s="270"/>
      <c r="S75" s="269"/>
      <c r="T75" s="269"/>
    </row>
    <row r="76" spans="2:20" s="1" customFormat="1" ht="16.5" customHeight="1" thickBot="1">
      <c r="B76" s="274" t="s">
        <v>112</v>
      </c>
      <c r="C76" s="276">
        <v>93175</v>
      </c>
      <c r="D76" s="268"/>
      <c r="E76" s="330" t="s">
        <v>293</v>
      </c>
      <c r="F76" s="330"/>
      <c r="G76" s="330"/>
      <c r="H76" s="330"/>
      <c r="I76" s="330"/>
      <c r="J76" s="330"/>
      <c r="K76" s="330"/>
      <c r="L76" s="330"/>
      <c r="M76" s="330"/>
      <c r="N76" s="330"/>
      <c r="O76" s="330"/>
      <c r="P76" s="330"/>
      <c r="Q76" s="330"/>
      <c r="R76" s="330"/>
      <c r="S76" s="269"/>
      <c r="T76" s="269"/>
    </row>
    <row r="77" spans="2:20" s="1" customFormat="1" ht="16.5" customHeight="1">
      <c r="B77" s="274" t="s">
        <v>110</v>
      </c>
      <c r="C77" s="277"/>
      <c r="D77" s="260"/>
      <c r="E77" s="278" t="s">
        <v>109</v>
      </c>
      <c r="F77" s="279" t="s">
        <v>108</v>
      </c>
      <c r="G77" s="280"/>
      <c r="H77" s="279" t="s">
        <v>107</v>
      </c>
      <c r="I77" s="280"/>
      <c r="J77" s="279" t="s">
        <v>106</v>
      </c>
      <c r="K77" s="280"/>
      <c r="L77" s="279" t="s">
        <v>105</v>
      </c>
      <c r="M77" s="280"/>
      <c r="N77" s="279" t="s">
        <v>96</v>
      </c>
      <c r="O77" s="280"/>
      <c r="P77" s="279" t="s">
        <v>104</v>
      </c>
      <c r="Q77" s="280"/>
      <c r="R77" s="281" t="s">
        <v>103</v>
      </c>
      <c r="S77" s="269"/>
      <c r="T77" s="269"/>
    </row>
    <row r="78" spans="2:20" s="1" customFormat="1" ht="16.5" customHeight="1">
      <c r="B78" s="274" t="s">
        <v>102</v>
      </c>
      <c r="C78" s="283">
        <v>125</v>
      </c>
      <c r="D78" s="260"/>
      <c r="E78" s="289"/>
      <c r="F78" s="285" t="s">
        <v>101</v>
      </c>
      <c r="G78" s="331" t="s">
        <v>100</v>
      </c>
      <c r="H78" s="285" t="s">
        <v>101</v>
      </c>
      <c r="I78" s="331" t="s">
        <v>100</v>
      </c>
      <c r="J78" s="285" t="s">
        <v>101</v>
      </c>
      <c r="K78" s="331" t="s">
        <v>100</v>
      </c>
      <c r="L78" s="285" t="s">
        <v>101</v>
      </c>
      <c r="M78" s="331" t="s">
        <v>100</v>
      </c>
      <c r="N78" s="285" t="s">
        <v>101</v>
      </c>
      <c r="O78" s="331" t="s">
        <v>100</v>
      </c>
      <c r="P78" s="287" t="s">
        <v>101</v>
      </c>
      <c r="Q78" s="331" t="s">
        <v>100</v>
      </c>
      <c r="R78" s="289"/>
      <c r="S78" s="269"/>
      <c r="T78" s="269"/>
    </row>
    <row r="79" spans="2:20" s="1" customFormat="1" ht="16.5" customHeight="1">
      <c r="B79" s="274" t="s">
        <v>107</v>
      </c>
      <c r="C79" s="288">
        <v>6867</v>
      </c>
      <c r="D79" s="260"/>
      <c r="E79" s="289" t="s">
        <v>87</v>
      </c>
      <c r="F79" s="290">
        <v>8</v>
      </c>
      <c r="G79" s="291">
        <f t="shared" ref="G79:G90" si="9">SUM($B$6*F79)*C91</f>
        <v>0</v>
      </c>
      <c r="H79" s="292"/>
      <c r="I79" s="291">
        <f t="shared" ref="I79:I90" si="10">IF(H79&gt;0,($B$7*C91),0)</f>
        <v>0</v>
      </c>
      <c r="J79" s="293"/>
      <c r="K79" s="291">
        <f t="shared" ref="K79:K90" si="11">IF(J79&gt;0,($B$8*C91),0)</f>
        <v>0</v>
      </c>
      <c r="L79" s="292">
        <v>3</v>
      </c>
      <c r="M79" s="406">
        <f t="shared" ref="M79:M90" si="12">IF(L79&gt;0,($B$9*L79),0)</f>
        <v>0</v>
      </c>
      <c r="N79" s="290">
        <v>1</v>
      </c>
      <c r="O79" s="291">
        <f t="shared" ref="O79:O90" si="13">IF(N79&gt;0,($B$10*N79),0)</f>
        <v>0</v>
      </c>
      <c r="P79" s="295"/>
      <c r="Q79" s="291">
        <f t="shared" ref="Q79:Q90" si="14">SUM(P79*$B$17)*C91</f>
        <v>0</v>
      </c>
      <c r="R79" s="296">
        <f t="shared" ref="R79:R90" si="15">SUM(Q79+O79+M79+K79+I79+G79)</f>
        <v>0</v>
      </c>
      <c r="S79" s="269"/>
      <c r="T79" s="269"/>
    </row>
    <row r="80" spans="2:20" s="1" customFormat="1" ht="16.5" customHeight="1">
      <c r="B80" s="274" t="s">
        <v>121</v>
      </c>
      <c r="C80" s="288">
        <v>3500</v>
      </c>
      <c r="D80" s="260"/>
      <c r="E80" s="289" t="s">
        <v>86</v>
      </c>
      <c r="F80" s="290">
        <v>9</v>
      </c>
      <c r="G80" s="291">
        <f t="shared" si="9"/>
        <v>0</v>
      </c>
      <c r="H80" s="292"/>
      <c r="I80" s="291">
        <f t="shared" si="10"/>
        <v>0</v>
      </c>
      <c r="J80" s="293"/>
      <c r="K80" s="291">
        <f t="shared" si="11"/>
        <v>0</v>
      </c>
      <c r="L80" s="332">
        <v>1.33</v>
      </c>
      <c r="M80" s="406">
        <f t="shared" si="12"/>
        <v>0</v>
      </c>
      <c r="N80" s="333">
        <v>0.5</v>
      </c>
      <c r="O80" s="291">
        <f t="shared" si="13"/>
        <v>0</v>
      </c>
      <c r="P80" s="295"/>
      <c r="Q80" s="291">
        <f t="shared" si="14"/>
        <v>0</v>
      </c>
      <c r="R80" s="296">
        <f t="shared" si="15"/>
        <v>0</v>
      </c>
      <c r="S80" s="269"/>
      <c r="T80" s="269"/>
    </row>
    <row r="81" spans="2:20" s="1" customFormat="1" ht="16.5" customHeight="1">
      <c r="B81" s="407" t="s">
        <v>122</v>
      </c>
      <c r="C81" s="288">
        <v>324</v>
      </c>
      <c r="D81" s="260"/>
      <c r="E81" s="289" t="s">
        <v>84</v>
      </c>
      <c r="F81" s="290">
        <v>8</v>
      </c>
      <c r="G81" s="291">
        <f t="shared" si="9"/>
        <v>0</v>
      </c>
      <c r="H81" s="292"/>
      <c r="I81" s="291">
        <f t="shared" si="10"/>
        <v>0</v>
      </c>
      <c r="J81" s="293">
        <v>1</v>
      </c>
      <c r="K81" s="291">
        <f t="shared" si="11"/>
        <v>0</v>
      </c>
      <c r="L81" s="292">
        <v>2.5</v>
      </c>
      <c r="M81" s="406">
        <f t="shared" si="12"/>
        <v>0</v>
      </c>
      <c r="N81" s="290">
        <v>2</v>
      </c>
      <c r="O81" s="291">
        <f t="shared" si="13"/>
        <v>0</v>
      </c>
      <c r="P81" s="295"/>
      <c r="Q81" s="291">
        <f t="shared" si="14"/>
        <v>0</v>
      </c>
      <c r="R81" s="296">
        <f t="shared" si="15"/>
        <v>0</v>
      </c>
      <c r="S81" s="269"/>
      <c r="T81" s="269"/>
    </row>
    <row r="82" spans="2:20" s="1" customFormat="1" ht="16.5" customHeight="1">
      <c r="B82" s="408" t="s">
        <v>123</v>
      </c>
      <c r="C82" s="288">
        <v>1050</v>
      </c>
      <c r="D82" s="260"/>
      <c r="E82" s="289" t="s">
        <v>83</v>
      </c>
      <c r="F82" s="290">
        <v>8</v>
      </c>
      <c r="G82" s="291">
        <f t="shared" si="9"/>
        <v>0</v>
      </c>
      <c r="H82" s="292"/>
      <c r="I82" s="291">
        <f t="shared" si="10"/>
        <v>0</v>
      </c>
      <c r="J82" s="293"/>
      <c r="K82" s="291">
        <f t="shared" si="11"/>
        <v>0</v>
      </c>
      <c r="L82" s="292"/>
      <c r="M82" s="406">
        <f t="shared" si="12"/>
        <v>0</v>
      </c>
      <c r="N82" s="334"/>
      <c r="O82" s="291">
        <f t="shared" si="13"/>
        <v>0</v>
      </c>
      <c r="P82" s="295"/>
      <c r="Q82" s="291">
        <f t="shared" si="14"/>
        <v>0</v>
      </c>
      <c r="R82" s="296">
        <f t="shared" si="15"/>
        <v>0</v>
      </c>
      <c r="S82" s="269"/>
      <c r="T82" s="269"/>
    </row>
    <row r="83" spans="2:20" s="1" customFormat="1" ht="16.5" customHeight="1">
      <c r="B83" s="274" t="s">
        <v>95</v>
      </c>
      <c r="C83" s="141">
        <v>35000</v>
      </c>
      <c r="D83" s="260"/>
      <c r="E83" s="289" t="s">
        <v>82</v>
      </c>
      <c r="F83" s="290">
        <v>3</v>
      </c>
      <c r="G83" s="291">
        <f t="shared" si="9"/>
        <v>0</v>
      </c>
      <c r="H83" s="292"/>
      <c r="I83" s="291">
        <f t="shared" si="10"/>
        <v>0</v>
      </c>
      <c r="J83" s="293"/>
      <c r="K83" s="291">
        <f t="shared" si="11"/>
        <v>0</v>
      </c>
      <c r="L83" s="292"/>
      <c r="M83" s="406">
        <f t="shared" si="12"/>
        <v>0</v>
      </c>
      <c r="N83" s="290"/>
      <c r="O83" s="291">
        <f t="shared" si="13"/>
        <v>0</v>
      </c>
      <c r="P83" s="295">
        <v>2</v>
      </c>
      <c r="Q83" s="291">
        <f t="shared" si="14"/>
        <v>0</v>
      </c>
      <c r="R83" s="296">
        <f t="shared" si="15"/>
        <v>0</v>
      </c>
      <c r="S83" s="269"/>
      <c r="T83" s="269"/>
    </row>
    <row r="84" spans="2:20" s="1" customFormat="1" ht="16.5" customHeight="1">
      <c r="B84" s="274" t="s">
        <v>94</v>
      </c>
      <c r="C84" s="141">
        <v>5000</v>
      </c>
      <c r="D84" s="260"/>
      <c r="E84" s="289" t="s">
        <v>80</v>
      </c>
      <c r="F84" s="290"/>
      <c r="G84" s="291">
        <f t="shared" si="9"/>
        <v>0</v>
      </c>
      <c r="H84" s="292"/>
      <c r="I84" s="291">
        <f t="shared" si="10"/>
        <v>0</v>
      </c>
      <c r="J84" s="293"/>
      <c r="K84" s="291">
        <f t="shared" si="11"/>
        <v>0</v>
      </c>
      <c r="L84" s="292"/>
      <c r="M84" s="406">
        <f t="shared" si="12"/>
        <v>0</v>
      </c>
      <c r="N84" s="334"/>
      <c r="O84" s="291">
        <f t="shared" si="13"/>
        <v>0</v>
      </c>
      <c r="P84" s="295"/>
      <c r="Q84" s="291">
        <f t="shared" si="14"/>
        <v>0</v>
      </c>
      <c r="R84" s="296">
        <f t="shared" si="15"/>
        <v>0</v>
      </c>
      <c r="S84" s="269"/>
      <c r="T84" s="269"/>
    </row>
    <row r="85" spans="2:20" s="1" customFormat="1" ht="16.5" customHeight="1">
      <c r="B85" s="274" t="s">
        <v>93</v>
      </c>
      <c r="C85" s="141">
        <v>175000</v>
      </c>
      <c r="D85" s="260"/>
      <c r="E85" s="289" t="s">
        <v>79</v>
      </c>
      <c r="F85" s="290"/>
      <c r="G85" s="291">
        <f t="shared" si="9"/>
        <v>0</v>
      </c>
      <c r="H85" s="292"/>
      <c r="I85" s="291">
        <f t="shared" si="10"/>
        <v>0</v>
      </c>
      <c r="J85" s="293"/>
      <c r="K85" s="291">
        <f t="shared" si="11"/>
        <v>0</v>
      </c>
      <c r="L85" s="292"/>
      <c r="M85" s="406">
        <f t="shared" si="12"/>
        <v>0</v>
      </c>
      <c r="N85" s="334"/>
      <c r="O85" s="291">
        <f t="shared" si="13"/>
        <v>0</v>
      </c>
      <c r="P85" s="295"/>
      <c r="Q85" s="291">
        <f t="shared" si="14"/>
        <v>0</v>
      </c>
      <c r="R85" s="296">
        <f t="shared" si="15"/>
        <v>0</v>
      </c>
      <c r="S85" s="269"/>
      <c r="T85" s="269"/>
    </row>
    <row r="86" spans="2:20" s="1" customFormat="1" ht="16.5" customHeight="1">
      <c r="B86" s="274" t="s">
        <v>92</v>
      </c>
      <c r="C86" s="141">
        <v>175000</v>
      </c>
      <c r="D86" s="260"/>
      <c r="E86" s="289" t="s">
        <v>78</v>
      </c>
      <c r="F86" s="290"/>
      <c r="G86" s="291">
        <f t="shared" si="9"/>
        <v>0</v>
      </c>
      <c r="H86" s="292"/>
      <c r="I86" s="291">
        <f t="shared" si="10"/>
        <v>0</v>
      </c>
      <c r="J86" s="293"/>
      <c r="K86" s="291">
        <f t="shared" si="11"/>
        <v>0</v>
      </c>
      <c r="L86" s="292"/>
      <c r="M86" s="406">
        <f t="shared" si="12"/>
        <v>0</v>
      </c>
      <c r="N86" s="334"/>
      <c r="O86" s="291">
        <f t="shared" si="13"/>
        <v>0</v>
      </c>
      <c r="P86" s="295"/>
      <c r="Q86" s="291">
        <f t="shared" si="14"/>
        <v>0</v>
      </c>
      <c r="R86" s="296">
        <f t="shared" si="15"/>
        <v>0</v>
      </c>
      <c r="S86" s="269"/>
      <c r="T86" s="269"/>
    </row>
    <row r="87" spans="2:20" s="1" customFormat="1" ht="16.5" customHeight="1">
      <c r="B87" s="274" t="s">
        <v>91</v>
      </c>
      <c r="C87" s="141">
        <v>12000</v>
      </c>
      <c r="D87" s="260"/>
      <c r="E87" s="289" t="s">
        <v>77</v>
      </c>
      <c r="F87" s="290"/>
      <c r="G87" s="291">
        <f t="shared" si="9"/>
        <v>0</v>
      </c>
      <c r="H87" s="292"/>
      <c r="I87" s="291">
        <f t="shared" si="10"/>
        <v>0</v>
      </c>
      <c r="J87" s="293"/>
      <c r="K87" s="291">
        <f t="shared" si="11"/>
        <v>0</v>
      </c>
      <c r="L87" s="292"/>
      <c r="M87" s="406">
        <f t="shared" si="12"/>
        <v>0</v>
      </c>
      <c r="N87" s="290"/>
      <c r="O87" s="291">
        <f t="shared" si="13"/>
        <v>0</v>
      </c>
      <c r="P87" s="295"/>
      <c r="Q87" s="291">
        <f t="shared" si="14"/>
        <v>0</v>
      </c>
      <c r="R87" s="296">
        <f t="shared" si="15"/>
        <v>0</v>
      </c>
      <c r="S87" s="269"/>
      <c r="T87" s="269"/>
    </row>
    <row r="88" spans="2:20" s="1" customFormat="1" ht="16.5" customHeight="1">
      <c r="B88" s="274" t="s">
        <v>90</v>
      </c>
      <c r="C88" s="141">
        <v>25000</v>
      </c>
      <c r="D88" s="260"/>
      <c r="E88" s="289" t="s">
        <v>76</v>
      </c>
      <c r="F88" s="290"/>
      <c r="G88" s="291">
        <f t="shared" si="9"/>
        <v>0</v>
      </c>
      <c r="H88" s="292"/>
      <c r="I88" s="291">
        <f t="shared" si="10"/>
        <v>0</v>
      </c>
      <c r="J88" s="293"/>
      <c r="K88" s="291">
        <f t="shared" si="11"/>
        <v>0</v>
      </c>
      <c r="L88" s="292"/>
      <c r="M88" s="406">
        <f t="shared" si="12"/>
        <v>0</v>
      </c>
      <c r="N88" s="334"/>
      <c r="O88" s="291">
        <f t="shared" si="13"/>
        <v>0</v>
      </c>
      <c r="P88" s="295"/>
      <c r="Q88" s="291">
        <f t="shared" si="14"/>
        <v>0</v>
      </c>
      <c r="R88" s="296">
        <f t="shared" si="15"/>
        <v>0</v>
      </c>
      <c r="S88" s="269"/>
      <c r="T88" s="269"/>
    </row>
    <row r="89" spans="2:20" s="1" customFormat="1" ht="16.5" customHeight="1">
      <c r="B89" s="297" t="s">
        <v>89</v>
      </c>
      <c r="C89" s="298">
        <v>92</v>
      </c>
      <c r="D89" s="260"/>
      <c r="E89" s="289" t="s">
        <v>75</v>
      </c>
      <c r="F89" s="290"/>
      <c r="G89" s="291">
        <f t="shared" si="9"/>
        <v>0</v>
      </c>
      <c r="H89" s="292"/>
      <c r="I89" s="291">
        <f t="shared" si="10"/>
        <v>0</v>
      </c>
      <c r="J89" s="293"/>
      <c r="K89" s="291">
        <f t="shared" si="11"/>
        <v>0</v>
      </c>
      <c r="L89" s="292"/>
      <c r="M89" s="406">
        <f t="shared" si="12"/>
        <v>0</v>
      </c>
      <c r="N89" s="334"/>
      <c r="O89" s="291">
        <f t="shared" si="13"/>
        <v>0</v>
      </c>
      <c r="P89" s="295"/>
      <c r="Q89" s="291">
        <f t="shared" si="14"/>
        <v>0</v>
      </c>
      <c r="R89" s="296">
        <f t="shared" si="15"/>
        <v>0</v>
      </c>
      <c r="S89" s="269"/>
      <c r="T89" s="269"/>
    </row>
    <row r="90" spans="2:20" s="1" customFormat="1" ht="16.5" customHeight="1">
      <c r="B90" s="299" t="s">
        <v>88</v>
      </c>
      <c r="C90" s="300"/>
      <c r="D90" s="260"/>
      <c r="E90" s="289" t="s">
        <v>74</v>
      </c>
      <c r="F90" s="290"/>
      <c r="G90" s="291">
        <f t="shared" si="9"/>
        <v>0</v>
      </c>
      <c r="H90" s="292"/>
      <c r="I90" s="291">
        <f t="shared" si="10"/>
        <v>0</v>
      </c>
      <c r="J90" s="293"/>
      <c r="K90" s="291">
        <f t="shared" si="11"/>
        <v>0</v>
      </c>
      <c r="L90" s="292"/>
      <c r="M90" s="406">
        <f t="shared" si="12"/>
        <v>0</v>
      </c>
      <c r="N90" s="334"/>
      <c r="O90" s="291">
        <f t="shared" si="13"/>
        <v>0</v>
      </c>
      <c r="P90" s="295"/>
      <c r="Q90" s="291">
        <f t="shared" si="14"/>
        <v>0</v>
      </c>
      <c r="R90" s="296">
        <f t="shared" si="15"/>
        <v>0</v>
      </c>
      <c r="S90" s="269"/>
      <c r="T90" s="269"/>
    </row>
    <row r="91" spans="2:20" s="1" customFormat="1" ht="16.5" customHeight="1">
      <c r="B91" s="421" t="s">
        <v>87</v>
      </c>
      <c r="C91" s="422">
        <v>1</v>
      </c>
      <c r="D91" s="260"/>
      <c r="E91" s="303"/>
      <c r="F91" s="304"/>
      <c r="G91" s="305"/>
      <c r="H91" s="306"/>
      <c r="I91" s="307"/>
      <c r="J91" s="308"/>
      <c r="K91" s="307"/>
      <c r="L91" s="306"/>
      <c r="M91" s="307"/>
      <c r="N91" s="304"/>
      <c r="O91" s="307"/>
      <c r="P91" s="306"/>
      <c r="Q91" s="307"/>
      <c r="R91" s="309"/>
      <c r="S91" s="269"/>
      <c r="T91" s="269"/>
    </row>
    <row r="92" spans="2:20" s="1" customFormat="1" ht="16.5" customHeight="1" thickBot="1">
      <c r="B92" s="421" t="s">
        <v>86</v>
      </c>
      <c r="C92" s="421">
        <f t="shared" ref="C92:C102" si="16">SUM(C91+(C91*$B$5))</f>
        <v>1</v>
      </c>
      <c r="D92" s="260"/>
      <c r="E92" s="310" t="s">
        <v>85</v>
      </c>
      <c r="F92" s="311"/>
      <c r="G92" s="312">
        <f>SUM(G79:G90)</f>
        <v>0</v>
      </c>
      <c r="H92" s="313"/>
      <c r="I92" s="312">
        <f>SUM(I79:I90)</f>
        <v>0</v>
      </c>
      <c r="J92" s="314"/>
      <c r="K92" s="312">
        <f>SUM(K79:K90)</f>
        <v>0</v>
      </c>
      <c r="L92" s="313"/>
      <c r="M92" s="312">
        <f>SUM(M79:M90)</f>
        <v>0</v>
      </c>
      <c r="N92" s="315"/>
      <c r="O92" s="312">
        <f>SUM(O79:O90)</f>
        <v>0</v>
      </c>
      <c r="P92" s="313"/>
      <c r="Q92" s="312">
        <f>SUM(Q79:Q90)</f>
        <v>0</v>
      </c>
      <c r="R92" s="316">
        <f>SUM(R79:R90)</f>
        <v>0</v>
      </c>
      <c r="S92" s="269"/>
      <c r="T92" s="269"/>
    </row>
    <row r="93" spans="2:20" s="1" customFormat="1" ht="16.5" customHeight="1" thickTop="1" thickBot="1">
      <c r="B93" s="421" t="s">
        <v>84</v>
      </c>
      <c r="C93" s="421">
        <f t="shared" si="16"/>
        <v>1</v>
      </c>
      <c r="D93" s="269"/>
      <c r="E93" s="317"/>
      <c r="F93" s="318"/>
      <c r="G93" s="319"/>
      <c r="H93" s="320"/>
      <c r="I93" s="319"/>
      <c r="J93" s="321"/>
      <c r="K93" s="319"/>
      <c r="L93" s="320"/>
      <c r="M93" s="319"/>
      <c r="N93" s="318"/>
      <c r="O93" s="319"/>
      <c r="P93" s="320"/>
      <c r="Q93" s="319"/>
      <c r="R93" s="323"/>
      <c r="S93" s="269"/>
      <c r="T93" s="269"/>
    </row>
    <row r="94" spans="2:20" s="1" customFormat="1" ht="16.5" customHeight="1">
      <c r="B94" s="421" t="s">
        <v>83</v>
      </c>
      <c r="C94" s="423">
        <f t="shared" si="16"/>
        <v>1</v>
      </c>
      <c r="D94" s="269"/>
      <c r="E94" s="269"/>
      <c r="F94" s="335"/>
      <c r="G94" s="269"/>
      <c r="H94" s="326"/>
      <c r="I94" s="269"/>
      <c r="J94" s="326"/>
      <c r="K94" s="269"/>
      <c r="L94" s="326"/>
      <c r="M94" s="269"/>
      <c r="N94" s="326"/>
      <c r="O94" s="269"/>
      <c r="P94" s="326"/>
      <c r="Q94" s="269"/>
      <c r="R94" s="269"/>
      <c r="S94" s="269"/>
      <c r="T94" s="269"/>
    </row>
    <row r="95" spans="2:20" s="1" customFormat="1" ht="16.5" customHeight="1">
      <c r="B95" s="421" t="s">
        <v>82</v>
      </c>
      <c r="C95" s="423">
        <f t="shared" si="16"/>
        <v>1</v>
      </c>
      <c r="D95" s="269"/>
      <c r="E95" s="269" t="s">
        <v>124</v>
      </c>
      <c r="F95" s="335"/>
      <c r="G95" s="269"/>
      <c r="H95" s="326"/>
      <c r="I95" s="269"/>
      <c r="J95" s="326"/>
      <c r="K95" s="269"/>
      <c r="L95" s="326"/>
      <c r="M95" s="269"/>
      <c r="N95" s="326"/>
      <c r="O95" s="269"/>
      <c r="P95" s="326"/>
      <c r="Q95" s="269"/>
      <c r="R95" s="269"/>
      <c r="S95" s="269"/>
      <c r="T95" s="269"/>
    </row>
    <row r="96" spans="2:20" s="1" customFormat="1" ht="16.5" customHeight="1">
      <c r="B96" s="421" t="s">
        <v>80</v>
      </c>
      <c r="C96" s="423">
        <f t="shared" si="16"/>
        <v>1</v>
      </c>
      <c r="D96" s="269"/>
      <c r="E96" s="269"/>
      <c r="F96" s="335"/>
      <c r="G96" s="269"/>
      <c r="H96" s="326"/>
      <c r="I96" s="269"/>
      <c r="J96" s="326"/>
      <c r="K96" s="269"/>
      <c r="L96" s="326"/>
      <c r="M96" s="269"/>
      <c r="N96" s="326"/>
      <c r="O96" s="269"/>
      <c r="P96" s="326"/>
      <c r="Q96" s="269"/>
      <c r="R96" s="269"/>
      <c r="S96" s="269"/>
      <c r="T96" s="269"/>
    </row>
    <row r="97" spans="2:20" s="1" customFormat="1" ht="16.5" customHeight="1">
      <c r="B97" s="421" t="s">
        <v>79</v>
      </c>
      <c r="C97" s="423">
        <f t="shared" si="16"/>
        <v>1</v>
      </c>
      <c r="D97" s="269"/>
      <c r="E97" s="413" t="s">
        <v>291</v>
      </c>
      <c r="F97" s="414"/>
      <c r="G97" s="415"/>
      <c r="H97" s="416"/>
      <c r="I97" s="413"/>
      <c r="J97" s="417"/>
      <c r="K97" s="413"/>
      <c r="L97" s="417"/>
      <c r="M97" s="413"/>
      <c r="N97" s="417"/>
      <c r="O97" s="413"/>
      <c r="P97" s="326"/>
      <c r="Q97" s="269"/>
      <c r="R97" s="269"/>
      <c r="S97" s="269"/>
      <c r="T97" s="269"/>
    </row>
    <row r="98" spans="2:20" s="1" customFormat="1" ht="16.5" customHeight="1">
      <c r="B98" s="421" t="s">
        <v>78</v>
      </c>
      <c r="C98" s="423">
        <f t="shared" si="16"/>
        <v>1</v>
      </c>
      <c r="D98" s="269"/>
      <c r="E98" s="418" t="s">
        <v>292</v>
      </c>
      <c r="F98" s="419"/>
      <c r="G98" s="418"/>
      <c r="H98" s="420"/>
      <c r="I98" s="269"/>
      <c r="J98" s="326"/>
      <c r="K98" s="269"/>
      <c r="L98" s="326"/>
      <c r="M98" s="269"/>
      <c r="N98" s="326"/>
      <c r="O98" s="269"/>
      <c r="P98" s="326"/>
      <c r="Q98" s="269"/>
      <c r="R98" s="269"/>
      <c r="S98" s="269"/>
      <c r="T98" s="269"/>
    </row>
    <row r="99" spans="2:20" s="1" customFormat="1" ht="16.5" customHeight="1">
      <c r="B99" s="421" t="s">
        <v>77</v>
      </c>
      <c r="C99" s="423">
        <f t="shared" si="16"/>
        <v>1</v>
      </c>
      <c r="D99" s="269"/>
      <c r="E99" s="269"/>
      <c r="F99" s="335"/>
      <c r="G99" s="269"/>
      <c r="H99" s="326"/>
      <c r="I99" s="269"/>
      <c r="J99" s="326"/>
      <c r="K99" s="269"/>
      <c r="L99" s="326"/>
      <c r="M99" s="269"/>
      <c r="N99" s="326"/>
      <c r="O99" s="269"/>
      <c r="P99" s="326"/>
      <c r="Q99" s="269"/>
      <c r="R99" s="269"/>
      <c r="S99" s="269"/>
      <c r="T99" s="269"/>
    </row>
    <row r="100" spans="2:20" s="1" customFormat="1" ht="16.5" customHeight="1">
      <c r="B100" s="421" t="s">
        <v>76</v>
      </c>
      <c r="C100" s="423">
        <f t="shared" si="16"/>
        <v>1</v>
      </c>
      <c r="D100" s="269"/>
      <c r="E100" s="424" t="s">
        <v>294</v>
      </c>
      <c r="F100" s="425"/>
      <c r="G100" s="424"/>
      <c r="H100" s="426"/>
      <c r="I100" s="424" t="s">
        <v>295</v>
      </c>
      <c r="J100" s="326"/>
      <c r="K100" s="269"/>
      <c r="L100" s="326"/>
      <c r="M100" s="269"/>
      <c r="N100" s="326"/>
      <c r="O100" s="269"/>
      <c r="P100" s="326"/>
      <c r="Q100" s="269"/>
      <c r="R100" s="269"/>
      <c r="S100" s="269"/>
      <c r="T100" s="269"/>
    </row>
    <row r="101" spans="2:20" s="1" customFormat="1" ht="16.5" customHeight="1">
      <c r="B101" s="421" t="s">
        <v>75</v>
      </c>
      <c r="C101" s="423">
        <f t="shared" si="16"/>
        <v>1</v>
      </c>
      <c r="D101" s="269"/>
      <c r="E101" s="424" t="s">
        <v>296</v>
      </c>
      <c r="F101" s="425"/>
      <c r="G101" s="424"/>
      <c r="H101" s="426"/>
      <c r="I101" s="424"/>
      <c r="J101" s="384"/>
      <c r="K101" s="269"/>
      <c r="L101" s="326"/>
      <c r="M101" s="269"/>
      <c r="N101" s="326"/>
      <c r="O101" s="269"/>
      <c r="P101" s="326"/>
      <c r="Q101" s="269"/>
      <c r="R101" s="269"/>
      <c r="S101" s="269"/>
      <c r="T101" s="269"/>
    </row>
    <row r="102" spans="2:20" s="1" customFormat="1" ht="16.5" customHeight="1">
      <c r="B102" s="421" t="s">
        <v>74</v>
      </c>
      <c r="C102" s="423">
        <f t="shared" si="16"/>
        <v>1</v>
      </c>
      <c r="D102" s="269"/>
      <c r="E102" s="269"/>
      <c r="F102" s="335"/>
      <c r="G102" s="269"/>
      <c r="H102" s="326"/>
      <c r="I102" s="269"/>
      <c r="J102" s="326"/>
      <c r="K102" s="269"/>
      <c r="L102" s="326"/>
      <c r="M102" s="269"/>
      <c r="N102" s="326"/>
      <c r="O102" s="269"/>
      <c r="P102" s="326"/>
      <c r="Q102" s="269"/>
      <c r="R102" s="269"/>
      <c r="S102" s="269"/>
      <c r="T102" s="269"/>
    </row>
  </sheetData>
  <mergeCells count="20">
    <mergeCell ref="E73:R73"/>
    <mergeCell ref="E74:R74"/>
    <mergeCell ref="E75:R75"/>
    <mergeCell ref="E76:R76"/>
    <mergeCell ref="F77:G77"/>
    <mergeCell ref="H77:I77"/>
    <mergeCell ref="J77:K77"/>
    <mergeCell ref="L77:M77"/>
    <mergeCell ref="N77:O77"/>
    <mergeCell ref="P77:Q77"/>
    <mergeCell ref="E42:R42"/>
    <mergeCell ref="E43:R43"/>
    <mergeCell ref="E44:R44"/>
    <mergeCell ref="E45:R45"/>
    <mergeCell ref="F46:G46"/>
    <mergeCell ref="H46:I46"/>
    <mergeCell ref="J46:K46"/>
    <mergeCell ref="L46:M46"/>
    <mergeCell ref="N46:O46"/>
    <mergeCell ref="P46:Q46"/>
  </mergeCells>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manualMax="0" manualMin="0"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'301 summary'!C39:N39</xm:f>
              <xm:sqref>P39</xm:sqref>
            </x14:sparkline>
          </x14:sparklines>
        </x14:sparklineGroup>
        <x14:sparklineGroup manualMax="0" manualMin="0" displayEmptyCellsAs="gap" markers="1" last="1">
          <x14:colorSeries rgb="FF323232"/>
          <x14:colorNegative rgb="FFD00000"/>
          <x14:colorAxis rgb="FF000000"/>
          <x14:colorMarkers rgb="FFD00000"/>
          <x14:colorFirst rgb="FFD00000"/>
          <x14:colorLast rgb="FFD00000"/>
          <x14:colorHigh rgb="FFD00000"/>
          <x14:colorLow rgb="FFD00000"/>
          <x14:sparklines>
            <x14:sparkline>
              <xm:f>'301 summary'!C19:N19</xm:f>
              <xm:sqref>P19</xm:sqref>
            </x14:sparkline>
            <x14:sparkline>
              <xm:f>'301 summary'!C20:N20</xm:f>
              <xm:sqref>P20</xm:sqref>
            </x14:sparkline>
            <x14:sparkline>
              <xm:f>'301 summary'!C21:N21</xm:f>
              <xm:sqref>P21</xm:sqref>
            </x14:sparkline>
            <x14:sparkline>
              <xm:f>'301 summary'!C22:N22</xm:f>
              <xm:sqref>P22</xm:sqref>
            </x14:sparkline>
            <x14:sparkline>
              <xm:f>'301 summary'!C23:N23</xm:f>
              <xm:sqref>P23</xm:sqref>
            </x14:sparkline>
            <x14:sparkline>
              <xm:f>'301 summary'!C24:N24</xm:f>
              <xm:sqref>P24</xm:sqref>
            </x14:sparkline>
            <x14:sparkline>
              <xm:f>'301 summary'!C25:N25</xm:f>
              <xm:sqref>P25</xm:sqref>
            </x14:sparkline>
            <x14:sparkline>
              <xm:f>'301 summary'!C26:N26</xm:f>
              <xm:sqref>P26</xm:sqref>
            </x14:sparkline>
            <x14:sparkline>
              <xm:f>'301 summary'!C27:N27</xm:f>
              <xm:sqref>P27</xm:sqref>
            </x14:sparkline>
            <x14:sparkline>
              <xm:f>'301 summary'!C28:N28</xm:f>
              <xm:sqref>P28</xm:sqref>
            </x14:sparkline>
            <x14:sparkline>
              <xm:f>'301 summary'!C29:N29</xm:f>
              <xm:sqref>P29</xm:sqref>
            </x14:sparkline>
            <x14:sparkline>
              <xm:f>'301 summary'!C30:N30</xm:f>
              <xm:sqref>P30</xm:sqref>
            </x14:sparkline>
            <x14:sparkline>
              <xm:f>'301 summary'!C31:N31</xm:f>
              <xm:sqref>P31</xm:sqref>
            </x14:sparkline>
            <x14:sparkline>
              <xm:f>'301 summary'!C32:N32</xm:f>
              <xm:sqref>P32</xm:sqref>
            </x14:sparkline>
            <x14:sparkline>
              <xm:f>'301 summary'!C33:N33</xm:f>
              <xm:sqref>P33</xm:sqref>
            </x14:sparkline>
            <x14:sparkline>
              <xm:f>'301 summary'!C34:N34</xm:f>
              <xm:sqref>P34</xm:sqref>
            </x14:sparkline>
            <x14:sparkline>
              <xm:f>'301 summary'!C35:N35</xm:f>
              <xm:sqref>P35</xm:sqref>
            </x14:sparkline>
            <x14:sparkline>
              <xm:f>'301 summary'!C36:N36</xm:f>
              <xm:sqref>P36</xm:sqref>
            </x14:sparkline>
            <x14:sparkline>
              <xm:f>'301 summary'!C37:N37</xm:f>
              <xm:sqref>P37</xm:sqref>
            </x14:sparkline>
            <x14:sparkline>
              <xm:f>'301 summary'!C38:N38</xm:f>
              <xm:sqref>P38</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195"/>
  <sheetViews>
    <sheetView showGridLines="0" topLeftCell="A31" zoomScale="115" zoomScaleNormal="115" workbookViewId="0">
      <selection activeCell="F47" sqref="F47"/>
    </sheetView>
  </sheetViews>
  <sheetFormatPr defaultColWidth="9.140625" defaultRowHeight="16.5" customHeight="1"/>
  <cols>
    <col min="1" max="1" width="3.140625" style="1" customWidth="1"/>
    <col min="2" max="4" width="12.28515625" style="1" customWidth="1"/>
    <col min="5" max="5" width="15.7109375" style="1" customWidth="1"/>
    <col min="6" max="6" width="41.5703125"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297</v>
      </c>
      <c r="G4" s="185" t="s">
        <v>45</v>
      </c>
    </row>
    <row r="5" spans="2:8" s="1" customFormat="1" ht="16.5" customHeight="1">
      <c r="B5" s="189"/>
      <c r="C5" s="190"/>
      <c r="D5" s="52"/>
      <c r="E5" s="190"/>
      <c r="F5" s="190"/>
      <c r="G5" s="191"/>
    </row>
    <row r="6" spans="2:8" s="1" customFormat="1" ht="16.5" customHeight="1">
      <c r="B6" s="189"/>
      <c r="C6" s="190"/>
      <c r="D6" s="52"/>
      <c r="E6" s="190"/>
      <c r="F6" s="190"/>
      <c r="G6" s="191"/>
    </row>
    <row r="7" spans="2:8" s="1" customFormat="1" ht="16.5" customHeight="1">
      <c r="B7" s="189"/>
      <c r="C7" s="190"/>
      <c r="D7" s="52"/>
      <c r="E7" s="190"/>
      <c r="F7" s="190"/>
      <c r="G7" s="191"/>
    </row>
    <row r="8" spans="2:8" s="1" customFormat="1" ht="16.5" customHeight="1">
      <c r="B8" s="189"/>
      <c r="C8" s="190"/>
      <c r="D8" s="52"/>
      <c r="E8" s="190"/>
      <c r="F8" s="190"/>
      <c r="G8" s="191"/>
    </row>
    <row r="9" spans="2:8" s="1" customFormat="1" ht="16.5" customHeight="1">
      <c r="B9" s="189"/>
      <c r="C9" s="190"/>
      <c r="D9" s="52"/>
      <c r="E9" s="190"/>
      <c r="F9" s="190"/>
      <c r="G9" s="191"/>
    </row>
    <row r="10" spans="2:8" s="1" customFormat="1" ht="16.5" customHeight="1">
      <c r="B10" s="189"/>
      <c r="C10" s="190"/>
      <c r="D10" s="52"/>
      <c r="E10" s="190"/>
      <c r="F10" s="190"/>
      <c r="G10" s="191"/>
    </row>
    <row r="11" spans="2:8" s="1" customFormat="1" ht="16.5" customHeight="1">
      <c r="B11" s="189"/>
      <c r="C11" s="190"/>
      <c r="D11" s="52"/>
      <c r="E11" s="190"/>
      <c r="F11" s="190"/>
      <c r="G11" s="191"/>
    </row>
    <row r="12" spans="2:8" s="1" customFormat="1" ht="16.5" customHeight="1">
      <c r="B12" s="189"/>
      <c r="C12" s="190"/>
      <c r="D12" s="52"/>
      <c r="E12" s="190"/>
      <c r="F12" s="190"/>
      <c r="G12" s="191"/>
    </row>
    <row r="13" spans="2:8" s="1" customFormat="1" ht="16.5" customHeight="1">
      <c r="B13" s="189"/>
      <c r="C13" s="190"/>
      <c r="D13" s="52"/>
      <c r="E13" s="190"/>
      <c r="F13" s="190"/>
      <c r="G13" s="191"/>
    </row>
    <row r="14" spans="2:8" s="1" customFormat="1" ht="16.5" customHeight="1">
      <c r="B14" s="189"/>
      <c r="C14" s="190"/>
      <c r="D14" s="52"/>
      <c r="E14" s="190"/>
      <c r="F14" s="190"/>
      <c r="G14" s="191"/>
    </row>
    <row r="15" spans="2:8" s="1" customFormat="1" ht="16.5" customHeight="1">
      <c r="B15" s="189"/>
      <c r="C15" s="190"/>
      <c r="D15" s="52"/>
      <c r="E15" s="190"/>
      <c r="F15" s="190"/>
      <c r="G15" s="191"/>
    </row>
    <row r="16" spans="2:8" s="1" customFormat="1" ht="16.5" customHeight="1">
      <c r="B16" s="189"/>
      <c r="C16" s="190"/>
      <c r="D16" s="52"/>
      <c r="E16" s="190"/>
      <c r="F16" s="190"/>
      <c r="G16" s="191"/>
    </row>
    <row r="17" spans="2:7" s="1" customFormat="1" ht="16.5" customHeight="1">
      <c r="B17" s="427" t="s">
        <v>1</v>
      </c>
      <c r="C17" s="428"/>
      <c r="D17" s="429">
        <f>SUBTOTAL(109,ExpJul42[Amount])</f>
        <v>0</v>
      </c>
      <c r="E17" s="428"/>
      <c r="F17" s="428"/>
      <c r="G17" s="427"/>
    </row>
    <row r="18" spans="2:7" s="1" customFormat="1" ht="16.5" customHeight="1">
      <c r="B18" s="195"/>
      <c r="C18" s="196"/>
      <c r="D18" s="197"/>
      <c r="E18" s="196"/>
      <c r="F18" s="196"/>
      <c r="G18" s="196"/>
    </row>
    <row r="19" spans="2:7" s="1" customFormat="1" ht="27" customHeight="1">
      <c r="B19" s="205" t="s">
        <v>52</v>
      </c>
      <c r="C19" s="117"/>
      <c r="D19" s="117"/>
      <c r="E19" s="117"/>
      <c r="F19" s="117"/>
      <c r="G19" s="117"/>
    </row>
    <row r="20" spans="2:7" s="1" customFormat="1" ht="16.5" customHeight="1">
      <c r="B20" s="117"/>
      <c r="C20" s="117"/>
      <c r="D20" s="117"/>
      <c r="E20" s="117"/>
      <c r="F20" s="117"/>
      <c r="G20" s="117"/>
    </row>
    <row r="21" spans="2:7" s="1" customFormat="1" ht="16.5" customHeight="1">
      <c r="B21" s="206" t="s">
        <v>50</v>
      </c>
      <c r="C21" s="207" t="s">
        <v>71</v>
      </c>
      <c r="D21" s="206" t="s">
        <v>48</v>
      </c>
      <c r="E21" s="207" t="s">
        <v>47</v>
      </c>
      <c r="F21" s="207" t="s">
        <v>297</v>
      </c>
      <c r="G21" s="206" t="s">
        <v>45</v>
      </c>
    </row>
    <row r="22" spans="2:7" s="1" customFormat="1" ht="16.5" customHeight="1">
      <c r="B22" s="25"/>
      <c r="C22" s="51"/>
      <c r="D22" s="211"/>
      <c r="E22" s="51"/>
      <c r="F22" s="51"/>
      <c r="G22" s="27"/>
    </row>
    <row r="23" spans="2:7" s="1" customFormat="1" ht="16.5" customHeight="1">
      <c r="B23" s="25"/>
      <c r="C23" s="51"/>
      <c r="D23" s="211"/>
      <c r="E23" s="51"/>
      <c r="F23" s="51"/>
      <c r="G23" s="27"/>
    </row>
    <row r="24" spans="2:7" s="1" customFormat="1" ht="16.5" customHeight="1">
      <c r="B24" s="25"/>
      <c r="C24" s="51"/>
      <c r="D24" s="211"/>
      <c r="E24" s="51"/>
      <c r="F24" s="51"/>
      <c r="G24" s="27"/>
    </row>
    <row r="25" spans="2:7" s="1" customFormat="1" ht="16.5" customHeight="1">
      <c r="B25" s="25"/>
      <c r="C25" s="51"/>
      <c r="D25" s="211"/>
      <c r="E25" s="51"/>
      <c r="F25" s="51"/>
      <c r="G25" s="27"/>
    </row>
    <row r="26" spans="2:7" s="1" customFormat="1" ht="16.5" customHeight="1">
      <c r="B26" s="25"/>
      <c r="C26" s="51"/>
      <c r="D26" s="211"/>
      <c r="E26" s="51"/>
      <c r="F26" s="51"/>
      <c r="G26" s="27"/>
    </row>
    <row r="27" spans="2:7" s="1" customFormat="1" ht="16.5" customHeight="1">
      <c r="B27" s="25"/>
      <c r="C27" s="51"/>
      <c r="D27" s="211"/>
      <c r="E27" s="51"/>
      <c r="F27" s="51"/>
      <c r="G27" s="27"/>
    </row>
    <row r="28" spans="2:7" s="1" customFormat="1" ht="16.5" customHeight="1">
      <c r="B28" s="25"/>
      <c r="C28" s="51"/>
      <c r="D28" s="211"/>
      <c r="E28" s="51"/>
      <c r="F28" s="51"/>
      <c r="G28" s="27"/>
    </row>
    <row r="29" spans="2:7" s="1" customFormat="1" ht="16.5" customHeight="1">
      <c r="B29" s="25"/>
      <c r="C29" s="51"/>
      <c r="D29" s="211"/>
      <c r="E29" s="51"/>
      <c r="F29" s="51"/>
      <c r="G29" s="27"/>
    </row>
    <row r="30" spans="2:7" s="1" customFormat="1" ht="16.5" customHeight="1">
      <c r="B30" s="25"/>
      <c r="C30" s="51"/>
      <c r="D30" s="211"/>
      <c r="E30" s="51"/>
      <c r="F30" s="51"/>
      <c r="G30" s="27"/>
    </row>
    <row r="31" spans="2:7" s="1" customFormat="1" ht="16.5" customHeight="1">
      <c r="B31" s="25"/>
      <c r="C31" s="51"/>
      <c r="D31" s="211"/>
      <c r="E31" s="51"/>
      <c r="F31" s="51"/>
      <c r="G31" s="27"/>
    </row>
    <row r="32" spans="2:7" s="1" customFormat="1" ht="16.5" customHeight="1">
      <c r="B32" s="25"/>
      <c r="C32" s="51"/>
      <c r="D32" s="211"/>
      <c r="E32" s="51"/>
      <c r="F32" s="51"/>
      <c r="G32" s="27"/>
    </row>
    <row r="33" spans="2:7" s="1" customFormat="1" ht="16.5" customHeight="1">
      <c r="B33" s="212" t="s">
        <v>1</v>
      </c>
      <c r="C33" s="213"/>
      <c r="D33" s="214">
        <f>SUBTOTAL(109,ExpAug43[Amount])</f>
        <v>0</v>
      </c>
      <c r="E33" s="213"/>
      <c r="F33" s="213"/>
      <c r="G33" s="212"/>
    </row>
    <row r="35" spans="2:7" s="1" customFormat="1" ht="24.75" customHeight="1">
      <c r="B35" s="205" t="s">
        <v>56</v>
      </c>
      <c r="C35" s="117"/>
      <c r="D35" s="117"/>
      <c r="E35" s="117"/>
      <c r="F35" s="117"/>
      <c r="G35" s="117"/>
    </row>
    <row r="36" spans="2:7" s="1" customFormat="1" ht="16.5" customHeight="1">
      <c r="B36" s="117"/>
      <c r="C36" s="117"/>
      <c r="D36" s="117"/>
      <c r="E36" s="117"/>
      <c r="F36" s="117"/>
      <c r="G36" s="117"/>
    </row>
    <row r="37" spans="2:7" s="1" customFormat="1" ht="16.5" customHeight="1">
      <c r="B37" s="206" t="s">
        <v>50</v>
      </c>
      <c r="C37" s="207" t="s">
        <v>71</v>
      </c>
      <c r="D37" s="206" t="s">
        <v>48</v>
      </c>
      <c r="E37" s="207" t="s">
        <v>47</v>
      </c>
      <c r="F37" s="207" t="s">
        <v>297</v>
      </c>
      <c r="G37" s="206" t="s">
        <v>45</v>
      </c>
    </row>
    <row r="38" spans="2:7" s="1" customFormat="1" ht="16.5" customHeight="1">
      <c r="B38" s="25">
        <v>42994</v>
      </c>
      <c r="C38" s="51">
        <v>10802</v>
      </c>
      <c r="D38" s="211">
        <v>11.3</v>
      </c>
      <c r="E38" s="51" t="s">
        <v>15</v>
      </c>
      <c r="F38" s="51" t="s">
        <v>298</v>
      </c>
      <c r="G38" s="27" t="s">
        <v>299</v>
      </c>
    </row>
    <row r="39" spans="2:7" s="1" customFormat="1" ht="16.5" customHeight="1">
      <c r="B39" s="25">
        <v>42994</v>
      </c>
      <c r="C39" s="51">
        <v>10802</v>
      </c>
      <c r="D39" s="211">
        <v>40</v>
      </c>
      <c r="E39" s="51" t="s">
        <v>2</v>
      </c>
      <c r="F39" s="51" t="s">
        <v>256</v>
      </c>
      <c r="G39" s="27"/>
    </row>
    <row r="40" spans="2:7" s="1" customFormat="1" ht="16.5" customHeight="1">
      <c r="B40" s="25">
        <v>42994</v>
      </c>
      <c r="C40" s="51">
        <v>10803</v>
      </c>
      <c r="D40" s="211">
        <v>170.98</v>
      </c>
      <c r="E40" s="51" t="s">
        <v>3</v>
      </c>
      <c r="F40" s="51" t="s">
        <v>300</v>
      </c>
      <c r="G40" s="27" t="s">
        <v>301</v>
      </c>
    </row>
    <row r="41" spans="2:7" s="1" customFormat="1" ht="16.5" customHeight="1">
      <c r="B41" s="25">
        <v>42994</v>
      </c>
      <c r="C41" s="51">
        <v>10803</v>
      </c>
      <c r="D41" s="211">
        <v>20.95</v>
      </c>
      <c r="E41" s="51" t="s">
        <v>171</v>
      </c>
      <c r="F41" s="51" t="s">
        <v>302</v>
      </c>
      <c r="G41" s="27" t="s">
        <v>303</v>
      </c>
    </row>
    <row r="42" spans="2:7" s="1" customFormat="1" ht="16.5" customHeight="1">
      <c r="B42" s="25">
        <v>42994</v>
      </c>
      <c r="C42" s="51">
        <v>10803</v>
      </c>
      <c r="D42" s="211">
        <v>15.63</v>
      </c>
      <c r="E42" s="51" t="s">
        <v>3</v>
      </c>
      <c r="F42" s="51" t="s">
        <v>304</v>
      </c>
      <c r="G42" s="27" t="s">
        <v>305</v>
      </c>
    </row>
    <row r="43" spans="2:7" s="1" customFormat="1" ht="16.5" customHeight="1">
      <c r="B43" s="25">
        <v>42994</v>
      </c>
      <c r="C43" s="51">
        <v>10803</v>
      </c>
      <c r="D43" s="211">
        <v>40</v>
      </c>
      <c r="E43" s="51" t="s">
        <v>2</v>
      </c>
      <c r="F43" s="51" t="s">
        <v>256</v>
      </c>
      <c r="G43" s="27"/>
    </row>
    <row r="44" spans="2:7" s="1" customFormat="1" ht="16.5" customHeight="1">
      <c r="B44" s="25">
        <v>42999</v>
      </c>
      <c r="C44" s="51">
        <v>10808</v>
      </c>
      <c r="D44" s="211">
        <v>418.88</v>
      </c>
      <c r="E44" s="51" t="s">
        <v>16</v>
      </c>
      <c r="F44" s="51" t="s">
        <v>306</v>
      </c>
      <c r="G44" s="27" t="s">
        <v>307</v>
      </c>
    </row>
    <row r="45" spans="2:7" s="1" customFormat="1" ht="16.5" customHeight="1">
      <c r="B45" s="25">
        <v>42999</v>
      </c>
      <c r="C45" s="51">
        <v>10808</v>
      </c>
      <c r="D45" s="211">
        <v>20</v>
      </c>
      <c r="E45" s="51" t="s">
        <v>2</v>
      </c>
      <c r="F45" s="51" t="s">
        <v>178</v>
      </c>
      <c r="G45" s="27"/>
    </row>
    <row r="46" spans="2:7" s="1" customFormat="1" ht="16.5" customHeight="1">
      <c r="B46" s="25">
        <v>43006</v>
      </c>
      <c r="C46" s="51">
        <v>10831</v>
      </c>
      <c r="D46" s="211">
        <v>7.83</v>
      </c>
      <c r="E46" s="51" t="s">
        <v>5</v>
      </c>
      <c r="F46" s="51" t="s">
        <v>308</v>
      </c>
      <c r="G46" s="27" t="s">
        <v>309</v>
      </c>
    </row>
    <row r="47" spans="2:7" s="1" customFormat="1" ht="16.5" customHeight="1">
      <c r="B47" s="25">
        <v>43006</v>
      </c>
      <c r="C47" s="51">
        <v>10833</v>
      </c>
      <c r="D47" s="211">
        <v>14.66</v>
      </c>
      <c r="E47" s="51" t="s">
        <v>9</v>
      </c>
      <c r="F47" s="51" t="s">
        <v>310</v>
      </c>
      <c r="G47" s="27" t="s">
        <v>311</v>
      </c>
    </row>
    <row r="48" spans="2:7" s="1" customFormat="1" ht="16.5" customHeight="1">
      <c r="B48" s="337">
        <v>43006</v>
      </c>
      <c r="C48" s="338">
        <v>10833</v>
      </c>
      <c r="D48" s="339">
        <v>42.08</v>
      </c>
      <c r="E48" s="338" t="s">
        <v>9</v>
      </c>
      <c r="F48" s="338" t="s">
        <v>312</v>
      </c>
      <c r="G48" s="340" t="s">
        <v>313</v>
      </c>
    </row>
    <row r="49" spans="2:7" s="1" customFormat="1" ht="16.5" customHeight="1">
      <c r="B49" s="337">
        <v>43006</v>
      </c>
      <c r="C49" s="338">
        <v>10833</v>
      </c>
      <c r="D49" s="339">
        <v>44.96</v>
      </c>
      <c r="E49" s="338" t="s">
        <v>9</v>
      </c>
      <c r="F49" s="338" t="s">
        <v>314</v>
      </c>
      <c r="G49" s="340" t="s">
        <v>315</v>
      </c>
    </row>
    <row r="50" spans="2:7" s="1" customFormat="1" ht="16.5" customHeight="1">
      <c r="B50" s="337">
        <v>43006</v>
      </c>
      <c r="C50" s="338">
        <v>10833</v>
      </c>
      <c r="D50" s="339">
        <v>80</v>
      </c>
      <c r="E50" s="338" t="s">
        <v>2</v>
      </c>
      <c r="F50" s="338" t="s">
        <v>316</v>
      </c>
      <c r="G50" s="340"/>
    </row>
    <row r="51" spans="2:7" s="1" customFormat="1" ht="16.5" customHeight="1">
      <c r="B51" s="337"/>
      <c r="C51" s="338"/>
      <c r="D51" s="339"/>
      <c r="E51" s="338"/>
      <c r="F51" s="338"/>
      <c r="G51" s="340"/>
    </row>
    <row r="52" spans="2:7" s="1" customFormat="1" ht="16.5" customHeight="1">
      <c r="B52" s="212" t="s">
        <v>1</v>
      </c>
      <c r="C52" s="213"/>
      <c r="D52" s="214">
        <f>SUBTOTAL(109,ExpSep44[Amount])</f>
        <v>927.2700000000001</v>
      </c>
      <c r="E52" s="213"/>
      <c r="F52" s="213"/>
      <c r="G52" s="212"/>
    </row>
    <row r="54" spans="2:7" s="1" customFormat="1" ht="25.5" customHeight="1">
      <c r="B54" s="205" t="s">
        <v>70</v>
      </c>
      <c r="C54" s="117"/>
      <c r="D54" s="117"/>
      <c r="E54" s="117"/>
      <c r="F54" s="117"/>
      <c r="G54" s="117"/>
    </row>
    <row r="55" spans="2:7" s="1" customFormat="1" ht="16.5" customHeight="1">
      <c r="B55" s="117"/>
      <c r="C55" s="117"/>
      <c r="D55" s="117"/>
      <c r="E55" s="117"/>
      <c r="F55" s="117"/>
      <c r="G55" s="117"/>
    </row>
    <row r="56" spans="2:7" s="1" customFormat="1" ht="16.5" customHeight="1">
      <c r="B56" s="206" t="s">
        <v>50</v>
      </c>
      <c r="C56" s="207" t="s">
        <v>71</v>
      </c>
      <c r="D56" s="206" t="s">
        <v>48</v>
      </c>
      <c r="E56" s="207" t="s">
        <v>47</v>
      </c>
      <c r="F56" s="207" t="s">
        <v>297</v>
      </c>
      <c r="G56" s="206" t="s">
        <v>45</v>
      </c>
    </row>
    <row r="57" spans="2:7" s="1" customFormat="1" ht="16.5" customHeight="1">
      <c r="B57" s="25">
        <v>43017</v>
      </c>
      <c r="C57" s="51">
        <v>10852</v>
      </c>
      <c r="D57" s="211">
        <v>7.83</v>
      </c>
      <c r="E57" s="51" t="s">
        <v>5</v>
      </c>
      <c r="F57" s="51" t="s">
        <v>317</v>
      </c>
      <c r="G57" s="27" t="s">
        <v>318</v>
      </c>
    </row>
    <row r="58" spans="2:7" s="1" customFormat="1" ht="16.5" customHeight="1">
      <c r="B58" s="25">
        <v>43017</v>
      </c>
      <c r="C58" s="51">
        <v>10852</v>
      </c>
      <c r="D58" s="211">
        <v>10</v>
      </c>
      <c r="E58" s="51" t="s">
        <v>2</v>
      </c>
      <c r="F58" s="51" t="s">
        <v>33</v>
      </c>
      <c r="G58" s="27"/>
    </row>
    <row r="59" spans="2:7" s="1" customFormat="1" ht="16.5" customHeight="1">
      <c r="B59" s="25"/>
      <c r="C59" s="51"/>
      <c r="D59" s="211"/>
      <c r="E59" s="51"/>
      <c r="F59" s="51"/>
      <c r="G59" s="27"/>
    </row>
    <row r="60" spans="2:7" s="1" customFormat="1" ht="16.5" customHeight="1">
      <c r="B60" s="25"/>
      <c r="C60" s="51"/>
      <c r="D60" s="211"/>
      <c r="E60" s="51"/>
      <c r="F60" s="51"/>
      <c r="G60" s="27"/>
    </row>
    <row r="61" spans="2:7" s="1" customFormat="1" ht="16.5" customHeight="1">
      <c r="B61" s="25"/>
      <c r="C61" s="51"/>
      <c r="D61" s="211"/>
      <c r="E61" s="51"/>
      <c r="F61" s="51"/>
      <c r="G61" s="27"/>
    </row>
    <row r="62" spans="2:7" s="1" customFormat="1" ht="16.5" customHeight="1">
      <c r="B62" s="25"/>
      <c r="C62" s="51"/>
      <c r="D62" s="211"/>
      <c r="E62" s="51"/>
      <c r="F62" s="51"/>
      <c r="G62" s="27"/>
    </row>
    <row r="63" spans="2:7" s="1" customFormat="1" ht="16.5" customHeight="1">
      <c r="B63" s="25"/>
      <c r="C63" s="51"/>
      <c r="D63" s="211"/>
      <c r="E63" s="51"/>
      <c r="F63" s="51"/>
      <c r="G63" s="27"/>
    </row>
    <row r="64" spans="2:7" s="1" customFormat="1" ht="16.5" customHeight="1">
      <c r="B64" s="25"/>
      <c r="C64" s="51"/>
      <c r="D64" s="211"/>
      <c r="E64" s="51"/>
      <c r="F64" s="51"/>
      <c r="G64" s="27"/>
    </row>
    <row r="65" spans="2:7" s="1" customFormat="1" ht="16.5" customHeight="1">
      <c r="B65" s="25"/>
      <c r="C65" s="51"/>
      <c r="D65" s="211"/>
      <c r="E65" s="51"/>
      <c r="F65" s="51"/>
      <c r="G65" s="27"/>
    </row>
    <row r="66" spans="2:7" s="1" customFormat="1" ht="16.5" customHeight="1">
      <c r="B66" s="25"/>
      <c r="C66" s="51"/>
      <c r="D66" s="211"/>
      <c r="E66" s="51"/>
      <c r="F66" s="51"/>
      <c r="G66" s="27"/>
    </row>
    <row r="67" spans="2:7" s="1" customFormat="1" ht="16.5" customHeight="1">
      <c r="B67" s="25"/>
      <c r="C67" s="51"/>
      <c r="D67" s="211"/>
      <c r="E67" s="51"/>
      <c r="F67" s="51"/>
      <c r="G67" s="27"/>
    </row>
    <row r="68" spans="2:7" s="1" customFormat="1" ht="16.5" customHeight="1">
      <c r="B68" s="212" t="s">
        <v>1</v>
      </c>
      <c r="C68" s="213"/>
      <c r="D68" s="214">
        <f>SUBTOTAL(109,ExpOct45[Amount])</f>
        <v>17.829999999999998</v>
      </c>
      <c r="E68" s="213"/>
      <c r="F68" s="213"/>
      <c r="G68" s="212"/>
    </row>
    <row r="70" spans="2:7" s="1" customFormat="1" ht="26.25" customHeight="1">
      <c r="B70" s="205" t="s">
        <v>159</v>
      </c>
      <c r="C70" s="117"/>
      <c r="D70" s="117"/>
      <c r="E70" s="117"/>
      <c r="F70" s="117"/>
      <c r="G70" s="117"/>
    </row>
    <row r="71" spans="2:7" s="1" customFormat="1" ht="16.5" customHeight="1">
      <c r="B71" s="117"/>
      <c r="C71" s="117"/>
      <c r="D71" s="117"/>
      <c r="E71" s="117"/>
      <c r="F71" s="117"/>
      <c r="G71" s="117"/>
    </row>
    <row r="72" spans="2:7" s="1" customFormat="1" ht="16.5" customHeight="1">
      <c r="B72" s="206" t="s">
        <v>50</v>
      </c>
      <c r="C72" s="207" t="s">
        <v>71</v>
      </c>
      <c r="D72" s="206" t="s">
        <v>48</v>
      </c>
      <c r="E72" s="207" t="s">
        <v>47</v>
      </c>
      <c r="F72" s="207" t="s">
        <v>161</v>
      </c>
      <c r="G72" s="206" t="s">
        <v>160</v>
      </c>
    </row>
    <row r="73" spans="2:7" s="1" customFormat="1" ht="16.5" customHeight="1">
      <c r="B73" s="25"/>
      <c r="C73" s="51"/>
      <c r="D73" s="211"/>
      <c r="E73" s="51"/>
      <c r="F73" s="51"/>
      <c r="G73" s="27"/>
    </row>
    <row r="74" spans="2:7" s="1" customFormat="1" ht="16.5" customHeight="1">
      <c r="B74" s="25"/>
      <c r="C74" s="51"/>
      <c r="D74" s="211"/>
      <c r="E74" s="51"/>
      <c r="F74" s="51"/>
      <c r="G74" s="27"/>
    </row>
    <row r="75" spans="2:7" s="1" customFormat="1" ht="16.5" customHeight="1">
      <c r="B75" s="25"/>
      <c r="C75" s="51"/>
      <c r="D75" s="211"/>
      <c r="E75" s="51"/>
      <c r="F75" s="51"/>
      <c r="G75" s="27"/>
    </row>
    <row r="76" spans="2:7" s="1" customFormat="1" ht="16.5" customHeight="1">
      <c r="B76" s="25"/>
      <c r="C76" s="51"/>
      <c r="D76" s="211"/>
      <c r="E76" s="51"/>
      <c r="F76" s="51"/>
      <c r="G76" s="27"/>
    </row>
    <row r="77" spans="2:7" s="1" customFormat="1" ht="16.5" customHeight="1">
      <c r="B77" s="25"/>
      <c r="C77" s="51"/>
      <c r="D77" s="211"/>
      <c r="E77" s="51"/>
      <c r="F77" s="51"/>
      <c r="G77" s="27"/>
    </row>
    <row r="78" spans="2:7" s="1" customFormat="1" ht="16.5" customHeight="1">
      <c r="B78" s="25"/>
      <c r="C78" s="51"/>
      <c r="D78" s="211"/>
      <c r="E78" s="51"/>
      <c r="F78" s="51"/>
      <c r="G78" s="27"/>
    </row>
    <row r="79" spans="2:7" s="1" customFormat="1" ht="16.5" customHeight="1">
      <c r="B79" s="25"/>
      <c r="C79" s="51"/>
      <c r="D79" s="211"/>
      <c r="E79" s="51"/>
      <c r="F79" s="51"/>
      <c r="G79" s="27"/>
    </row>
    <row r="80" spans="2:7" s="1" customFormat="1" ht="16.5" customHeight="1">
      <c r="B80" s="25"/>
      <c r="C80" s="51"/>
      <c r="D80" s="211"/>
      <c r="E80" s="51"/>
      <c r="F80" s="51"/>
      <c r="G80" s="27"/>
    </row>
    <row r="81" spans="2:7" s="1" customFormat="1" ht="16.5" customHeight="1">
      <c r="B81" s="25"/>
      <c r="C81" s="51"/>
      <c r="D81" s="211"/>
      <c r="E81" s="51"/>
      <c r="F81" s="51"/>
      <c r="G81" s="27"/>
    </row>
    <row r="82" spans="2:7" s="1" customFormat="1" ht="16.5" customHeight="1">
      <c r="B82" s="25"/>
      <c r="C82" s="51"/>
      <c r="D82" s="211"/>
      <c r="E82" s="51"/>
      <c r="F82" s="51"/>
      <c r="G82" s="27"/>
    </row>
    <row r="83" spans="2:7" s="1" customFormat="1" ht="16.5" customHeight="1">
      <c r="B83" s="25"/>
      <c r="C83" s="51"/>
      <c r="D83" s="211"/>
      <c r="E83" s="51"/>
      <c r="F83" s="51"/>
      <c r="G83" s="27"/>
    </row>
    <row r="84" spans="2:7" s="1" customFormat="1" ht="16.5" customHeight="1">
      <c r="B84" s="212" t="s">
        <v>1</v>
      </c>
      <c r="C84" s="213"/>
      <c r="D84" s="214">
        <f>SUBTOTAL(109,ExpNov46[Amount])</f>
        <v>0</v>
      </c>
      <c r="E84" s="213"/>
      <c r="F84" s="213"/>
      <c r="G84" s="212"/>
    </row>
    <row r="86" spans="2:7" s="1" customFormat="1" ht="25.5" customHeight="1">
      <c r="B86" s="205" t="s">
        <v>162</v>
      </c>
      <c r="C86" s="117"/>
      <c r="D86" s="117"/>
      <c r="E86" s="117"/>
      <c r="F86" s="117"/>
      <c r="G86" s="117"/>
    </row>
    <row r="87" spans="2:7" s="1" customFormat="1" ht="16.5" customHeight="1">
      <c r="B87" s="117"/>
      <c r="C87" s="117"/>
      <c r="D87" s="117"/>
      <c r="E87" s="117"/>
      <c r="F87" s="117"/>
      <c r="G87" s="117"/>
    </row>
    <row r="88" spans="2:7" s="1" customFormat="1" ht="16.5" customHeight="1">
      <c r="B88" s="206" t="s">
        <v>50</v>
      </c>
      <c r="C88" s="207" t="s">
        <v>71</v>
      </c>
      <c r="D88" s="206" t="s">
        <v>48</v>
      </c>
      <c r="E88" s="207" t="s">
        <v>47</v>
      </c>
      <c r="F88" s="207" t="s">
        <v>161</v>
      </c>
      <c r="G88" s="206" t="s">
        <v>160</v>
      </c>
    </row>
    <row r="89" spans="2:7" s="1" customFormat="1" ht="16.5" customHeight="1">
      <c r="B89" s="25"/>
      <c r="C89" s="51"/>
      <c r="D89" s="211"/>
      <c r="E89" s="51"/>
      <c r="F89" s="51"/>
      <c r="G89" s="27"/>
    </row>
    <row r="90" spans="2:7" s="1" customFormat="1" ht="16.5" customHeight="1">
      <c r="B90" s="25"/>
      <c r="C90" s="51"/>
      <c r="D90" s="211"/>
      <c r="E90" s="51"/>
      <c r="F90" s="51"/>
      <c r="G90" s="27"/>
    </row>
    <row r="91" spans="2:7" s="1" customFormat="1" ht="16.5" customHeight="1">
      <c r="B91" s="25"/>
      <c r="C91" s="51"/>
      <c r="D91" s="211"/>
      <c r="E91" s="51"/>
      <c r="F91" s="51"/>
      <c r="G91" s="27"/>
    </row>
    <row r="92" spans="2:7" s="1" customFormat="1" ht="16.5" customHeight="1">
      <c r="B92" s="25"/>
      <c r="C92" s="51"/>
      <c r="D92" s="211"/>
      <c r="E92" s="51"/>
      <c r="F92" s="51"/>
      <c r="G92" s="27"/>
    </row>
    <row r="93" spans="2:7" s="1" customFormat="1" ht="16.5" customHeight="1">
      <c r="B93" s="25"/>
      <c r="C93" s="51"/>
      <c r="D93" s="211"/>
      <c r="E93" s="51"/>
      <c r="F93" s="51"/>
      <c r="G93" s="27"/>
    </row>
    <row r="94" spans="2:7" s="1" customFormat="1" ht="16.5" customHeight="1">
      <c r="B94" s="25"/>
      <c r="C94" s="51"/>
      <c r="D94" s="211"/>
      <c r="E94" s="51"/>
      <c r="F94" s="51"/>
      <c r="G94" s="27"/>
    </row>
    <row r="95" spans="2:7" s="1" customFormat="1" ht="16.5" customHeight="1">
      <c r="B95" s="25"/>
      <c r="C95" s="51"/>
      <c r="D95" s="211"/>
      <c r="E95" s="51"/>
      <c r="F95" s="51"/>
      <c r="G95" s="27"/>
    </row>
    <row r="96" spans="2:7" s="1" customFormat="1" ht="16.5" customHeight="1">
      <c r="B96" s="25"/>
      <c r="C96" s="51"/>
      <c r="D96" s="211"/>
      <c r="E96" s="51"/>
      <c r="F96" s="51"/>
      <c r="G96" s="27"/>
    </row>
    <row r="97" spans="2:7" s="1" customFormat="1" ht="16.5" customHeight="1">
      <c r="B97" s="25"/>
      <c r="C97" s="51"/>
      <c r="D97" s="211"/>
      <c r="E97" s="51"/>
      <c r="F97" s="51"/>
      <c r="G97" s="27"/>
    </row>
    <row r="98" spans="2:7" s="1" customFormat="1" ht="16.5" customHeight="1">
      <c r="B98" s="25"/>
      <c r="C98" s="51"/>
      <c r="D98" s="211"/>
      <c r="E98" s="51"/>
      <c r="F98" s="51"/>
      <c r="G98" s="27"/>
    </row>
    <row r="99" spans="2:7" s="1" customFormat="1" ht="16.5" customHeight="1">
      <c r="B99" s="212" t="s">
        <v>1</v>
      </c>
      <c r="C99" s="213"/>
      <c r="D99" s="214">
        <f>SUBTOTAL(109,ExpDec47[Amount])</f>
        <v>0</v>
      </c>
      <c r="E99" s="213"/>
      <c r="F99" s="213"/>
      <c r="G99" s="212"/>
    </row>
    <row r="101" spans="2:7" s="1" customFormat="1" ht="25.5" customHeight="1">
      <c r="B101" s="205" t="s">
        <v>163</v>
      </c>
      <c r="C101" s="117"/>
      <c r="D101" s="117"/>
      <c r="E101" s="117"/>
      <c r="F101" s="117"/>
      <c r="G101" s="117"/>
    </row>
    <row r="102" spans="2:7" s="1" customFormat="1" ht="16.5" customHeight="1">
      <c r="B102" s="117"/>
      <c r="C102" s="117"/>
      <c r="D102" s="117"/>
      <c r="E102" s="117"/>
      <c r="F102" s="117"/>
      <c r="G102" s="117"/>
    </row>
    <row r="103" spans="2:7" s="1" customFormat="1" ht="16.5" customHeight="1">
      <c r="B103" s="206" t="s">
        <v>50</v>
      </c>
      <c r="C103" s="207" t="s">
        <v>164</v>
      </c>
      <c r="D103" s="206" t="s">
        <v>48</v>
      </c>
      <c r="E103" s="207" t="s">
        <v>47</v>
      </c>
      <c r="F103" s="207" t="s">
        <v>161</v>
      </c>
      <c r="G103" s="206" t="s">
        <v>160</v>
      </c>
    </row>
    <row r="104" spans="2:7" s="1" customFormat="1" ht="16.5" customHeight="1">
      <c r="B104" s="25"/>
      <c r="C104" s="51"/>
      <c r="D104" s="211"/>
      <c r="E104" s="51"/>
      <c r="F104" s="51"/>
      <c r="G104" s="25"/>
    </row>
    <row r="105" spans="2:7" s="1" customFormat="1" ht="16.5" customHeight="1">
      <c r="B105" s="25"/>
      <c r="C105" s="51"/>
      <c r="D105" s="211"/>
      <c r="E105" s="51"/>
      <c r="F105" s="51"/>
      <c r="G105" s="27"/>
    </row>
    <row r="106" spans="2:7" s="1" customFormat="1" ht="16.5" customHeight="1">
      <c r="B106" s="25"/>
      <c r="C106" s="51"/>
      <c r="D106" s="211"/>
      <c r="E106" s="51"/>
      <c r="F106" s="51"/>
      <c r="G106" s="27"/>
    </row>
    <row r="107" spans="2:7" s="1" customFormat="1" ht="16.5" customHeight="1">
      <c r="B107" s="25"/>
      <c r="C107" s="51"/>
      <c r="D107" s="211"/>
      <c r="E107" s="51"/>
      <c r="F107" s="51"/>
      <c r="G107" s="27"/>
    </row>
    <row r="108" spans="2:7" s="1" customFormat="1" ht="16.5" customHeight="1">
      <c r="B108" s="25"/>
      <c r="C108" s="51"/>
      <c r="D108" s="211"/>
      <c r="E108" s="51"/>
      <c r="F108" s="51"/>
      <c r="G108" s="27"/>
    </row>
    <row r="109" spans="2:7" s="1" customFormat="1" ht="16.5" customHeight="1">
      <c r="B109" s="25"/>
      <c r="C109" s="51"/>
      <c r="D109" s="211"/>
      <c r="E109" s="51"/>
      <c r="F109" s="51"/>
      <c r="G109" s="27"/>
    </row>
    <row r="110" spans="2:7" s="1" customFormat="1" ht="16.5" customHeight="1">
      <c r="B110" s="25"/>
      <c r="C110" s="26"/>
      <c r="D110" s="211"/>
      <c r="E110" s="26"/>
      <c r="F110" s="26"/>
      <c r="G110" s="27"/>
    </row>
    <row r="111" spans="2:7" s="1" customFormat="1" ht="16.5" customHeight="1">
      <c r="B111" s="25"/>
      <c r="C111" s="26"/>
      <c r="D111" s="211"/>
      <c r="E111" s="26"/>
      <c r="F111" s="26"/>
      <c r="G111" s="27"/>
    </row>
    <row r="112" spans="2:7" s="1" customFormat="1" ht="16.5" customHeight="1">
      <c r="B112" s="25"/>
      <c r="C112" s="26"/>
      <c r="D112" s="211"/>
      <c r="E112" s="26"/>
      <c r="F112" s="26"/>
      <c r="G112" s="27"/>
    </row>
    <row r="113" spans="2:7" s="1" customFormat="1" ht="16.5" customHeight="1">
      <c r="B113" s="25"/>
      <c r="C113" s="26"/>
      <c r="D113" s="211"/>
      <c r="E113" s="26"/>
      <c r="F113" s="26"/>
      <c r="G113" s="27"/>
    </row>
    <row r="114" spans="2:7" s="1" customFormat="1" ht="16.5" customHeight="1">
      <c r="B114" s="25"/>
      <c r="C114" s="26"/>
      <c r="D114" s="211"/>
      <c r="E114" s="26"/>
      <c r="F114" s="26"/>
      <c r="G114" s="27"/>
    </row>
    <row r="115" spans="2:7" s="1" customFormat="1" ht="16.5" customHeight="1">
      <c r="B115" s="212" t="s">
        <v>1</v>
      </c>
      <c r="C115" s="213"/>
      <c r="D115" s="214">
        <f>SUBTOTAL(109,ExpJan48[Amount])</f>
        <v>0</v>
      </c>
      <c r="E115" s="213"/>
      <c r="F115" s="213"/>
      <c r="G115" s="212"/>
    </row>
    <row r="117" spans="2:7" s="1" customFormat="1" ht="24.75" customHeight="1">
      <c r="B117" s="205" t="s">
        <v>165</v>
      </c>
      <c r="C117" s="36"/>
      <c r="D117" s="36"/>
      <c r="E117" s="36"/>
      <c r="F117" s="36"/>
      <c r="G117" s="36"/>
    </row>
    <row r="118" spans="2:7" s="1" customFormat="1" ht="16.5" customHeight="1">
      <c r="B118" s="36"/>
      <c r="C118" s="36"/>
      <c r="D118" s="36"/>
      <c r="E118" s="36"/>
      <c r="F118" s="36"/>
      <c r="G118" s="36"/>
    </row>
    <row r="119" spans="2:7" s="1" customFormat="1" ht="16.5" customHeight="1">
      <c r="B119" s="206" t="s">
        <v>50</v>
      </c>
      <c r="C119" s="207" t="s">
        <v>71</v>
      </c>
      <c r="D119" s="206" t="s">
        <v>48</v>
      </c>
      <c r="E119" s="207" t="s">
        <v>47</v>
      </c>
      <c r="F119" s="206" t="s">
        <v>319</v>
      </c>
      <c r="G119" s="430" t="s">
        <v>45</v>
      </c>
    </row>
    <row r="120" spans="2:7" s="1" customFormat="1" ht="16.5" customHeight="1">
      <c r="B120" s="25"/>
      <c r="C120" s="51"/>
      <c r="D120" s="211"/>
      <c r="E120" s="51"/>
      <c r="F120" s="27"/>
      <c r="G120" s="27"/>
    </row>
    <row r="121" spans="2:7" s="1" customFormat="1" ht="16.5" customHeight="1">
      <c r="B121" s="25"/>
      <c r="C121" s="51"/>
      <c r="D121" s="211"/>
      <c r="E121" s="51"/>
      <c r="F121" s="27"/>
      <c r="G121" s="27"/>
    </row>
    <row r="122" spans="2:7" s="1" customFormat="1" ht="16.5" customHeight="1">
      <c r="B122" s="25"/>
      <c r="C122" s="51"/>
      <c r="D122" s="211"/>
      <c r="E122" s="51"/>
      <c r="F122" s="27"/>
      <c r="G122" s="27"/>
    </row>
    <row r="123" spans="2:7" s="1" customFormat="1" ht="16.5" customHeight="1">
      <c r="B123" s="25"/>
      <c r="C123" s="51"/>
      <c r="D123" s="211"/>
      <c r="E123" s="51"/>
      <c r="F123" s="27"/>
      <c r="G123" s="27"/>
    </row>
    <row r="124" spans="2:7" s="1" customFormat="1" ht="16.5" customHeight="1">
      <c r="B124" s="25"/>
      <c r="C124" s="51"/>
      <c r="D124" s="211"/>
      <c r="E124" s="51"/>
      <c r="F124" s="27"/>
      <c r="G124" s="27"/>
    </row>
    <row r="125" spans="2:7" s="1" customFormat="1" ht="16.5" customHeight="1">
      <c r="B125" s="25"/>
      <c r="C125" s="51"/>
      <c r="D125" s="211"/>
      <c r="E125" s="51"/>
      <c r="F125" s="27"/>
      <c r="G125" s="27"/>
    </row>
    <row r="126" spans="2:7" s="1" customFormat="1" ht="16.5" customHeight="1">
      <c r="B126" s="25"/>
      <c r="C126" s="51"/>
      <c r="D126" s="211"/>
      <c r="E126" s="51"/>
      <c r="F126" s="27"/>
      <c r="G126" s="27"/>
    </row>
    <row r="127" spans="2:7" s="1" customFormat="1" ht="16.5" customHeight="1">
      <c r="B127" s="337"/>
      <c r="C127" s="338"/>
      <c r="D127" s="339"/>
      <c r="E127" s="338"/>
      <c r="F127" s="340"/>
      <c r="G127" s="340"/>
    </row>
    <row r="128" spans="2:7" s="1" customFormat="1" ht="16.5" customHeight="1">
      <c r="B128" s="212" t="s">
        <v>1</v>
      </c>
      <c r="C128" s="213"/>
      <c r="D128" s="214">
        <f>SUBTOTAL(109,ExpFeb49[Amount])</f>
        <v>0</v>
      </c>
      <c r="E128" s="213"/>
      <c r="F128" s="212"/>
      <c r="G128" s="36"/>
    </row>
    <row r="130" spans="2:7" s="1" customFormat="1" ht="25.5" customHeight="1">
      <c r="B130" s="205" t="s">
        <v>166</v>
      </c>
      <c r="C130" s="117"/>
      <c r="D130" s="117"/>
      <c r="E130" s="117"/>
      <c r="F130" s="117"/>
      <c r="G130" s="117"/>
    </row>
    <row r="131" spans="2:7" s="1" customFormat="1" ht="16.5" customHeight="1">
      <c r="B131" s="117"/>
      <c r="C131" s="117"/>
      <c r="D131" s="117"/>
      <c r="E131" s="117"/>
      <c r="F131" s="117"/>
      <c r="G131" s="117"/>
    </row>
    <row r="132" spans="2:7" s="1" customFormat="1" ht="16.5" customHeight="1">
      <c r="B132" s="206" t="s">
        <v>50</v>
      </c>
      <c r="C132" s="207" t="s">
        <v>71</v>
      </c>
      <c r="D132" s="206" t="s">
        <v>48</v>
      </c>
      <c r="E132" s="207" t="s">
        <v>47</v>
      </c>
      <c r="F132" s="206" t="s">
        <v>297</v>
      </c>
      <c r="G132" s="430" t="s">
        <v>45</v>
      </c>
    </row>
    <row r="133" spans="2:7" s="1" customFormat="1" ht="16.5" customHeight="1">
      <c r="B133" s="25"/>
      <c r="C133" s="51"/>
      <c r="D133" s="211"/>
      <c r="E133" s="51"/>
      <c r="F133" s="27"/>
      <c r="G133" s="27"/>
    </row>
    <row r="134" spans="2:7" s="1" customFormat="1" ht="16.5" customHeight="1">
      <c r="B134" s="25"/>
      <c r="C134" s="51"/>
      <c r="D134" s="211"/>
      <c r="E134" s="51"/>
      <c r="F134" s="27"/>
      <c r="G134" s="27"/>
    </row>
    <row r="135" spans="2:7" s="1" customFormat="1" ht="16.5" customHeight="1">
      <c r="B135" s="25"/>
      <c r="C135" s="51"/>
      <c r="D135" s="211"/>
      <c r="E135" s="51"/>
      <c r="F135" s="27"/>
      <c r="G135" s="27"/>
    </row>
    <row r="136" spans="2:7" s="1" customFormat="1" ht="16.5" customHeight="1">
      <c r="B136" s="25"/>
      <c r="C136" s="51"/>
      <c r="D136" s="211"/>
      <c r="E136" s="51"/>
      <c r="F136" s="27"/>
      <c r="G136" s="27"/>
    </row>
    <row r="137" spans="2:7" s="1" customFormat="1" ht="16.5" customHeight="1">
      <c r="B137" s="25"/>
      <c r="C137" s="51"/>
      <c r="D137" s="211"/>
      <c r="E137" s="51"/>
      <c r="F137" s="27"/>
      <c r="G137" s="27"/>
    </row>
    <row r="138" spans="2:7" s="1" customFormat="1" ht="16.5" customHeight="1">
      <c r="B138" s="25"/>
      <c r="C138" s="51"/>
      <c r="D138" s="211"/>
      <c r="E138" s="51"/>
      <c r="F138" s="27"/>
      <c r="G138" s="27"/>
    </row>
    <row r="139" spans="2:7" s="1" customFormat="1" ht="16.5" customHeight="1">
      <c r="B139" s="215"/>
      <c r="C139" s="51"/>
      <c r="D139" s="216"/>
      <c r="E139" s="51"/>
      <c r="F139" s="51"/>
      <c r="G139" s="51"/>
    </row>
    <row r="140" spans="2:7" s="1" customFormat="1" ht="16.5" customHeight="1">
      <c r="B140" s="215"/>
      <c r="C140" s="51"/>
      <c r="D140" s="216"/>
      <c r="E140" s="51"/>
      <c r="F140" s="51"/>
      <c r="G140" s="51"/>
    </row>
    <row r="141" spans="2:7" s="1" customFormat="1" ht="16.5" customHeight="1">
      <c r="B141" s="431"/>
      <c r="C141" s="338"/>
      <c r="D141" s="432"/>
      <c r="E141" s="338"/>
      <c r="F141" s="338"/>
      <c r="G141" s="338"/>
    </row>
    <row r="142" spans="2:7" s="1" customFormat="1" ht="16.5" customHeight="1">
      <c r="B142" s="431"/>
      <c r="C142" s="338"/>
      <c r="D142" s="432"/>
      <c r="E142" s="338"/>
      <c r="F142" s="338"/>
      <c r="G142" s="338"/>
    </row>
    <row r="143" spans="2:7" s="1" customFormat="1" ht="16.5" customHeight="1">
      <c r="B143" s="337"/>
      <c r="C143" s="338"/>
      <c r="D143" s="339"/>
      <c r="E143" s="338"/>
      <c r="F143" s="340"/>
      <c r="G143" s="340"/>
    </row>
    <row r="144" spans="2:7" s="1" customFormat="1" ht="16.5" customHeight="1">
      <c r="B144" s="337"/>
      <c r="C144" s="338"/>
      <c r="D144" s="339"/>
      <c r="E144" s="338"/>
      <c r="F144" s="340"/>
      <c r="G144" s="340"/>
    </row>
    <row r="145" spans="2:7" s="1" customFormat="1" ht="16.5" customHeight="1">
      <c r="B145" s="337"/>
      <c r="C145" s="338"/>
      <c r="D145" s="339"/>
      <c r="E145" s="338"/>
      <c r="F145" s="340"/>
      <c r="G145" s="340"/>
    </row>
    <row r="146" spans="2:7" s="1" customFormat="1" ht="16.5" customHeight="1">
      <c r="B146" s="224" t="s">
        <v>1</v>
      </c>
      <c r="C146" s="225"/>
      <c r="D146" s="226">
        <f>SUBTOTAL(109,ExpMar50[Amount])</f>
        <v>0</v>
      </c>
      <c r="E146" s="225"/>
      <c r="F146" s="224"/>
      <c r="G146" s="395"/>
    </row>
    <row r="148" spans="2:7" s="1" customFormat="1" ht="27.75" customHeight="1">
      <c r="B148" s="205" t="s">
        <v>167</v>
      </c>
      <c r="C148" s="117"/>
      <c r="D148" s="117"/>
      <c r="E148" s="117"/>
      <c r="F148" s="117"/>
      <c r="G148" s="117"/>
    </row>
    <row r="149" spans="2:7" s="1" customFormat="1" ht="16.5" customHeight="1">
      <c r="B149" s="117"/>
      <c r="C149" s="117"/>
      <c r="D149" s="117"/>
      <c r="E149" s="117"/>
      <c r="F149" s="117"/>
      <c r="G149" s="117"/>
    </row>
    <row r="150" spans="2:7" s="1" customFormat="1" ht="16.5" customHeight="1">
      <c r="B150" s="206" t="s">
        <v>50</v>
      </c>
      <c r="C150" s="207" t="s">
        <v>168</v>
      </c>
      <c r="D150" s="206" t="s">
        <v>48</v>
      </c>
      <c r="E150" s="207" t="s">
        <v>47</v>
      </c>
      <c r="F150" s="207" t="s">
        <v>297</v>
      </c>
      <c r="G150" s="206" t="s">
        <v>45</v>
      </c>
    </row>
    <row r="151" spans="2:7" s="1" customFormat="1" ht="16.5" customHeight="1">
      <c r="B151" s="215"/>
      <c r="C151" s="51"/>
      <c r="D151" s="216"/>
      <c r="E151" s="51"/>
      <c r="F151" s="51"/>
      <c r="G151" s="51"/>
    </row>
    <row r="152" spans="2:7" s="1" customFormat="1" ht="16.5" customHeight="1">
      <c r="B152" s="215"/>
      <c r="C152" s="51"/>
      <c r="D152" s="216"/>
      <c r="E152" s="51"/>
      <c r="F152" s="51"/>
      <c r="G152" s="51"/>
    </row>
    <row r="153" spans="2:7" s="1" customFormat="1" ht="16.5" customHeight="1">
      <c r="B153" s="215"/>
      <c r="C153" s="51"/>
      <c r="D153" s="216"/>
      <c r="E153" s="51"/>
      <c r="F153" s="51"/>
      <c r="G153" s="51"/>
    </row>
    <row r="154" spans="2:7" s="1" customFormat="1" ht="16.5" customHeight="1">
      <c r="B154" s="215"/>
      <c r="C154" s="51"/>
      <c r="D154" s="216"/>
      <c r="E154" s="51"/>
      <c r="F154" s="51"/>
      <c r="G154" s="51"/>
    </row>
    <row r="155" spans="2:7" s="1" customFormat="1" ht="16.5" customHeight="1">
      <c r="B155" s="215"/>
      <c r="C155" s="51"/>
      <c r="D155" s="216"/>
      <c r="E155" s="51"/>
      <c r="F155" s="51"/>
      <c r="G155" s="51"/>
    </row>
    <row r="156" spans="2:7" s="1" customFormat="1" ht="16.5" customHeight="1">
      <c r="B156" s="215"/>
      <c r="C156" s="51"/>
      <c r="D156" s="216"/>
      <c r="E156" s="51"/>
      <c r="F156" s="51"/>
      <c r="G156" s="51"/>
    </row>
    <row r="157" spans="2:7" s="1" customFormat="1" ht="16.5" customHeight="1">
      <c r="B157" s="215"/>
      <c r="C157" s="51"/>
      <c r="D157" s="216"/>
      <c r="E157" s="51"/>
      <c r="F157" s="51"/>
      <c r="G157" s="51"/>
    </row>
    <row r="158" spans="2:7" s="1" customFormat="1" ht="16.5" customHeight="1">
      <c r="B158" s="25"/>
      <c r="C158" s="51"/>
      <c r="D158" s="211"/>
      <c r="E158" s="51"/>
      <c r="F158" s="51"/>
      <c r="G158" s="27"/>
    </row>
    <row r="159" spans="2:7" s="1" customFormat="1" ht="16.5" customHeight="1">
      <c r="B159" s="25"/>
      <c r="C159" s="51"/>
      <c r="D159" s="211"/>
      <c r="E159" s="51"/>
      <c r="F159" s="51"/>
      <c r="G159" s="27"/>
    </row>
    <row r="160" spans="2:7" s="1" customFormat="1" ht="16.5" customHeight="1">
      <c r="B160" s="25"/>
      <c r="C160" s="51"/>
      <c r="D160" s="211"/>
      <c r="E160" s="51"/>
      <c r="F160" s="51"/>
      <c r="G160" s="27"/>
    </row>
    <row r="161" spans="2:7" s="1" customFormat="1" ht="16.5" customHeight="1">
      <c r="B161" s="25"/>
      <c r="C161" s="51"/>
      <c r="D161" s="211"/>
      <c r="E161" s="51"/>
      <c r="F161" s="51"/>
      <c r="G161" s="27"/>
    </row>
    <row r="162" spans="2:7" s="1" customFormat="1" ht="16.5" customHeight="1">
      <c r="B162" s="25"/>
      <c r="C162" s="51"/>
      <c r="D162" s="211"/>
      <c r="E162" s="51"/>
      <c r="F162" s="51"/>
      <c r="G162" s="27"/>
    </row>
    <row r="163" spans="2:7" s="1" customFormat="1" ht="16.5" customHeight="1">
      <c r="B163" s="25"/>
      <c r="C163" s="51"/>
      <c r="D163" s="211"/>
      <c r="E163" s="51"/>
      <c r="F163" s="51"/>
      <c r="G163" s="27"/>
    </row>
    <row r="164" spans="2:7" s="1" customFormat="1" ht="16.5" customHeight="1">
      <c r="B164" s="25"/>
      <c r="C164" s="51"/>
      <c r="D164" s="211"/>
      <c r="E164" s="51"/>
      <c r="F164" s="51"/>
      <c r="G164" s="27"/>
    </row>
    <row r="165" spans="2:7" s="1" customFormat="1" ht="16.5" customHeight="1">
      <c r="B165" s="25"/>
      <c r="C165" s="51"/>
      <c r="D165" s="211"/>
      <c r="E165" s="51"/>
      <c r="F165" s="51"/>
      <c r="G165" s="27"/>
    </row>
    <row r="166" spans="2:7" s="1" customFormat="1" ht="16.5" customHeight="1">
      <c r="B166" s="25"/>
      <c r="C166" s="51"/>
      <c r="D166" s="211"/>
      <c r="E166" s="51"/>
      <c r="F166" s="51"/>
      <c r="G166" s="27"/>
    </row>
    <row r="167" spans="2:7" s="1" customFormat="1" ht="16.5" customHeight="1">
      <c r="B167" s="212" t="s">
        <v>1</v>
      </c>
      <c r="C167" s="213"/>
      <c r="D167" s="214">
        <f>SUBTOTAL(109,ExpApr51[Amount])</f>
        <v>0</v>
      </c>
      <c r="E167" s="213"/>
      <c r="F167" s="213"/>
      <c r="G167" s="212"/>
    </row>
    <row r="169" spans="2:7" s="1" customFormat="1" ht="24.75" customHeight="1">
      <c r="B169" s="205" t="s">
        <v>169</v>
      </c>
      <c r="C169" s="117"/>
      <c r="D169" s="117"/>
      <c r="E169" s="117"/>
      <c r="F169" s="117"/>
      <c r="G169" s="117"/>
    </row>
    <row r="170" spans="2:7" s="1" customFormat="1" ht="16.5" customHeight="1">
      <c r="B170" s="117"/>
      <c r="C170" s="117"/>
      <c r="D170" s="117"/>
      <c r="E170" s="117"/>
      <c r="F170" s="117"/>
      <c r="G170" s="117"/>
    </row>
    <row r="171" spans="2:7" s="1" customFormat="1" ht="16.5" customHeight="1">
      <c r="B171" s="206" t="s">
        <v>50</v>
      </c>
      <c r="C171" s="207" t="s">
        <v>71</v>
      </c>
      <c r="D171" s="206" t="s">
        <v>48</v>
      </c>
      <c r="E171" s="207" t="s">
        <v>47</v>
      </c>
      <c r="F171" s="207" t="s">
        <v>297</v>
      </c>
      <c r="G171" s="206" t="s">
        <v>45</v>
      </c>
    </row>
    <row r="172" spans="2:7" s="1" customFormat="1" ht="16.5" customHeight="1">
      <c r="B172" s="25"/>
      <c r="C172" s="51"/>
      <c r="D172" s="211"/>
      <c r="E172" s="51"/>
      <c r="F172" s="51"/>
      <c r="G172" s="27"/>
    </row>
    <row r="173" spans="2:7" s="1" customFormat="1" ht="16.5" customHeight="1">
      <c r="B173" s="25"/>
      <c r="C173" s="51"/>
      <c r="D173" s="211"/>
      <c r="E173" s="51"/>
      <c r="F173" s="51"/>
      <c r="G173" s="27"/>
    </row>
    <row r="174" spans="2:7" s="1" customFormat="1" ht="16.5" customHeight="1">
      <c r="B174" s="25"/>
      <c r="C174" s="51"/>
      <c r="D174" s="211"/>
      <c r="E174" s="51"/>
      <c r="F174" s="51"/>
      <c r="G174" s="27"/>
    </row>
    <row r="175" spans="2:7" s="1" customFormat="1" ht="16.5" customHeight="1">
      <c r="B175" s="25"/>
      <c r="C175" s="51"/>
      <c r="D175" s="211"/>
      <c r="E175" s="51"/>
      <c r="F175" s="51"/>
      <c r="G175" s="27"/>
    </row>
    <row r="176" spans="2:7" s="1" customFormat="1" ht="16.5" customHeight="1">
      <c r="B176" s="25"/>
      <c r="C176" s="51"/>
      <c r="D176" s="211"/>
      <c r="E176" s="51"/>
      <c r="F176" s="51"/>
      <c r="G176" s="27"/>
    </row>
    <row r="177" spans="2:7" s="1" customFormat="1" ht="16.5" customHeight="1">
      <c r="B177" s="25"/>
      <c r="C177" s="51"/>
      <c r="D177" s="211"/>
      <c r="E177" s="51"/>
      <c r="F177" s="51"/>
      <c r="G177" s="27"/>
    </row>
    <row r="178" spans="2:7" s="1" customFormat="1" ht="16.5" customHeight="1">
      <c r="B178" s="25"/>
      <c r="C178" s="51"/>
      <c r="D178" s="211"/>
      <c r="E178" s="51"/>
      <c r="F178" s="51"/>
      <c r="G178" s="27"/>
    </row>
    <row r="179" spans="2:7" s="1" customFormat="1" ht="16.5" customHeight="1">
      <c r="B179" s="224" t="s">
        <v>1</v>
      </c>
      <c r="C179" s="225"/>
      <c r="D179" s="226">
        <f>SUBTOTAL(109,ExpMay52[Amount])</f>
        <v>0</v>
      </c>
      <c r="E179" s="225"/>
      <c r="F179" s="225"/>
      <c r="G179" s="224"/>
    </row>
    <row r="181" spans="2:7" s="1" customFormat="1" ht="26.25" customHeight="1">
      <c r="B181" s="205" t="s">
        <v>170</v>
      </c>
      <c r="C181" s="117"/>
      <c r="D181" s="117"/>
      <c r="E181" s="117"/>
      <c r="F181" s="117"/>
      <c r="G181" s="117"/>
    </row>
    <row r="182" spans="2:7" s="1" customFormat="1" ht="16.5" customHeight="1">
      <c r="B182" s="117"/>
      <c r="C182" s="117"/>
      <c r="D182" s="117"/>
      <c r="E182" s="117"/>
      <c r="F182" s="117"/>
      <c r="G182" s="117"/>
    </row>
    <row r="183" spans="2:7" s="1" customFormat="1" ht="16.5" customHeight="1">
      <c r="B183" s="206" t="s">
        <v>50</v>
      </c>
      <c r="C183" s="207" t="s">
        <v>155</v>
      </c>
      <c r="D183" s="206" t="s">
        <v>48</v>
      </c>
      <c r="E183" s="207" t="s">
        <v>47</v>
      </c>
      <c r="F183" s="207" t="s">
        <v>297</v>
      </c>
      <c r="G183" s="206" t="s">
        <v>45</v>
      </c>
    </row>
    <row r="184" spans="2:7" s="1" customFormat="1" ht="16.5" customHeight="1">
      <c r="B184" s="215"/>
      <c r="C184" s="51"/>
      <c r="D184" s="216"/>
      <c r="E184" s="51"/>
      <c r="F184" s="51"/>
      <c r="G184" s="51"/>
    </row>
    <row r="185" spans="2:7" s="1" customFormat="1" ht="16.5" customHeight="1">
      <c r="B185" s="215"/>
      <c r="C185" s="51"/>
      <c r="D185" s="216"/>
      <c r="E185" s="51"/>
      <c r="F185" s="51"/>
      <c r="G185" s="51"/>
    </row>
    <row r="186" spans="2:7" s="1" customFormat="1" ht="16.5" customHeight="1">
      <c r="B186" s="215"/>
      <c r="C186" s="51"/>
      <c r="D186" s="216"/>
      <c r="E186" s="51"/>
      <c r="F186" s="51"/>
      <c r="G186" s="51"/>
    </row>
    <row r="187" spans="2:7" s="1" customFormat="1" ht="16.5" customHeight="1">
      <c r="B187" s="215"/>
      <c r="C187" s="51"/>
      <c r="D187" s="216"/>
      <c r="E187" s="51"/>
      <c r="F187" s="51"/>
      <c r="G187" s="51"/>
    </row>
    <row r="188" spans="2:7" s="1" customFormat="1" ht="16.5" customHeight="1">
      <c r="B188" s="215"/>
      <c r="C188" s="51"/>
      <c r="D188" s="216"/>
      <c r="E188" s="51"/>
      <c r="F188" s="51"/>
      <c r="G188" s="51"/>
    </row>
    <row r="189" spans="2:7" s="1" customFormat="1" ht="16.5" customHeight="1">
      <c r="B189" s="215"/>
      <c r="C189" s="51"/>
      <c r="D189" s="216"/>
      <c r="E189" s="51"/>
      <c r="F189" s="51"/>
      <c r="G189" s="51"/>
    </row>
    <row r="190" spans="2:7" s="1" customFormat="1" ht="16.5" customHeight="1">
      <c r="B190" s="215"/>
      <c r="C190" s="51"/>
      <c r="D190" s="216"/>
      <c r="E190" s="51"/>
      <c r="F190" s="51"/>
      <c r="G190" s="51"/>
    </row>
    <row r="191" spans="2:7" s="1" customFormat="1" ht="16.5" customHeight="1">
      <c r="B191" s="215"/>
      <c r="C191" s="51"/>
      <c r="D191" s="216"/>
      <c r="E191" s="51"/>
      <c r="F191" s="51"/>
      <c r="G191" s="51"/>
    </row>
    <row r="192" spans="2:7" s="1" customFormat="1" ht="16.5" customHeight="1">
      <c r="B192" s="215"/>
      <c r="C192" s="51"/>
      <c r="D192" s="216"/>
      <c r="E192" s="51"/>
      <c r="F192" s="51"/>
      <c r="G192" s="51"/>
    </row>
    <row r="193" spans="2:7" s="1" customFormat="1" ht="16.5" customHeight="1">
      <c r="B193" s="215"/>
      <c r="C193" s="51"/>
      <c r="D193" s="216"/>
      <c r="E193" s="51"/>
      <c r="F193" s="51"/>
      <c r="G193" s="51"/>
    </row>
    <row r="194" spans="2:7" s="1" customFormat="1" ht="16.5" customHeight="1">
      <c r="B194" s="215"/>
      <c r="C194" s="51"/>
      <c r="D194" s="216"/>
      <c r="E194" s="51"/>
      <c r="F194" s="51"/>
      <c r="G194" s="51"/>
    </row>
    <row r="195" spans="2:7" s="1" customFormat="1" ht="16.5" customHeight="1">
      <c r="B195" s="224" t="s">
        <v>1</v>
      </c>
      <c r="C195" s="225"/>
      <c r="D195" s="226">
        <f>SUBTOTAL(109,ExpJun53[Amount])</f>
        <v>0</v>
      </c>
      <c r="E195" s="225"/>
      <c r="F195" s="225"/>
      <c r="G195" s="224"/>
    </row>
  </sheetData>
  <dataValidations count="14">
    <dataValidation type="custom" errorStyle="warning" allowBlank="1" showInputMessage="1" showErrorMessage="1" errorTitle="Amount Validation" error="Amount should be a number." sqref="D5:D16 D18 D22:D32 D38:D51 D57:D67 D73:D83 D89:D98 D104:D114 D120:D127 D133:D145 D151:D166 D172:D178 D184:D194">
      <formula1>ISNUMBER($D5)</formula1>
    </dataValidation>
    <dataValidation type="custom" errorStyle="warning" allowBlank="1" showInputMessage="1" showErrorMessage="1" errorTitle="Date Validation" error="A date in July needs be entered  in order for this expense to be added to the Summary sheet." sqref="B5:B16 B18">
      <formula1>MONTH($B5)=7</formula1>
    </dataValidation>
    <dataValidation type="list" errorStyle="warning" allowBlank="1" showInputMessage="1" showErrorMessage="1" errorTitle="Unknown Category" error="An expense from the drop down should be selected in order for it to be included on the Summary sheet." sqref="E5:F16 E18:F18 E22:F32 E38:F51 E57:F67 E73:F83 E89:F98 E104:F114 E120:E127 E133:E145 E151:F166 E172:F178 E184:F194">
      <formula1>ExpenseCategories</formula1>
    </dataValidation>
    <dataValidation type="custom" errorStyle="warning" allowBlank="1" showInputMessage="1" showErrorMessage="1" errorTitle="Date Validation" error="A date in August needs be entered  in order for this expense to be added to the Summary sheet." sqref="B22:B32">
      <formula1>MONTH($B22)=8</formula1>
    </dataValidation>
    <dataValidation type="custom" errorStyle="warning" allowBlank="1" showInputMessage="1" showErrorMessage="1" errorTitle="Date Validation" error="A date in September needs be entered  in order for this expense to be added to the Summary sheet." sqref="B38:B51">
      <formula1>MONTH($B38)=9</formula1>
    </dataValidation>
    <dataValidation type="custom" errorStyle="warning" allowBlank="1" showInputMessage="1" showErrorMessage="1" errorTitle="Date Validation" error="A date in October needs be entered  in order for this expense to be added to the Summary sheet." sqref="B57:B67">
      <formula1>MONTH($B57)=10</formula1>
    </dataValidation>
    <dataValidation type="custom" errorStyle="warning" allowBlank="1" showInputMessage="1" showErrorMessage="1" errorTitle="Date Validation" error="A date in November needs be entered  in order for this expense to be added to the Summary sheet." sqref="B73:B83">
      <formula1>MONTH($B73)=11</formula1>
    </dataValidation>
    <dataValidation type="custom" errorStyle="warning" allowBlank="1" showInputMessage="1" showErrorMessage="1" errorTitle="Date Validation" error="A date in December needs be entered  in order for this expense to be added to the Summary sheet." sqref="B89:B98">
      <formula1>MONTH($B89)=12</formula1>
    </dataValidation>
    <dataValidation type="custom" errorStyle="warning" allowBlank="1" showInputMessage="1" showErrorMessage="1" errorTitle="Date Validation" error="A date in January needs be entered in order for this expense to be added to the Summary sheet." sqref="B104:B114">
      <formula1>MONTH($B104)=1</formula1>
    </dataValidation>
    <dataValidation type="custom" errorStyle="warning" allowBlank="1" showInputMessage="1" showErrorMessage="1" errorTitle="Date Validation" error="A date in February needs be entered in order for this expense to be added to the Summary sheet." sqref="B120:B127">
      <formula1>MONTH($B120)=2</formula1>
    </dataValidation>
    <dataValidation type="custom" errorStyle="warning" allowBlank="1" showInputMessage="1" showErrorMessage="1" errorTitle="Date Validation" error="A date in March needs be entered in order for this expense to be added to the Summary sheet." sqref="B133:B145">
      <formula1>MONTH($B133)=3</formula1>
    </dataValidation>
    <dataValidation type="custom" errorStyle="warning" allowBlank="1" showInputMessage="1" showErrorMessage="1" errorTitle="Date Validation" error="A date in April needs be entered  in order for this expense to be added to the Summary sheet." sqref="B151:B166">
      <formula1>MONTH($B151)=4</formula1>
    </dataValidation>
    <dataValidation type="custom" errorStyle="warning" allowBlank="1" showInputMessage="1" showErrorMessage="1" errorTitle="Date Validation" error="A date in May needs be entered  in order for this expense to be added to the Summary sheet." sqref="B172:B178">
      <formula1>MONTH($B172)=5</formula1>
    </dataValidation>
    <dataValidation type="custom" errorStyle="warning" allowBlank="1" showInputMessage="1" showErrorMessage="1" errorTitle="Date Validation" error="A date in June needs be entered  in order for this expense to be added to the Summary sheet." sqref="B184:B194">
      <formula1>MONTH($B184)=6</formula1>
    </dataValidation>
  </dataValidations>
  <printOptions horizontalCentered="1"/>
  <pageMargins left="0.25" right="0.25" top="0.75" bottom="0.75" header="0.3" footer="0.3"/>
  <pageSetup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8"/>
  <sheetViews>
    <sheetView workbookViewId="0">
      <selection activeCell="I16" sqref="A1:XFD1048576"/>
    </sheetView>
  </sheetViews>
  <sheetFormatPr defaultColWidth="9.140625" defaultRowHeight="12.75"/>
  <cols>
    <col min="1" max="1" width="15.42578125" style="436" customWidth="1"/>
    <col min="2" max="2" width="14" style="436" customWidth="1"/>
    <col min="3" max="3" width="13.28515625" style="436" customWidth="1"/>
    <col min="4" max="4" width="13.5703125" style="436" customWidth="1"/>
    <col min="5" max="5" width="13.7109375" style="436" customWidth="1"/>
    <col min="6" max="6" width="14.7109375" style="436" customWidth="1"/>
    <col min="7" max="7" width="17.7109375" style="436" customWidth="1"/>
    <col min="8" max="16384" width="9.140625" style="436"/>
  </cols>
  <sheetData>
    <row r="1" spans="1:7" ht="13.5" customHeight="1">
      <c r="A1" s="433" t="s">
        <v>155</v>
      </c>
      <c r="B1" s="434" t="s">
        <v>154</v>
      </c>
      <c r="C1" s="435"/>
      <c r="D1" s="434" t="s">
        <v>153</v>
      </c>
      <c r="E1" s="435"/>
      <c r="F1" s="434" t="s">
        <v>152</v>
      </c>
      <c r="G1" s="435"/>
    </row>
    <row r="2" spans="1:7">
      <c r="A2" s="437"/>
      <c r="B2" s="438"/>
      <c r="C2" s="439"/>
      <c r="D2" s="440" t="s">
        <v>357</v>
      </c>
      <c r="E2" s="441">
        <v>4995</v>
      </c>
      <c r="F2" s="442"/>
      <c r="G2" s="443"/>
    </row>
    <row r="3" spans="1:7">
      <c r="A3" s="437">
        <v>7424</v>
      </c>
      <c r="B3" s="444" t="str">
        <f t="shared" ref="B3:B38" si="0">D2</f>
        <v>1.8.13</v>
      </c>
      <c r="C3" s="445">
        <v>4995</v>
      </c>
      <c r="D3" s="446" t="s">
        <v>356</v>
      </c>
      <c r="E3" s="447">
        <v>10097</v>
      </c>
      <c r="F3" s="448">
        <f t="shared" ref="F3:F38" si="1">SUM(E3-E2)</f>
        <v>5102</v>
      </c>
      <c r="G3" s="449" t="b">
        <f t="shared" ref="G3:G38" si="2">IF(F3&gt;5250,"OVER")</f>
        <v>0</v>
      </c>
    </row>
    <row r="4" spans="1:7">
      <c r="A4" s="437">
        <v>7483</v>
      </c>
      <c r="B4" s="444" t="str">
        <f t="shared" si="0"/>
        <v>2.25.13</v>
      </c>
      <c r="C4" s="445">
        <v>10097</v>
      </c>
      <c r="D4" s="446" t="s">
        <v>355</v>
      </c>
      <c r="E4" s="447">
        <v>14971</v>
      </c>
      <c r="F4" s="448">
        <f t="shared" si="1"/>
        <v>4874</v>
      </c>
      <c r="G4" s="449" t="b">
        <f t="shared" si="2"/>
        <v>0</v>
      </c>
    </row>
    <row r="5" spans="1:7">
      <c r="A5" s="437">
        <v>7536</v>
      </c>
      <c r="B5" s="444" t="str">
        <f t="shared" si="0"/>
        <v>4.10.13</v>
      </c>
      <c r="C5" s="445">
        <v>14971</v>
      </c>
      <c r="D5" s="446" t="s">
        <v>354</v>
      </c>
      <c r="E5" s="447">
        <v>19813</v>
      </c>
      <c r="F5" s="448">
        <f t="shared" si="1"/>
        <v>4842</v>
      </c>
      <c r="G5" s="449" t="b">
        <f t="shared" si="2"/>
        <v>0</v>
      </c>
    </row>
    <row r="6" spans="1:7">
      <c r="A6" s="437">
        <v>7612</v>
      </c>
      <c r="B6" s="444" t="str">
        <f t="shared" si="0"/>
        <v>6.4.13</v>
      </c>
      <c r="C6" s="445">
        <v>19813</v>
      </c>
      <c r="D6" s="446" t="s">
        <v>353</v>
      </c>
      <c r="E6" s="447">
        <v>24856</v>
      </c>
      <c r="F6" s="448">
        <f t="shared" si="1"/>
        <v>5043</v>
      </c>
      <c r="G6" s="449" t="b">
        <f t="shared" si="2"/>
        <v>0</v>
      </c>
    </row>
    <row r="7" spans="1:7">
      <c r="A7" s="437">
        <v>7703</v>
      </c>
      <c r="B7" s="444" t="str">
        <f t="shared" si="0"/>
        <v>7.19.13</v>
      </c>
      <c r="C7" s="445">
        <v>24856</v>
      </c>
      <c r="D7" s="446" t="s">
        <v>352</v>
      </c>
      <c r="E7" s="447">
        <v>30154</v>
      </c>
      <c r="F7" s="448">
        <f t="shared" si="1"/>
        <v>5298</v>
      </c>
      <c r="G7" s="449" t="str">
        <f t="shared" si="2"/>
        <v>OVER</v>
      </c>
    </row>
    <row r="8" spans="1:7">
      <c r="A8" s="437">
        <v>7790</v>
      </c>
      <c r="B8" s="444" t="str">
        <f t="shared" si="0"/>
        <v>9.4.13</v>
      </c>
      <c r="C8" s="445">
        <v>30154</v>
      </c>
      <c r="D8" s="446" t="s">
        <v>351</v>
      </c>
      <c r="E8" s="447">
        <v>34977</v>
      </c>
      <c r="F8" s="448">
        <f t="shared" si="1"/>
        <v>4823</v>
      </c>
      <c r="G8" s="449" t="b">
        <f t="shared" si="2"/>
        <v>0</v>
      </c>
    </row>
    <row r="9" spans="1:7">
      <c r="A9" s="437">
        <v>7881</v>
      </c>
      <c r="B9" s="444" t="str">
        <f t="shared" si="0"/>
        <v>10.18.13</v>
      </c>
      <c r="C9" s="445">
        <v>34977</v>
      </c>
      <c r="D9" s="446" t="s">
        <v>350</v>
      </c>
      <c r="E9" s="447">
        <v>40048</v>
      </c>
      <c r="F9" s="448">
        <f t="shared" si="1"/>
        <v>5071</v>
      </c>
      <c r="G9" s="449" t="b">
        <f t="shared" si="2"/>
        <v>0</v>
      </c>
    </row>
    <row r="10" spans="1:7">
      <c r="A10" s="437">
        <v>7979</v>
      </c>
      <c r="B10" s="444" t="str">
        <f t="shared" si="0"/>
        <v>11.27.13</v>
      </c>
      <c r="C10" s="445">
        <v>40048</v>
      </c>
      <c r="D10" s="446" t="s">
        <v>349</v>
      </c>
      <c r="E10" s="447">
        <v>45028</v>
      </c>
      <c r="F10" s="448">
        <f t="shared" si="1"/>
        <v>4980</v>
      </c>
      <c r="G10" s="449" t="b">
        <f t="shared" si="2"/>
        <v>0</v>
      </c>
    </row>
    <row r="11" spans="1:7">
      <c r="A11" s="437">
        <v>8067</v>
      </c>
      <c r="B11" s="444" t="str">
        <f t="shared" si="0"/>
        <v>1.8.14</v>
      </c>
      <c r="C11" s="445">
        <v>45028</v>
      </c>
      <c r="D11" s="446" t="s">
        <v>348</v>
      </c>
      <c r="E11" s="447">
        <v>50038</v>
      </c>
      <c r="F11" s="448">
        <f t="shared" si="1"/>
        <v>5010</v>
      </c>
      <c r="G11" s="449" t="b">
        <f t="shared" si="2"/>
        <v>0</v>
      </c>
    </row>
    <row r="12" spans="1:7">
      <c r="A12" s="437">
        <v>8149</v>
      </c>
      <c r="B12" s="444" t="str">
        <f t="shared" si="0"/>
        <v>2.18.14</v>
      </c>
      <c r="C12" s="445">
        <v>50038</v>
      </c>
      <c r="D12" s="446" t="s">
        <v>347</v>
      </c>
      <c r="E12" s="447">
        <v>54964</v>
      </c>
      <c r="F12" s="448">
        <f t="shared" si="1"/>
        <v>4926</v>
      </c>
      <c r="G12" s="449" t="b">
        <f t="shared" si="2"/>
        <v>0</v>
      </c>
    </row>
    <row r="13" spans="1:7">
      <c r="A13" s="437">
        <v>8278</v>
      </c>
      <c r="B13" s="444" t="str">
        <f t="shared" si="0"/>
        <v>4.9.14</v>
      </c>
      <c r="C13" s="445">
        <v>54964</v>
      </c>
      <c r="D13" s="446" t="s">
        <v>346</v>
      </c>
      <c r="E13" s="447">
        <v>59959</v>
      </c>
      <c r="F13" s="448">
        <f t="shared" si="1"/>
        <v>4995</v>
      </c>
      <c r="G13" s="449" t="b">
        <f t="shared" si="2"/>
        <v>0</v>
      </c>
    </row>
    <row r="14" spans="1:7">
      <c r="A14" s="437">
        <v>8366</v>
      </c>
      <c r="B14" s="444" t="str">
        <f t="shared" si="0"/>
        <v>5.19.14</v>
      </c>
      <c r="C14" s="445">
        <v>59959</v>
      </c>
      <c r="D14" s="446" t="s">
        <v>345</v>
      </c>
      <c r="E14" s="447">
        <v>65246</v>
      </c>
      <c r="F14" s="448">
        <f t="shared" si="1"/>
        <v>5287</v>
      </c>
      <c r="G14" s="449" t="str">
        <f t="shared" si="2"/>
        <v>OVER</v>
      </c>
    </row>
    <row r="15" spans="1:7">
      <c r="A15" s="437">
        <v>8451</v>
      </c>
      <c r="B15" s="444" t="str">
        <f t="shared" si="0"/>
        <v>7.2.14</v>
      </c>
      <c r="C15" s="450">
        <v>65246</v>
      </c>
      <c r="D15" s="451" t="s">
        <v>344</v>
      </c>
      <c r="E15" s="452">
        <v>69995</v>
      </c>
      <c r="F15" s="448">
        <f t="shared" si="1"/>
        <v>4749</v>
      </c>
      <c r="G15" s="449" t="b">
        <f t="shared" si="2"/>
        <v>0</v>
      </c>
    </row>
    <row r="16" spans="1:7" ht="13.5" thickBot="1">
      <c r="A16" s="453">
        <v>8577</v>
      </c>
      <c r="B16" s="444" t="str">
        <f t="shared" si="0"/>
        <v>8.12.14</v>
      </c>
      <c r="C16" s="454">
        <v>69995</v>
      </c>
      <c r="D16" s="455" t="s">
        <v>343</v>
      </c>
      <c r="E16" s="456">
        <v>75101</v>
      </c>
      <c r="F16" s="448">
        <f t="shared" si="1"/>
        <v>5106</v>
      </c>
      <c r="G16" s="457" t="b">
        <f t="shared" si="2"/>
        <v>0</v>
      </c>
    </row>
    <row r="17" spans="1:7" ht="13.5" thickBot="1">
      <c r="A17" s="458">
        <v>8621</v>
      </c>
      <c r="B17" s="444" t="str">
        <f t="shared" si="0"/>
        <v>9.23.14</v>
      </c>
      <c r="C17" s="459">
        <v>75101</v>
      </c>
      <c r="D17" s="460" t="s">
        <v>342</v>
      </c>
      <c r="E17" s="461">
        <v>80066</v>
      </c>
      <c r="F17" s="448">
        <f t="shared" si="1"/>
        <v>4965</v>
      </c>
      <c r="G17" s="462" t="b">
        <f t="shared" si="2"/>
        <v>0</v>
      </c>
    </row>
    <row r="18" spans="1:7">
      <c r="A18" s="463">
        <v>8716</v>
      </c>
      <c r="B18" s="444" t="str">
        <f t="shared" si="0"/>
        <v>11.5.14</v>
      </c>
      <c r="C18" s="464">
        <v>80066</v>
      </c>
      <c r="D18" s="465" t="s">
        <v>341</v>
      </c>
      <c r="E18" s="466">
        <v>84965</v>
      </c>
      <c r="F18" s="448">
        <f t="shared" si="1"/>
        <v>4899</v>
      </c>
      <c r="G18" s="467" t="b">
        <f t="shared" si="2"/>
        <v>0</v>
      </c>
    </row>
    <row r="19" spans="1:7">
      <c r="A19" s="437">
        <v>8824</v>
      </c>
      <c r="B19" s="444" t="str">
        <f t="shared" si="0"/>
        <v>12.20.14</v>
      </c>
      <c r="C19" s="445">
        <v>84965</v>
      </c>
      <c r="D19" s="446" t="s">
        <v>340</v>
      </c>
      <c r="E19" s="447">
        <v>90150</v>
      </c>
      <c r="F19" s="448">
        <f t="shared" si="1"/>
        <v>5185</v>
      </c>
      <c r="G19" s="449" t="b">
        <f t="shared" si="2"/>
        <v>0</v>
      </c>
    </row>
    <row r="20" spans="1:7">
      <c r="A20" s="437">
        <v>8921</v>
      </c>
      <c r="B20" s="444" t="str">
        <f t="shared" si="0"/>
        <v>2.3.15</v>
      </c>
      <c r="C20" s="445">
        <v>90150</v>
      </c>
      <c r="D20" s="446" t="s">
        <v>339</v>
      </c>
      <c r="E20" s="447">
        <v>94921</v>
      </c>
      <c r="F20" s="448">
        <f t="shared" si="1"/>
        <v>4771</v>
      </c>
      <c r="G20" s="449" t="b">
        <f t="shared" si="2"/>
        <v>0</v>
      </c>
    </row>
    <row r="21" spans="1:7">
      <c r="A21" s="437">
        <v>9011</v>
      </c>
      <c r="B21" s="444" t="str">
        <f t="shared" si="0"/>
        <v>3.14.15</v>
      </c>
      <c r="C21" s="445">
        <v>94921</v>
      </c>
      <c r="D21" s="446" t="s">
        <v>338</v>
      </c>
      <c r="E21" s="447">
        <v>99921</v>
      </c>
      <c r="F21" s="448">
        <f t="shared" si="1"/>
        <v>5000</v>
      </c>
      <c r="G21" s="449" t="b">
        <f t="shared" si="2"/>
        <v>0</v>
      </c>
    </row>
    <row r="22" spans="1:7">
      <c r="A22" s="437">
        <v>9085</v>
      </c>
      <c r="B22" s="444" t="str">
        <f t="shared" si="0"/>
        <v>4.23.15</v>
      </c>
      <c r="C22" s="445">
        <v>99921</v>
      </c>
      <c r="D22" s="446" t="s">
        <v>337</v>
      </c>
      <c r="E22" s="447">
        <v>104922</v>
      </c>
      <c r="F22" s="448">
        <f t="shared" si="1"/>
        <v>5001</v>
      </c>
      <c r="G22" s="449" t="b">
        <f t="shared" si="2"/>
        <v>0</v>
      </c>
    </row>
    <row r="23" spans="1:7">
      <c r="A23" s="437">
        <v>9184</v>
      </c>
      <c r="B23" s="444" t="str">
        <f t="shared" si="0"/>
        <v>6.20.15</v>
      </c>
      <c r="C23" s="445">
        <v>104922</v>
      </c>
      <c r="D23" s="446" t="s">
        <v>336</v>
      </c>
      <c r="E23" s="447">
        <v>109949</v>
      </c>
      <c r="F23" s="448">
        <f t="shared" si="1"/>
        <v>5027</v>
      </c>
      <c r="G23" s="449" t="b">
        <f t="shared" si="2"/>
        <v>0</v>
      </c>
    </row>
    <row r="24" spans="1:7">
      <c r="A24" s="437">
        <v>9273</v>
      </c>
      <c r="B24" s="444" t="str">
        <f t="shared" si="0"/>
        <v>8.1.15</v>
      </c>
      <c r="C24" s="445">
        <v>109949</v>
      </c>
      <c r="D24" s="446" t="s">
        <v>335</v>
      </c>
      <c r="E24" s="447">
        <v>115102</v>
      </c>
      <c r="F24" s="448">
        <f t="shared" si="1"/>
        <v>5153</v>
      </c>
      <c r="G24" s="449" t="b">
        <f t="shared" si="2"/>
        <v>0</v>
      </c>
    </row>
    <row r="25" spans="1:7">
      <c r="A25" s="437">
        <v>9345</v>
      </c>
      <c r="B25" s="444" t="str">
        <f t="shared" si="0"/>
        <v>9.10.15</v>
      </c>
      <c r="C25" s="445">
        <v>115102</v>
      </c>
      <c r="D25" s="446" t="s">
        <v>334</v>
      </c>
      <c r="E25" s="447">
        <v>119887</v>
      </c>
      <c r="F25" s="448">
        <f t="shared" si="1"/>
        <v>4785</v>
      </c>
      <c r="G25" s="449" t="b">
        <f t="shared" si="2"/>
        <v>0</v>
      </c>
    </row>
    <row r="26" spans="1:7">
      <c r="A26" s="437">
        <v>9419</v>
      </c>
      <c r="B26" s="444" t="str">
        <f t="shared" si="0"/>
        <v>10.20.15</v>
      </c>
      <c r="C26" s="445">
        <v>119887</v>
      </c>
      <c r="D26" s="446" t="s">
        <v>333</v>
      </c>
      <c r="E26" s="447">
        <v>124928</v>
      </c>
      <c r="F26" s="448">
        <f t="shared" si="1"/>
        <v>5041</v>
      </c>
      <c r="G26" s="449" t="b">
        <f t="shared" si="2"/>
        <v>0</v>
      </c>
    </row>
    <row r="27" spans="1:7">
      <c r="A27" s="437">
        <v>9517</v>
      </c>
      <c r="B27" s="444" t="str">
        <f t="shared" si="0"/>
        <v>12.4.15</v>
      </c>
      <c r="C27" s="445">
        <v>124928</v>
      </c>
      <c r="D27" s="446" t="s">
        <v>332</v>
      </c>
      <c r="E27" s="447">
        <v>130063</v>
      </c>
      <c r="F27" s="448">
        <f t="shared" si="1"/>
        <v>5135</v>
      </c>
      <c r="G27" s="449" t="b">
        <f t="shared" si="2"/>
        <v>0</v>
      </c>
    </row>
    <row r="28" spans="1:7">
      <c r="A28" s="437">
        <v>9670</v>
      </c>
      <c r="B28" s="444" t="str">
        <f t="shared" si="0"/>
        <v>2.19.16</v>
      </c>
      <c r="C28" s="445">
        <v>130063</v>
      </c>
      <c r="D28" s="446" t="s">
        <v>331</v>
      </c>
      <c r="E28" s="447">
        <v>135063</v>
      </c>
      <c r="F28" s="448">
        <f t="shared" si="1"/>
        <v>5000</v>
      </c>
      <c r="G28" s="449" t="b">
        <f t="shared" si="2"/>
        <v>0</v>
      </c>
    </row>
    <row r="29" spans="1:7">
      <c r="A29" s="437">
        <v>9675</v>
      </c>
      <c r="B29" s="444" t="str">
        <f t="shared" si="0"/>
        <v>2.26.16</v>
      </c>
      <c r="C29" s="445">
        <v>135063</v>
      </c>
      <c r="D29" s="446" t="s">
        <v>330</v>
      </c>
      <c r="E29" s="447">
        <v>139958</v>
      </c>
      <c r="F29" s="448">
        <f t="shared" si="1"/>
        <v>4895</v>
      </c>
      <c r="G29" s="449" t="b">
        <f t="shared" si="2"/>
        <v>0</v>
      </c>
    </row>
    <row r="30" spans="1:7">
      <c r="A30" s="437">
        <v>9762</v>
      </c>
      <c r="B30" s="444" t="str">
        <f t="shared" si="0"/>
        <v>4.15.16</v>
      </c>
      <c r="C30" s="445">
        <v>139958</v>
      </c>
      <c r="D30" s="446" t="s">
        <v>329</v>
      </c>
      <c r="E30" s="447">
        <v>144953</v>
      </c>
      <c r="F30" s="448">
        <f t="shared" si="1"/>
        <v>4995</v>
      </c>
      <c r="G30" s="449" t="b">
        <f t="shared" si="2"/>
        <v>0</v>
      </c>
    </row>
    <row r="31" spans="1:7">
      <c r="A31" s="437">
        <v>9851</v>
      </c>
      <c r="B31" s="444" t="str">
        <f t="shared" si="0"/>
        <v>6.7.16</v>
      </c>
      <c r="C31" s="445">
        <v>144953</v>
      </c>
      <c r="D31" s="446" t="s">
        <v>328</v>
      </c>
      <c r="E31" s="447">
        <v>150092</v>
      </c>
      <c r="F31" s="448">
        <f t="shared" si="1"/>
        <v>5139</v>
      </c>
      <c r="G31" s="449" t="b">
        <f t="shared" si="2"/>
        <v>0</v>
      </c>
    </row>
    <row r="32" spans="1:7">
      <c r="A32" s="437">
        <v>9923</v>
      </c>
      <c r="B32" s="444" t="str">
        <f t="shared" si="0"/>
        <v>7.20.16</v>
      </c>
      <c r="C32" s="445">
        <v>150092</v>
      </c>
      <c r="D32" s="446" t="s">
        <v>327</v>
      </c>
      <c r="E32" s="447">
        <v>155035</v>
      </c>
      <c r="F32" s="448">
        <f t="shared" si="1"/>
        <v>4943</v>
      </c>
      <c r="G32" s="449" t="b">
        <f t="shared" si="2"/>
        <v>0</v>
      </c>
    </row>
    <row r="33" spans="1:7">
      <c r="A33" s="437">
        <v>10058</v>
      </c>
      <c r="B33" s="444" t="str">
        <f t="shared" si="0"/>
        <v>9.24.16</v>
      </c>
      <c r="C33" s="445">
        <v>155035</v>
      </c>
      <c r="D33" s="446" t="s">
        <v>326</v>
      </c>
      <c r="E33" s="447">
        <v>160008</v>
      </c>
      <c r="F33" s="448">
        <f t="shared" si="1"/>
        <v>4973</v>
      </c>
      <c r="G33" s="449" t="b">
        <f t="shared" si="2"/>
        <v>0</v>
      </c>
    </row>
    <row r="34" spans="1:7">
      <c r="A34" s="437">
        <v>10140</v>
      </c>
      <c r="B34" s="444" t="str">
        <f t="shared" si="0"/>
        <v>11.11.16</v>
      </c>
      <c r="C34" s="445">
        <v>160008</v>
      </c>
      <c r="D34" s="446" t="s">
        <v>325</v>
      </c>
      <c r="E34" s="447">
        <v>164893</v>
      </c>
      <c r="F34" s="448">
        <f t="shared" si="1"/>
        <v>4885</v>
      </c>
      <c r="G34" s="449" t="b">
        <f t="shared" si="2"/>
        <v>0</v>
      </c>
    </row>
    <row r="35" spans="1:7">
      <c r="A35" s="437"/>
      <c r="B35" s="444" t="str">
        <f t="shared" si="0"/>
        <v>12.31.16</v>
      </c>
      <c r="C35" s="445">
        <v>164893</v>
      </c>
      <c r="D35" s="446" t="s">
        <v>324</v>
      </c>
      <c r="E35" s="447">
        <v>169795</v>
      </c>
      <c r="F35" s="448">
        <f t="shared" si="1"/>
        <v>4902</v>
      </c>
      <c r="G35" s="449" t="b">
        <f t="shared" si="2"/>
        <v>0</v>
      </c>
    </row>
    <row r="36" spans="1:7">
      <c r="A36" s="437">
        <v>10303</v>
      </c>
      <c r="B36" s="444" t="str">
        <f t="shared" si="0"/>
        <v>2.15.17</v>
      </c>
      <c r="C36" s="445">
        <v>169795</v>
      </c>
      <c r="D36" s="446" t="s">
        <v>323</v>
      </c>
      <c r="E36" s="447">
        <v>174745</v>
      </c>
      <c r="F36" s="448">
        <f t="shared" si="1"/>
        <v>4950</v>
      </c>
      <c r="G36" s="449" t="b">
        <f t="shared" si="2"/>
        <v>0</v>
      </c>
    </row>
    <row r="37" spans="1:7">
      <c r="A37" s="437">
        <v>10428</v>
      </c>
      <c r="B37" s="444" t="str">
        <f t="shared" si="0"/>
        <v>4.19.17</v>
      </c>
      <c r="C37" s="445">
        <v>174745</v>
      </c>
      <c r="D37" s="446" t="s">
        <v>322</v>
      </c>
      <c r="E37" s="447">
        <v>179634</v>
      </c>
      <c r="F37" s="448">
        <f t="shared" si="1"/>
        <v>4889</v>
      </c>
      <c r="G37" s="449" t="b">
        <f t="shared" si="2"/>
        <v>0</v>
      </c>
    </row>
    <row r="38" spans="1:7">
      <c r="A38" s="437">
        <v>10525</v>
      </c>
      <c r="B38" s="444" t="str">
        <f t="shared" si="0"/>
        <v>6.3.17</v>
      </c>
      <c r="C38" s="445">
        <v>179634</v>
      </c>
      <c r="D38" s="446"/>
      <c r="E38" s="447"/>
      <c r="F38" s="448">
        <f t="shared" si="1"/>
        <v>-179634</v>
      </c>
      <c r="G38" s="449" t="b">
        <f t="shared" si="2"/>
        <v>0</v>
      </c>
    </row>
  </sheetData>
  <mergeCells count="3">
    <mergeCell ref="B1:C1"/>
    <mergeCell ref="D1:E1"/>
    <mergeCell ref="F1:G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R11"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'[5]Projected Maint Practices'!Q7</f>
        <v>5237</v>
      </c>
      <c r="D6" s="264">
        <f>'[5]True Maint Practices'!Q7</f>
        <v>3022</v>
      </c>
    </row>
    <row r="7" spans="1:6" ht="15">
      <c r="B7" s="263">
        <v>2</v>
      </c>
      <c r="C7" s="264">
        <f>'[5]Projected Maint Practices'!Q8</f>
        <v>5237</v>
      </c>
      <c r="D7" s="264">
        <f>'[5]True Maint Practices'!Q8</f>
        <v>2080.92</v>
      </c>
    </row>
    <row r="8" spans="1:6" ht="15">
      <c r="B8" s="263">
        <v>3</v>
      </c>
      <c r="C8" s="264">
        <f>'[5]Projected Maint Practices'!Q9</f>
        <v>5237</v>
      </c>
      <c r="D8" s="264">
        <f>'[5]True Maint Practices'!Q9</f>
        <v>7410</v>
      </c>
    </row>
    <row r="9" spans="1:6" ht="15">
      <c r="B9" s="263">
        <v>4</v>
      </c>
      <c r="C9" s="264">
        <f>'[5]Projected Maint Practices'!Q10</f>
        <v>5237</v>
      </c>
      <c r="D9" s="264">
        <f>'[5]True Maint Practices'!Q10</f>
        <v>1000</v>
      </c>
    </row>
    <row r="10" spans="1:6" ht="15">
      <c r="B10" s="263">
        <v>5</v>
      </c>
      <c r="C10" s="264">
        <f>'[5]Projected Maint Practices'!Q11</f>
        <v>15604</v>
      </c>
      <c r="D10" s="264">
        <f>'[5]True Maint Practices'!Q11</f>
        <v>559</v>
      </c>
    </row>
    <row r="11" spans="1:6" ht="15">
      <c r="B11" s="263">
        <v>6</v>
      </c>
      <c r="C11" s="264">
        <f>'[5]Projected Maint Practices'!Q12</f>
        <v>5237</v>
      </c>
      <c r="D11" s="264">
        <f>'[5]True Maint Practices'!Q12</f>
        <v>0</v>
      </c>
    </row>
    <row r="12" spans="1:6" ht="15">
      <c r="B12" s="263">
        <v>7</v>
      </c>
      <c r="C12" s="264">
        <f>'[5]Projected Maint Practices'!Q13</f>
        <v>5237</v>
      </c>
      <c r="D12" s="264">
        <f>'[5]True Maint Practices'!Q13</f>
        <v>0</v>
      </c>
    </row>
    <row r="13" spans="1:6" ht="15">
      <c r="B13" s="263">
        <v>8</v>
      </c>
      <c r="C13" s="264">
        <f>'[5]Projected Maint Practices'!Q14</f>
        <v>5237</v>
      </c>
      <c r="D13" s="264">
        <f>'[5]True Maint Practices'!Q14</f>
        <v>0</v>
      </c>
    </row>
    <row r="14" spans="1:6" ht="15">
      <c r="B14" s="263">
        <v>9</v>
      </c>
      <c r="C14" s="264">
        <f>'[5]Projected Maint Practices'!Q15</f>
        <v>5237</v>
      </c>
      <c r="D14" s="264">
        <f>'[5]True Maint Practices'!Q15</f>
        <v>0</v>
      </c>
    </row>
    <row r="15" spans="1:6" ht="15">
      <c r="B15" s="263">
        <v>10</v>
      </c>
      <c r="C15" s="264">
        <f>'[5]Projected Maint Practices'!Q16</f>
        <v>5237</v>
      </c>
      <c r="D15" s="264">
        <f>'[5]True Maint Practices'!Q16</f>
        <v>0</v>
      </c>
    </row>
    <row r="16" spans="1:6" ht="15">
      <c r="B16" s="263">
        <v>11</v>
      </c>
      <c r="C16" s="264">
        <f>'[5]Projected Maint Practices'!Q17</f>
        <v>5237</v>
      </c>
      <c r="D16" s="264">
        <f>'[5]True Maint Practices'!Q17</f>
        <v>0</v>
      </c>
    </row>
    <row r="17" spans="2:4" ht="15">
      <c r="B17" s="263">
        <v>12</v>
      </c>
      <c r="C17" s="264">
        <f>'[5]Projected Maint Practices'!Q18</f>
        <v>5237</v>
      </c>
      <c r="D17" s="264">
        <f>'[5]True Maint Practices'!Q18</f>
        <v>0</v>
      </c>
    </row>
    <row r="18" spans="2:4" ht="15">
      <c r="B18" s="260" t="s">
        <v>1</v>
      </c>
      <c r="C18" s="264">
        <f>SUM(C6:C17)</f>
        <v>73211</v>
      </c>
      <c r="D18" s="264">
        <f>SUM(D6:D17)</f>
        <v>14071.92</v>
      </c>
    </row>
  </sheetData>
  <printOptions horizontalCentered="1" verticalCentered="1"/>
  <pageMargins left="0.5" right="0.5" top="0.75" bottom="0.75" header="0.5" footer="0.5"/>
  <pageSetup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1"/>
  <sheetViews>
    <sheetView showGridLines="0" zoomScaleNormal="100" workbookViewId="0">
      <selection activeCell="Q11" sqref="A1:XFD1048576"/>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s="1" customFormat="1" ht="16.5" customHeight="1">
      <c r="B1" s="43"/>
      <c r="C1" s="43"/>
      <c r="D1" s="43"/>
      <c r="E1" s="43"/>
      <c r="F1" s="43"/>
      <c r="G1" s="43"/>
      <c r="H1" s="43"/>
      <c r="I1" s="43"/>
      <c r="J1" s="43"/>
      <c r="K1" s="43"/>
      <c r="L1" s="43"/>
      <c r="M1" s="43"/>
      <c r="N1" s="43"/>
      <c r="O1" s="43"/>
      <c r="P1" s="43"/>
    </row>
    <row r="2" spans="2:22" s="1" customFormat="1" ht="31.5" customHeight="1">
      <c r="B2" s="404" t="s">
        <v>1776</v>
      </c>
      <c r="C2" s="43"/>
      <c r="D2" s="43"/>
      <c r="E2" s="43"/>
      <c r="F2" s="43"/>
      <c r="G2" s="43"/>
      <c r="H2" s="43"/>
      <c r="I2" s="43"/>
      <c r="J2" s="43"/>
      <c r="K2" s="43"/>
      <c r="L2" s="43"/>
      <c r="M2" s="43"/>
      <c r="N2" s="43"/>
      <c r="O2" s="43" t="s">
        <v>233</v>
      </c>
      <c r="P2" s="43"/>
    </row>
    <row r="3" spans="2:22" s="1" customFormat="1" ht="16.5" customHeight="1">
      <c r="B3" s="43"/>
      <c r="C3" s="43"/>
      <c r="D3" s="43"/>
      <c r="E3" s="43"/>
      <c r="F3" s="43"/>
      <c r="G3" s="43"/>
      <c r="H3" s="43"/>
      <c r="I3" s="43"/>
      <c r="J3" s="43"/>
      <c r="K3" s="43"/>
      <c r="L3" s="43"/>
      <c r="M3" s="43"/>
      <c r="N3" s="43"/>
      <c r="O3" s="43"/>
      <c r="P3" s="43"/>
    </row>
    <row r="12" spans="2:22" s="1" customFormat="1" ht="16.5" customHeight="1">
      <c r="V12" s="1" t="s">
        <v>32</v>
      </c>
    </row>
    <row r="18" spans="2:16" s="1" customFormat="1"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s="1" customFormat="1" ht="16.5" customHeight="1">
      <c r="B19" s="101" t="s">
        <v>17</v>
      </c>
      <c r="C19" s="8"/>
      <c r="D19" s="8"/>
      <c r="E19" s="8"/>
      <c r="F19" s="8"/>
      <c r="G19" s="8"/>
      <c r="H19" s="8"/>
      <c r="I19" s="8">
        <v>818.95</v>
      </c>
      <c r="J19" s="8">
        <v>131.96</v>
      </c>
      <c r="K19" s="8"/>
      <c r="L19" s="8">
        <v>1187.53</v>
      </c>
      <c r="M19" s="30"/>
      <c r="N19" s="8"/>
      <c r="O19" s="4">
        <f t="shared" ref="O19:O38" si="0">SUM(C19:N19)</f>
        <v>2138.44</v>
      </c>
      <c r="P19" s="102"/>
    </row>
    <row r="20" spans="2:16" s="1" customFormat="1" ht="16.5" customHeight="1">
      <c r="B20" s="101" t="s">
        <v>16</v>
      </c>
      <c r="C20" s="8"/>
      <c r="D20" s="8"/>
      <c r="E20" s="8"/>
      <c r="F20" s="8"/>
      <c r="G20" s="8"/>
      <c r="H20" s="8"/>
      <c r="I20" s="8"/>
      <c r="J20" s="8"/>
      <c r="K20" s="8"/>
      <c r="L20" s="8"/>
      <c r="M20" s="30"/>
      <c r="N20" s="8"/>
      <c r="O20" s="4">
        <f t="shared" si="0"/>
        <v>0</v>
      </c>
      <c r="P20" s="102"/>
    </row>
    <row r="21" spans="2:16" s="1" customFormat="1" ht="16.5" customHeight="1">
      <c r="B21" s="101" t="s">
        <v>15</v>
      </c>
      <c r="C21" s="8"/>
      <c r="D21" s="8"/>
      <c r="E21" s="8"/>
      <c r="F21" s="8"/>
      <c r="G21" s="8"/>
      <c r="H21" s="8"/>
      <c r="I21" s="8"/>
      <c r="J21" s="8">
        <v>48.09</v>
      </c>
      <c r="K21" s="8"/>
      <c r="L21" s="8"/>
      <c r="M21" s="30"/>
      <c r="N21" s="8"/>
      <c r="O21" s="4">
        <f t="shared" si="0"/>
        <v>48.09</v>
      </c>
      <c r="P21" s="102"/>
    </row>
    <row r="22" spans="2:16" s="1" customFormat="1" ht="16.5" customHeight="1">
      <c r="B22" s="101" t="s">
        <v>14</v>
      </c>
      <c r="C22" s="8"/>
      <c r="D22" s="8"/>
      <c r="E22" s="8"/>
      <c r="F22" s="8"/>
      <c r="G22" s="8"/>
      <c r="H22" s="8"/>
      <c r="I22" s="8"/>
      <c r="J22" s="8">
        <v>42.889000000000003</v>
      </c>
      <c r="K22" s="8"/>
      <c r="L22" s="8"/>
      <c r="M22" s="30"/>
      <c r="N22" s="8"/>
      <c r="O22" s="4">
        <f t="shared" si="0"/>
        <v>42.889000000000003</v>
      </c>
      <c r="P22" s="102"/>
    </row>
    <row r="23" spans="2:16" s="1" customFormat="1" ht="16.5" customHeight="1">
      <c r="B23" s="101" t="s">
        <v>13</v>
      </c>
      <c r="C23" s="8"/>
      <c r="D23" s="8"/>
      <c r="E23" s="8"/>
      <c r="F23" s="8"/>
      <c r="G23" s="8"/>
      <c r="H23" s="8"/>
      <c r="I23" s="8"/>
      <c r="J23" s="8"/>
      <c r="K23" s="8"/>
      <c r="L23" s="8"/>
      <c r="M23" s="30"/>
      <c r="N23" s="8"/>
      <c r="O23" s="4">
        <f t="shared" si="0"/>
        <v>0</v>
      </c>
      <c r="P23" s="102"/>
    </row>
    <row r="24" spans="2:16" s="1" customFormat="1" ht="16.5" customHeight="1">
      <c r="B24" s="103" t="s">
        <v>12</v>
      </c>
      <c r="C24" s="17"/>
      <c r="D24" s="17"/>
      <c r="E24" s="17"/>
      <c r="F24" s="17"/>
      <c r="G24" s="17"/>
      <c r="H24" s="17"/>
      <c r="I24" s="17"/>
      <c r="J24" s="17">
        <v>28</v>
      </c>
      <c r="K24" s="17"/>
      <c r="L24" s="17"/>
      <c r="M24" s="35"/>
      <c r="N24" s="17"/>
      <c r="O24" s="4">
        <f t="shared" si="0"/>
        <v>28</v>
      </c>
      <c r="P24" s="102"/>
    </row>
    <row r="25" spans="2:16" s="1" customFormat="1" ht="16.5" customHeight="1">
      <c r="B25" s="103" t="s">
        <v>11</v>
      </c>
      <c r="C25" s="17"/>
      <c r="D25" s="17"/>
      <c r="E25" s="17"/>
      <c r="F25" s="17"/>
      <c r="G25" s="17"/>
      <c r="H25" s="17"/>
      <c r="I25" s="17"/>
      <c r="J25" s="17"/>
      <c r="K25" s="17"/>
      <c r="L25" s="17"/>
      <c r="M25" s="35"/>
      <c r="N25" s="17"/>
      <c r="O25" s="4">
        <f t="shared" si="0"/>
        <v>0</v>
      </c>
      <c r="P25" s="102"/>
    </row>
    <row r="26" spans="2:16" s="1" customFormat="1" ht="16.5" customHeight="1">
      <c r="B26" s="103" t="s">
        <v>10</v>
      </c>
      <c r="C26" s="17"/>
      <c r="D26" s="17"/>
      <c r="E26" s="17"/>
      <c r="F26" s="17"/>
      <c r="G26" s="17"/>
      <c r="H26" s="17"/>
      <c r="I26" s="17"/>
      <c r="J26" s="17"/>
      <c r="K26" s="17"/>
      <c r="L26" s="17"/>
      <c r="M26" s="35"/>
      <c r="N26" s="17"/>
      <c r="O26" s="4">
        <f t="shared" si="0"/>
        <v>0</v>
      </c>
      <c r="P26" s="102"/>
    </row>
    <row r="27" spans="2:16" s="1" customFormat="1" ht="16.5" customHeight="1">
      <c r="B27" s="103" t="s">
        <v>9</v>
      </c>
      <c r="C27" s="17"/>
      <c r="D27" s="17"/>
      <c r="E27" s="17"/>
      <c r="F27" s="17"/>
      <c r="G27" s="17"/>
      <c r="H27" s="17"/>
      <c r="I27" s="17"/>
      <c r="J27" s="17"/>
      <c r="K27" s="17"/>
      <c r="L27" s="17"/>
      <c r="M27" s="35"/>
      <c r="N27" s="17"/>
      <c r="O27" s="4">
        <f t="shared" si="0"/>
        <v>0</v>
      </c>
      <c r="P27" s="102"/>
    </row>
    <row r="28" spans="2:16" s="1" customFormat="1" ht="16.5" hidden="1" customHeight="1">
      <c r="B28" s="103"/>
      <c r="C28" s="15"/>
      <c r="D28" s="15"/>
      <c r="E28" s="15"/>
      <c r="F28" s="15"/>
      <c r="G28" s="15"/>
      <c r="H28" s="15"/>
      <c r="I28" s="15"/>
      <c r="J28" s="15"/>
      <c r="K28" s="15"/>
      <c r="L28" s="15"/>
      <c r="M28" s="16"/>
      <c r="N28" s="15"/>
      <c r="O28" s="4">
        <f t="shared" si="0"/>
        <v>0</v>
      </c>
      <c r="P28" s="102"/>
    </row>
    <row r="29" spans="2:16" s="1" customFormat="1" ht="16.5" hidden="1" customHeight="1">
      <c r="B29" s="103"/>
      <c r="C29" s="15"/>
      <c r="D29" s="15"/>
      <c r="E29" s="15"/>
      <c r="F29" s="15"/>
      <c r="G29" s="15"/>
      <c r="H29" s="15"/>
      <c r="I29" s="15"/>
      <c r="J29" s="15"/>
      <c r="K29" s="15"/>
      <c r="L29" s="15"/>
      <c r="M29" s="16"/>
      <c r="N29" s="15"/>
      <c r="O29" s="4">
        <f t="shared" si="0"/>
        <v>0</v>
      </c>
      <c r="P29" s="102"/>
    </row>
    <row r="30" spans="2:16" s="1" customFormat="1" ht="16.5" hidden="1" customHeight="1">
      <c r="B30" s="103"/>
      <c r="C30" s="15"/>
      <c r="D30" s="15"/>
      <c r="E30" s="15"/>
      <c r="F30" s="15"/>
      <c r="G30" s="15"/>
      <c r="H30" s="15"/>
      <c r="I30" s="15"/>
      <c r="J30" s="15"/>
      <c r="K30" s="15"/>
      <c r="L30" s="15"/>
      <c r="M30" s="16"/>
      <c r="N30" s="15"/>
      <c r="O30" s="4">
        <f t="shared" si="0"/>
        <v>0</v>
      </c>
      <c r="P30" s="102"/>
    </row>
    <row r="31" spans="2:16" s="1" customFormat="1" ht="16.5" hidden="1" customHeight="1">
      <c r="B31" s="103"/>
      <c r="C31" s="15"/>
      <c r="D31" s="15"/>
      <c r="E31" s="15"/>
      <c r="F31" s="15"/>
      <c r="G31" s="15"/>
      <c r="H31" s="15"/>
      <c r="I31" s="15"/>
      <c r="J31" s="15"/>
      <c r="K31" s="15"/>
      <c r="L31" s="15"/>
      <c r="M31" s="16"/>
      <c r="N31" s="15"/>
      <c r="O31" s="4">
        <f t="shared" si="0"/>
        <v>0</v>
      </c>
      <c r="P31" s="102"/>
    </row>
    <row r="32" spans="2:16" s="1" customFormat="1" ht="16.5" customHeight="1">
      <c r="B32" s="103" t="s">
        <v>8</v>
      </c>
      <c r="C32" s="4"/>
      <c r="D32" s="4"/>
      <c r="E32" s="45"/>
      <c r="F32" s="4"/>
      <c r="G32" s="4"/>
      <c r="H32" s="4"/>
      <c r="I32" s="4"/>
      <c r="J32" s="4"/>
      <c r="K32" s="4"/>
      <c r="L32" s="4"/>
      <c r="M32" s="33"/>
      <c r="N32" s="4"/>
      <c r="O32" s="4">
        <f t="shared" si="0"/>
        <v>0</v>
      </c>
      <c r="P32" s="102"/>
    </row>
    <row r="33" spans="2:18" s="1" customFormat="1" ht="16.5" customHeight="1">
      <c r="B33" s="103" t="s">
        <v>231</v>
      </c>
      <c r="C33" s="12"/>
      <c r="D33" s="12"/>
      <c r="E33" s="12"/>
      <c r="F33" s="12"/>
      <c r="G33" s="12"/>
      <c r="H33" s="12"/>
      <c r="I33" s="12"/>
      <c r="J33" s="12"/>
      <c r="K33" s="12"/>
      <c r="L33" s="12"/>
      <c r="M33" s="32"/>
      <c r="N33" s="12"/>
      <c r="O33" s="4">
        <f t="shared" si="0"/>
        <v>0</v>
      </c>
      <c r="P33" s="102"/>
    </row>
    <row r="34" spans="2:18" s="1" customFormat="1" ht="16.5" customHeight="1">
      <c r="B34" s="103" t="s">
        <v>6</v>
      </c>
      <c r="C34" s="41"/>
      <c r="D34" s="41"/>
      <c r="E34" s="41"/>
      <c r="F34" s="41"/>
      <c r="G34" s="41"/>
      <c r="H34" s="41"/>
      <c r="I34" s="41"/>
      <c r="J34" s="41"/>
      <c r="K34" s="41">
        <v>121.95</v>
      </c>
      <c r="L34" s="41"/>
      <c r="M34" s="42"/>
      <c r="N34" s="41"/>
      <c r="O34" s="4">
        <f t="shared" si="0"/>
        <v>121.95</v>
      </c>
      <c r="P34" s="102"/>
    </row>
    <row r="35" spans="2:18" s="1" customFormat="1" ht="16.5" customHeight="1">
      <c r="B35" s="103" t="s">
        <v>5</v>
      </c>
      <c r="C35" s="8"/>
      <c r="D35" s="8"/>
      <c r="E35" s="8"/>
      <c r="F35" s="8"/>
      <c r="G35" s="8"/>
      <c r="H35" s="8"/>
      <c r="I35" s="8">
        <v>40.93</v>
      </c>
      <c r="J35" s="8"/>
      <c r="K35" s="8">
        <v>15.66</v>
      </c>
      <c r="L35" s="8"/>
      <c r="M35" s="30"/>
      <c r="N35" s="8"/>
      <c r="O35" s="4">
        <f t="shared" si="0"/>
        <v>56.59</v>
      </c>
      <c r="P35" s="102"/>
    </row>
    <row r="36" spans="2:18" s="1" customFormat="1" ht="16.5" customHeight="1">
      <c r="B36" s="103" t="s">
        <v>230</v>
      </c>
      <c r="C36" s="8"/>
      <c r="D36" s="8"/>
      <c r="E36" s="8"/>
      <c r="F36" s="8"/>
      <c r="G36" s="8"/>
      <c r="H36" s="8"/>
      <c r="I36" s="8"/>
      <c r="J36" s="8"/>
      <c r="K36" s="8"/>
      <c r="L36" s="8"/>
      <c r="M36" s="30"/>
      <c r="N36" s="8"/>
      <c r="O36" s="4">
        <f t="shared" si="0"/>
        <v>0</v>
      </c>
      <c r="P36" s="102"/>
    </row>
    <row r="37" spans="2:18" s="1" customFormat="1" ht="16.5" customHeight="1">
      <c r="B37" s="103" t="s">
        <v>3</v>
      </c>
      <c r="C37" s="8"/>
      <c r="D37" s="8"/>
      <c r="E37" s="8"/>
      <c r="F37" s="8"/>
      <c r="G37" s="8"/>
      <c r="H37" s="8"/>
      <c r="I37" s="8"/>
      <c r="J37" s="8">
        <v>54.14</v>
      </c>
      <c r="K37" s="8">
        <v>5.75</v>
      </c>
      <c r="L37" s="8"/>
      <c r="M37" s="30"/>
      <c r="N37" s="8"/>
      <c r="O37" s="4">
        <f t="shared" si="0"/>
        <v>59.89</v>
      </c>
      <c r="P37" s="102"/>
    </row>
    <row r="38" spans="2:18" s="1" customFormat="1" ht="16.5" customHeight="1">
      <c r="B38" s="103" t="s">
        <v>2</v>
      </c>
      <c r="C38" s="5"/>
      <c r="D38" s="5"/>
      <c r="E38" s="5"/>
      <c r="F38" s="5"/>
      <c r="G38" s="5"/>
      <c r="H38" s="5"/>
      <c r="I38" s="5">
        <v>30</v>
      </c>
      <c r="J38" s="5">
        <v>220</v>
      </c>
      <c r="K38" s="5">
        <v>20</v>
      </c>
      <c r="L38" s="5"/>
      <c r="M38" s="29"/>
      <c r="N38" s="5"/>
      <c r="O38" s="4">
        <f t="shared" si="0"/>
        <v>270</v>
      </c>
      <c r="P38" s="102"/>
    </row>
    <row r="39" spans="2:18" s="1" customFormat="1" ht="16.5" customHeight="1">
      <c r="B39" s="101" t="s">
        <v>1</v>
      </c>
      <c r="C39" s="104">
        <f>SUBTOTAL(109,ExpenseSummary54[Jan])</f>
        <v>0</v>
      </c>
      <c r="D39" s="105">
        <f>SUBTOTAL(109,ExpenseSummary54[Feb])</f>
        <v>0</v>
      </c>
      <c r="E39" s="104">
        <f>SUBTOTAL(109,ExpenseSummary54[Mar])</f>
        <v>0</v>
      </c>
      <c r="F39" s="105">
        <f>SUBTOTAL(109,ExpenseSummary54[Apr])</f>
        <v>0</v>
      </c>
      <c r="G39" s="104">
        <f>SUBTOTAL(109,ExpenseSummary54[May])</f>
        <v>0</v>
      </c>
      <c r="H39" s="105">
        <f>SUBTOTAL(109,ExpenseSummary54[Jun])</f>
        <v>0</v>
      </c>
      <c r="I39" s="104">
        <f>SUBTOTAL(109,ExpenseSummary54[Jul])</f>
        <v>889.88</v>
      </c>
      <c r="J39" s="105">
        <f>SUBTOTAL(109,ExpenseSummary54[Aug])</f>
        <v>525.07899999999995</v>
      </c>
      <c r="K39" s="104">
        <f>SUBTOTAL(109,ExpenseSummary54[Sep])</f>
        <v>163.36000000000001</v>
      </c>
      <c r="L39" s="105">
        <f>SUBTOTAL(109,ExpenseSummary54[Oct])</f>
        <v>1187.53</v>
      </c>
      <c r="M39" s="267">
        <f>SUBTOTAL(109,ExpenseSummary54[Nov])</f>
        <v>0</v>
      </c>
      <c r="N39" s="105">
        <f>SUBTOTAL(109,ExpenseSummary54[Dec])</f>
        <v>0</v>
      </c>
      <c r="O39" s="106">
        <f>SUBTOTAL(109,ExpenseSummary54[Total])</f>
        <v>2765.8490000000002</v>
      </c>
      <c r="P39" s="102"/>
    </row>
    <row r="40" spans="2:18" s="1" customFormat="1" ht="16.5" customHeight="1">
      <c r="B40" s="28"/>
      <c r="C40" s="28"/>
      <c r="H40" s="47"/>
    </row>
    <row r="41" spans="2:18" s="1" customFormat="1" ht="16.5" customHeight="1">
      <c r="B41" s="268"/>
      <c r="C41" s="268"/>
      <c r="D41" s="269"/>
      <c r="E41" s="270" t="s">
        <v>118</v>
      </c>
      <c r="F41" s="270"/>
      <c r="G41" s="270"/>
      <c r="H41" s="270"/>
      <c r="I41" s="270"/>
      <c r="J41" s="270"/>
      <c r="K41" s="270"/>
      <c r="L41" s="270"/>
      <c r="M41" s="270"/>
      <c r="N41" s="270"/>
      <c r="O41" s="270"/>
      <c r="P41" s="270"/>
      <c r="Q41" s="270"/>
      <c r="R41" s="270"/>
    </row>
    <row r="42" spans="2:18" s="1" customFormat="1" ht="16.5" customHeight="1">
      <c r="B42" s="271" t="s">
        <v>358</v>
      </c>
      <c r="C42" s="272" t="s">
        <v>359</v>
      </c>
      <c r="D42" s="269"/>
      <c r="E42" s="273" t="s">
        <v>1777</v>
      </c>
      <c r="F42" s="273"/>
      <c r="G42" s="273"/>
      <c r="H42" s="273"/>
      <c r="I42" s="273"/>
      <c r="J42" s="273"/>
      <c r="K42" s="273"/>
      <c r="L42" s="273"/>
      <c r="M42" s="273"/>
      <c r="N42" s="273"/>
      <c r="O42" s="273"/>
      <c r="P42" s="273"/>
      <c r="Q42" s="273"/>
      <c r="R42" s="273"/>
    </row>
    <row r="43" spans="2:18" s="1" customFormat="1" ht="16.5" customHeight="1">
      <c r="B43" s="274" t="s">
        <v>115</v>
      </c>
      <c r="C43" s="275" t="s">
        <v>289</v>
      </c>
      <c r="D43" s="269"/>
      <c r="E43" s="270" t="s">
        <v>113</v>
      </c>
      <c r="F43" s="270"/>
      <c r="G43" s="270"/>
      <c r="H43" s="270"/>
      <c r="I43" s="270"/>
      <c r="J43" s="270"/>
      <c r="K43" s="270"/>
      <c r="L43" s="270"/>
      <c r="M43" s="270"/>
      <c r="N43" s="270"/>
      <c r="O43" s="270"/>
      <c r="P43" s="270"/>
      <c r="Q43" s="270"/>
      <c r="R43" s="270"/>
    </row>
    <row r="44" spans="2:18" s="1" customFormat="1" ht="16.5" customHeight="1" thickBot="1">
      <c r="B44" s="274" t="s">
        <v>112</v>
      </c>
      <c r="C44" s="276">
        <v>93175</v>
      </c>
      <c r="D44" s="268"/>
      <c r="E44" s="273" t="s">
        <v>360</v>
      </c>
      <c r="F44" s="273"/>
      <c r="G44" s="273"/>
      <c r="H44" s="273"/>
      <c r="I44" s="273"/>
      <c r="J44" s="273"/>
      <c r="K44" s="273"/>
      <c r="L44" s="273"/>
      <c r="M44" s="273"/>
      <c r="N44" s="273"/>
      <c r="O44" s="273"/>
      <c r="P44" s="273"/>
      <c r="Q44" s="273"/>
      <c r="R44" s="273"/>
    </row>
    <row r="45" spans="2:18" s="1" customFormat="1" ht="16.5" customHeight="1">
      <c r="B45" s="274" t="s">
        <v>110</v>
      </c>
      <c r="C45" s="277"/>
      <c r="D45" s="260"/>
      <c r="E45" s="278" t="s">
        <v>109</v>
      </c>
      <c r="F45" s="279" t="s">
        <v>108</v>
      </c>
      <c r="G45" s="280"/>
      <c r="H45" s="279" t="s">
        <v>107</v>
      </c>
      <c r="I45" s="280"/>
      <c r="J45" s="279" t="s">
        <v>106</v>
      </c>
      <c r="K45" s="280"/>
      <c r="L45" s="279" t="s">
        <v>105</v>
      </c>
      <c r="M45" s="280"/>
      <c r="N45" s="279" t="s">
        <v>96</v>
      </c>
      <c r="O45" s="280"/>
      <c r="P45" s="279" t="s">
        <v>104</v>
      </c>
      <c r="Q45" s="280"/>
      <c r="R45" s="281" t="s">
        <v>103</v>
      </c>
    </row>
    <row r="46" spans="2:18" s="1" customFormat="1" ht="16.5" customHeight="1">
      <c r="B46" s="282" t="s">
        <v>102</v>
      </c>
      <c r="C46" s="283">
        <v>283</v>
      </c>
      <c r="D46" s="262"/>
      <c r="E46" s="284"/>
      <c r="F46" s="285" t="s">
        <v>101</v>
      </c>
      <c r="G46" s="286" t="s">
        <v>100</v>
      </c>
      <c r="H46" s="287" t="s">
        <v>101</v>
      </c>
      <c r="I46" s="286" t="s">
        <v>100</v>
      </c>
      <c r="J46" s="287" t="s">
        <v>101</v>
      </c>
      <c r="K46" s="286" t="s">
        <v>100</v>
      </c>
      <c r="L46" s="287" t="s">
        <v>101</v>
      </c>
      <c r="M46" s="405" t="s">
        <v>100</v>
      </c>
      <c r="N46" s="287" t="s">
        <v>101</v>
      </c>
      <c r="O46" s="286" t="s">
        <v>100</v>
      </c>
      <c r="P46" s="287" t="s">
        <v>101</v>
      </c>
      <c r="Q46" s="286" t="s">
        <v>100</v>
      </c>
      <c r="R46" s="284"/>
    </row>
    <row r="47" spans="2:18" s="1" customFormat="1" ht="16.5" customHeight="1">
      <c r="B47" s="274" t="s">
        <v>99</v>
      </c>
      <c r="C47" s="288">
        <v>6867</v>
      </c>
      <c r="D47" s="260"/>
      <c r="E47" s="289" t="s">
        <v>87</v>
      </c>
      <c r="F47" s="290">
        <v>7</v>
      </c>
      <c r="G47" s="406">
        <f t="shared" ref="G47:G53" si="1">IF(F47&gt;0,($B$6*F47),0)</f>
        <v>0</v>
      </c>
      <c r="H47" s="292"/>
      <c r="I47" s="291">
        <f t="shared" ref="I47:I53" si="2">IF(H47&gt;0,($B$7*C59),0)</f>
        <v>0</v>
      </c>
      <c r="J47" s="293"/>
      <c r="K47" s="291">
        <f t="shared" ref="K47:K53" si="3">IF(J47&gt;0,($B$8*C59),0)</f>
        <v>0</v>
      </c>
      <c r="L47" s="292">
        <v>3</v>
      </c>
      <c r="M47" s="406">
        <f t="shared" ref="M47:M53" si="4">IF(L47&gt;0,($B$9*L47),0)</f>
        <v>0</v>
      </c>
      <c r="N47" s="295">
        <v>2</v>
      </c>
      <c r="O47" s="291">
        <f t="shared" ref="O47:O53" si="5">IF(N47&gt;0,($B$10*N47),0)</f>
        <v>0</v>
      </c>
      <c r="P47" s="295">
        <v>2</v>
      </c>
      <c r="Q47" s="291">
        <f t="shared" ref="Q47:Q53" si="6">IF(P47&gt;0,($B$17*P47),0)</f>
        <v>0</v>
      </c>
      <c r="R47" s="296">
        <f t="shared" ref="R47:R58" si="7">SUM(Q47+O47+M47+K47+I47+G47)</f>
        <v>0</v>
      </c>
    </row>
    <row r="48" spans="2:18" s="1" customFormat="1" ht="16.5" customHeight="1">
      <c r="B48" s="274" t="s">
        <v>98</v>
      </c>
      <c r="C48" s="288">
        <v>5460</v>
      </c>
      <c r="D48" s="260"/>
      <c r="E48" s="289" t="s">
        <v>86</v>
      </c>
      <c r="F48" s="290">
        <v>7</v>
      </c>
      <c r="G48" s="406">
        <f t="shared" si="1"/>
        <v>0</v>
      </c>
      <c r="H48" s="292"/>
      <c r="I48" s="291">
        <f t="shared" si="2"/>
        <v>0</v>
      </c>
      <c r="J48" s="293"/>
      <c r="K48" s="291">
        <f t="shared" si="3"/>
        <v>0</v>
      </c>
      <c r="L48" s="292">
        <v>3</v>
      </c>
      <c r="M48" s="406">
        <f t="shared" si="4"/>
        <v>0</v>
      </c>
      <c r="N48" s="295">
        <v>2</v>
      </c>
      <c r="O48" s="291">
        <f t="shared" si="5"/>
        <v>0</v>
      </c>
      <c r="P48" s="295">
        <v>2</v>
      </c>
      <c r="Q48" s="291">
        <f t="shared" si="6"/>
        <v>0</v>
      </c>
      <c r="R48" s="296">
        <f t="shared" si="7"/>
        <v>0</v>
      </c>
    </row>
    <row r="49" spans="2:18" s="1" customFormat="1" ht="16.5" customHeight="1">
      <c r="B49" s="274" t="s">
        <v>361</v>
      </c>
      <c r="C49" s="288">
        <v>248.19</v>
      </c>
      <c r="D49" s="260"/>
      <c r="E49" s="289" t="s">
        <v>84</v>
      </c>
      <c r="F49" s="290">
        <v>7</v>
      </c>
      <c r="G49" s="406">
        <f t="shared" si="1"/>
        <v>0</v>
      </c>
      <c r="H49" s="292"/>
      <c r="I49" s="291">
        <f t="shared" si="2"/>
        <v>0</v>
      </c>
      <c r="J49" s="293"/>
      <c r="K49" s="291">
        <f t="shared" si="3"/>
        <v>0</v>
      </c>
      <c r="L49" s="292">
        <v>3</v>
      </c>
      <c r="M49" s="406">
        <f t="shared" si="4"/>
        <v>0</v>
      </c>
      <c r="N49" s="295">
        <v>2</v>
      </c>
      <c r="O49" s="291">
        <f t="shared" si="5"/>
        <v>0</v>
      </c>
      <c r="P49" s="295">
        <v>2</v>
      </c>
      <c r="Q49" s="291">
        <f t="shared" si="6"/>
        <v>0</v>
      </c>
      <c r="R49" s="296">
        <f t="shared" si="7"/>
        <v>0</v>
      </c>
    </row>
    <row r="50" spans="2:18" s="1" customFormat="1" ht="16.5" customHeight="1">
      <c r="B50" s="274" t="s">
        <v>362</v>
      </c>
      <c r="C50" s="288">
        <v>1134.58</v>
      </c>
      <c r="D50" s="260"/>
      <c r="E50" s="289" t="s">
        <v>83</v>
      </c>
      <c r="F50" s="290">
        <v>7</v>
      </c>
      <c r="G50" s="406">
        <f t="shared" si="1"/>
        <v>0</v>
      </c>
      <c r="H50" s="292"/>
      <c r="I50" s="291">
        <f t="shared" si="2"/>
        <v>0</v>
      </c>
      <c r="J50" s="293"/>
      <c r="K50" s="291">
        <f t="shared" si="3"/>
        <v>0</v>
      </c>
      <c r="L50" s="292">
        <v>3</v>
      </c>
      <c r="M50" s="406">
        <f t="shared" si="4"/>
        <v>0</v>
      </c>
      <c r="N50" s="295">
        <v>2</v>
      </c>
      <c r="O50" s="291">
        <f t="shared" si="5"/>
        <v>0</v>
      </c>
      <c r="P50" s="295">
        <v>2</v>
      </c>
      <c r="Q50" s="291">
        <f t="shared" si="6"/>
        <v>0</v>
      </c>
      <c r="R50" s="296">
        <f t="shared" si="7"/>
        <v>0</v>
      </c>
    </row>
    <row r="51" spans="2:18" s="1" customFormat="1" ht="16.5" customHeight="1">
      <c r="B51" s="274" t="s">
        <v>95</v>
      </c>
      <c r="C51" s="141">
        <v>35000</v>
      </c>
      <c r="D51" s="260"/>
      <c r="E51" s="289" t="s">
        <v>82</v>
      </c>
      <c r="F51" s="290">
        <v>7</v>
      </c>
      <c r="G51" s="406">
        <f t="shared" si="1"/>
        <v>0</v>
      </c>
      <c r="H51" s="292">
        <v>1</v>
      </c>
      <c r="I51" s="291">
        <f t="shared" si="2"/>
        <v>0</v>
      </c>
      <c r="J51" s="293">
        <v>1</v>
      </c>
      <c r="K51" s="291">
        <f t="shared" si="3"/>
        <v>0</v>
      </c>
      <c r="L51" s="292">
        <v>3</v>
      </c>
      <c r="M51" s="406">
        <f t="shared" si="4"/>
        <v>0</v>
      </c>
      <c r="N51" s="295">
        <v>2</v>
      </c>
      <c r="O51" s="291">
        <f t="shared" si="5"/>
        <v>0</v>
      </c>
      <c r="P51" s="295">
        <v>2</v>
      </c>
      <c r="Q51" s="291">
        <f t="shared" si="6"/>
        <v>0</v>
      </c>
      <c r="R51" s="296">
        <f t="shared" si="7"/>
        <v>0</v>
      </c>
    </row>
    <row r="52" spans="2:18" s="1" customFormat="1" ht="16.5" customHeight="1">
      <c r="B52" s="274" t="s">
        <v>94</v>
      </c>
      <c r="C52" s="141">
        <v>5000</v>
      </c>
      <c r="D52" s="260"/>
      <c r="E52" s="289" t="s">
        <v>80</v>
      </c>
      <c r="F52" s="290">
        <v>7</v>
      </c>
      <c r="G52" s="406">
        <f t="shared" si="1"/>
        <v>0</v>
      </c>
      <c r="H52" s="292"/>
      <c r="I52" s="291">
        <f t="shared" si="2"/>
        <v>0</v>
      </c>
      <c r="J52" s="293"/>
      <c r="K52" s="291">
        <f t="shared" si="3"/>
        <v>0</v>
      </c>
      <c r="L52" s="292">
        <v>3</v>
      </c>
      <c r="M52" s="406">
        <f t="shared" si="4"/>
        <v>0</v>
      </c>
      <c r="N52" s="295">
        <v>2</v>
      </c>
      <c r="O52" s="291">
        <f t="shared" si="5"/>
        <v>0</v>
      </c>
      <c r="P52" s="295">
        <v>2</v>
      </c>
      <c r="Q52" s="291">
        <f t="shared" si="6"/>
        <v>0</v>
      </c>
      <c r="R52" s="296">
        <f t="shared" si="7"/>
        <v>0</v>
      </c>
    </row>
    <row r="53" spans="2:18" s="1" customFormat="1" ht="16.5" customHeight="1">
      <c r="B53" s="274" t="s">
        <v>93</v>
      </c>
      <c r="C53" s="141">
        <v>175000</v>
      </c>
      <c r="D53" s="260"/>
      <c r="E53" s="289" t="s">
        <v>79</v>
      </c>
      <c r="F53" s="290">
        <v>7</v>
      </c>
      <c r="G53" s="406">
        <f t="shared" si="1"/>
        <v>0</v>
      </c>
      <c r="H53" s="292"/>
      <c r="I53" s="291">
        <f t="shared" si="2"/>
        <v>0</v>
      </c>
      <c r="J53" s="293"/>
      <c r="K53" s="291">
        <f t="shared" si="3"/>
        <v>0</v>
      </c>
      <c r="L53" s="292">
        <v>3</v>
      </c>
      <c r="M53" s="406">
        <f t="shared" si="4"/>
        <v>0</v>
      </c>
      <c r="N53" s="295">
        <v>2</v>
      </c>
      <c r="O53" s="291">
        <f t="shared" si="5"/>
        <v>0</v>
      </c>
      <c r="P53" s="295">
        <v>2</v>
      </c>
      <c r="Q53" s="291">
        <f t="shared" si="6"/>
        <v>0</v>
      </c>
      <c r="R53" s="296">
        <f t="shared" si="7"/>
        <v>0</v>
      </c>
    </row>
    <row r="54" spans="2:18" s="1" customFormat="1" ht="16.5" customHeight="1">
      <c r="B54" s="274" t="s">
        <v>92</v>
      </c>
      <c r="C54" s="141">
        <v>175000</v>
      </c>
      <c r="D54" s="260"/>
      <c r="E54" s="289"/>
      <c r="F54" s="290"/>
      <c r="G54" s="406"/>
      <c r="H54" s="292"/>
      <c r="I54" s="291"/>
      <c r="J54" s="293"/>
      <c r="K54" s="291"/>
      <c r="L54" s="292"/>
      <c r="M54" s="406"/>
      <c r="N54" s="295"/>
      <c r="O54" s="291"/>
      <c r="P54" s="295"/>
      <c r="Q54" s="291"/>
      <c r="R54" s="296">
        <f t="shared" si="7"/>
        <v>0</v>
      </c>
    </row>
    <row r="55" spans="2:18" s="1" customFormat="1" ht="16.5" customHeight="1">
      <c r="B55" s="274" t="s">
        <v>91</v>
      </c>
      <c r="C55" s="141">
        <v>12000</v>
      </c>
      <c r="D55" s="260"/>
      <c r="E55" s="289"/>
      <c r="F55" s="290"/>
      <c r="G55" s="406"/>
      <c r="H55" s="292"/>
      <c r="I55" s="291"/>
      <c r="J55" s="293"/>
      <c r="K55" s="291"/>
      <c r="L55" s="292"/>
      <c r="M55" s="406"/>
      <c r="N55" s="295"/>
      <c r="O55" s="291"/>
      <c r="P55" s="295"/>
      <c r="Q55" s="291"/>
      <c r="R55" s="296">
        <f t="shared" si="7"/>
        <v>0</v>
      </c>
    </row>
    <row r="56" spans="2:18" s="1" customFormat="1" ht="16.5" customHeight="1">
      <c r="B56" s="274" t="s">
        <v>90</v>
      </c>
      <c r="C56" s="141">
        <v>25000</v>
      </c>
      <c r="D56" s="260"/>
      <c r="E56" s="289"/>
      <c r="F56" s="290"/>
      <c r="G56" s="406"/>
      <c r="H56" s="292"/>
      <c r="I56" s="291"/>
      <c r="J56" s="293"/>
      <c r="K56" s="291"/>
      <c r="L56" s="292"/>
      <c r="M56" s="406"/>
      <c r="N56" s="295"/>
      <c r="O56" s="291"/>
      <c r="P56" s="295"/>
      <c r="Q56" s="291"/>
      <c r="R56" s="296">
        <f t="shared" si="7"/>
        <v>0</v>
      </c>
    </row>
    <row r="57" spans="2:18" s="1" customFormat="1" ht="16.5" customHeight="1">
      <c r="B57" s="297" t="s">
        <v>89</v>
      </c>
      <c r="C57" s="298">
        <v>92</v>
      </c>
      <c r="D57" s="260"/>
      <c r="E57" s="289"/>
      <c r="F57" s="290"/>
      <c r="G57" s="406"/>
      <c r="H57" s="292"/>
      <c r="I57" s="291"/>
      <c r="J57" s="293"/>
      <c r="K57" s="291"/>
      <c r="L57" s="292"/>
      <c r="M57" s="406"/>
      <c r="N57" s="295"/>
      <c r="O57" s="291"/>
      <c r="P57" s="295"/>
      <c r="Q57" s="291"/>
      <c r="R57" s="296">
        <f t="shared" si="7"/>
        <v>0</v>
      </c>
    </row>
    <row r="58" spans="2:18" s="1" customFormat="1" ht="16.5" customHeight="1">
      <c r="B58" s="299" t="s">
        <v>88</v>
      </c>
      <c r="C58" s="300"/>
      <c r="D58" s="260"/>
      <c r="E58" s="289"/>
      <c r="F58" s="290"/>
      <c r="G58" s="406"/>
      <c r="H58" s="292"/>
      <c r="I58" s="291"/>
      <c r="J58" s="293"/>
      <c r="K58" s="291"/>
      <c r="L58" s="292"/>
      <c r="M58" s="406"/>
      <c r="N58" s="295"/>
      <c r="O58" s="291"/>
      <c r="P58" s="295"/>
      <c r="Q58" s="291"/>
      <c r="R58" s="296">
        <f t="shared" si="7"/>
        <v>0</v>
      </c>
    </row>
    <row r="59" spans="2:18" s="1" customFormat="1" ht="16.5" customHeight="1">
      <c r="B59" s="421" t="s">
        <v>87</v>
      </c>
      <c r="C59" s="422">
        <v>1</v>
      </c>
      <c r="D59" s="260"/>
      <c r="E59" s="303"/>
      <c r="F59" s="304"/>
      <c r="G59" s="305"/>
      <c r="H59" s="306"/>
      <c r="I59" s="307"/>
      <c r="J59" s="308"/>
      <c r="K59" s="307"/>
      <c r="L59" s="306"/>
      <c r="M59" s="409"/>
      <c r="N59" s="304"/>
      <c r="O59" s="305"/>
      <c r="P59" s="306"/>
      <c r="Q59" s="307"/>
      <c r="R59" s="309"/>
    </row>
    <row r="60" spans="2:18" s="1" customFormat="1" ht="16.5" customHeight="1" thickBot="1">
      <c r="B60" s="421" t="s">
        <v>86</v>
      </c>
      <c r="C60" s="421">
        <f t="shared" ref="C60:C70" si="8">SUM(C59+(C59*$B$5))</f>
        <v>1</v>
      </c>
      <c r="D60" s="260"/>
      <c r="E60" s="310" t="s">
        <v>85</v>
      </c>
      <c r="F60" s="311"/>
      <c r="G60" s="312">
        <f>SUM(G47:G58)</f>
        <v>0</v>
      </c>
      <c r="H60" s="313"/>
      <c r="I60" s="312">
        <f>SUM(I47:I58)</f>
        <v>0</v>
      </c>
      <c r="J60" s="314"/>
      <c r="K60" s="312">
        <f>SUM(K47:K58)</f>
        <v>0</v>
      </c>
      <c r="L60" s="313"/>
      <c r="M60" s="410">
        <f>SUM(M47:M58)</f>
        <v>0</v>
      </c>
      <c r="N60" s="315"/>
      <c r="O60" s="312">
        <f>SUM(O47:O58)</f>
        <v>0</v>
      </c>
      <c r="P60" s="313"/>
      <c r="Q60" s="312">
        <f>SUM(Q47:Q58)</f>
        <v>0</v>
      </c>
      <c r="R60" s="316">
        <f>SUM(R47:R58)</f>
        <v>0</v>
      </c>
    </row>
    <row r="61" spans="2:18" s="1" customFormat="1" ht="16.5" customHeight="1" thickTop="1" thickBot="1">
      <c r="B61" s="421" t="s">
        <v>84</v>
      </c>
      <c r="C61" s="421">
        <f t="shared" si="8"/>
        <v>1</v>
      </c>
      <c r="D61" s="269"/>
      <c r="E61" s="317"/>
      <c r="F61" s="318"/>
      <c r="G61" s="319"/>
      <c r="H61" s="320"/>
      <c r="I61" s="319"/>
      <c r="J61" s="321"/>
      <c r="K61" s="319"/>
      <c r="L61" s="320"/>
      <c r="M61" s="411"/>
      <c r="N61" s="318"/>
      <c r="O61" s="322"/>
      <c r="P61" s="320"/>
      <c r="Q61" s="319"/>
      <c r="R61" s="323"/>
    </row>
    <row r="62" spans="2:18" s="1" customFormat="1" ht="16.5" customHeight="1">
      <c r="B62" s="421" t="s">
        <v>83</v>
      </c>
      <c r="C62" s="423">
        <f t="shared" si="8"/>
        <v>1</v>
      </c>
      <c r="D62" s="269"/>
      <c r="E62" s="269"/>
      <c r="F62" s="325"/>
      <c r="G62" s="269"/>
      <c r="H62" s="326"/>
      <c r="I62" s="269"/>
      <c r="J62" s="327"/>
      <c r="K62" s="269"/>
      <c r="L62" s="326"/>
      <c r="M62" s="412"/>
      <c r="N62" s="325"/>
      <c r="O62" s="269"/>
      <c r="P62" s="326"/>
      <c r="Q62" s="269"/>
      <c r="R62" s="269"/>
    </row>
    <row r="63" spans="2:18" s="1" customFormat="1" ht="16.5" customHeight="1">
      <c r="B63" s="421" t="s">
        <v>82</v>
      </c>
      <c r="C63" s="423">
        <f t="shared" si="8"/>
        <v>1</v>
      </c>
      <c r="D63" s="269"/>
      <c r="E63" s="269" t="s">
        <v>81</v>
      </c>
      <c r="F63" s="325"/>
      <c r="G63" s="269"/>
      <c r="H63" s="326"/>
      <c r="I63" s="269"/>
      <c r="J63" s="327"/>
      <c r="K63" s="269"/>
      <c r="L63" s="326"/>
      <c r="M63" s="412"/>
      <c r="N63" s="325"/>
      <c r="O63" s="269"/>
      <c r="P63" s="326"/>
      <c r="Q63" s="269"/>
      <c r="R63" s="269"/>
    </row>
    <row r="64" spans="2:18" s="1" customFormat="1" ht="16.5" customHeight="1">
      <c r="B64" s="421" t="s">
        <v>80</v>
      </c>
      <c r="C64" s="423">
        <f t="shared" si="8"/>
        <v>1</v>
      </c>
      <c r="D64" s="269"/>
      <c r="E64" s="269"/>
      <c r="F64" s="325"/>
      <c r="G64" s="269"/>
      <c r="H64" s="326"/>
      <c r="I64" s="269"/>
      <c r="J64" s="327"/>
      <c r="K64" s="269"/>
      <c r="L64" s="326"/>
      <c r="M64" s="412"/>
      <c r="N64" s="325"/>
      <c r="O64" s="269"/>
      <c r="P64" s="326"/>
      <c r="Q64" s="269"/>
      <c r="R64" s="269"/>
    </row>
    <row r="65" spans="2:18" s="1" customFormat="1" ht="16.5" customHeight="1">
      <c r="B65" s="421" t="s">
        <v>79</v>
      </c>
      <c r="C65" s="423">
        <f t="shared" si="8"/>
        <v>1</v>
      </c>
      <c r="D65" s="269"/>
      <c r="E65" s="413" t="s">
        <v>291</v>
      </c>
      <c r="F65" s="414"/>
      <c r="G65" s="415"/>
      <c r="H65" s="416"/>
      <c r="I65" s="413"/>
      <c r="J65" s="417"/>
      <c r="K65" s="413"/>
      <c r="L65" s="417"/>
      <c r="M65" s="413"/>
      <c r="N65" s="417"/>
      <c r="O65" s="413"/>
      <c r="P65" s="326"/>
      <c r="Q65" s="269"/>
      <c r="R65" s="269"/>
    </row>
    <row r="66" spans="2:18" s="1" customFormat="1" ht="16.5" customHeight="1">
      <c r="B66" s="421" t="s">
        <v>78</v>
      </c>
      <c r="C66" s="423">
        <f t="shared" si="8"/>
        <v>1</v>
      </c>
      <c r="D66" s="269"/>
      <c r="E66" s="418" t="s">
        <v>292</v>
      </c>
      <c r="F66" s="419"/>
      <c r="G66" s="418"/>
      <c r="H66" s="420"/>
      <c r="I66" s="269"/>
      <c r="J66" s="326"/>
      <c r="K66" s="269"/>
      <c r="L66" s="326"/>
      <c r="M66" s="269"/>
      <c r="N66" s="326"/>
      <c r="O66" s="269"/>
      <c r="P66" s="326"/>
      <c r="Q66" s="269"/>
      <c r="R66" s="269"/>
    </row>
    <row r="67" spans="2:18" s="1" customFormat="1" ht="16.5" customHeight="1">
      <c r="B67" s="421" t="s">
        <v>77</v>
      </c>
      <c r="C67" s="423">
        <f t="shared" si="8"/>
        <v>1</v>
      </c>
      <c r="D67" s="269"/>
      <c r="E67" s="269"/>
      <c r="F67" s="325"/>
      <c r="G67" s="269"/>
      <c r="H67" s="326"/>
      <c r="I67" s="269"/>
      <c r="J67" s="327"/>
      <c r="K67" s="269"/>
      <c r="L67" s="326"/>
      <c r="M67" s="412"/>
      <c r="N67" s="325"/>
      <c r="O67" s="269"/>
      <c r="P67" s="326"/>
      <c r="Q67" s="269"/>
      <c r="R67" s="269"/>
    </row>
    <row r="68" spans="2:18" s="1" customFormat="1" ht="16.5" customHeight="1">
      <c r="B68" s="421" t="s">
        <v>76</v>
      </c>
      <c r="C68" s="423">
        <f t="shared" si="8"/>
        <v>1</v>
      </c>
      <c r="D68" s="269"/>
      <c r="E68" s="269"/>
      <c r="F68" s="325"/>
      <c r="G68" s="269"/>
      <c r="H68" s="326"/>
      <c r="I68" s="269"/>
      <c r="J68" s="327"/>
      <c r="K68" s="269"/>
      <c r="L68" s="326"/>
      <c r="M68" s="412"/>
      <c r="N68" s="325"/>
      <c r="O68" s="269"/>
      <c r="P68" s="326"/>
      <c r="Q68" s="269"/>
      <c r="R68" s="269"/>
    </row>
    <row r="69" spans="2:18" s="1" customFormat="1" ht="16.5" customHeight="1">
      <c r="B69" s="421" t="s">
        <v>75</v>
      </c>
      <c r="C69" s="423">
        <f t="shared" si="8"/>
        <v>1</v>
      </c>
      <c r="D69" s="269"/>
      <c r="E69" s="269"/>
      <c r="F69" s="325"/>
      <c r="G69" s="269"/>
      <c r="H69" s="326"/>
      <c r="I69" s="269"/>
      <c r="J69" s="327"/>
      <c r="K69" s="269"/>
      <c r="L69" s="326"/>
      <c r="M69" s="412"/>
      <c r="N69" s="325"/>
      <c r="O69" s="269"/>
      <c r="P69" s="326"/>
      <c r="Q69" s="269"/>
      <c r="R69" s="269"/>
    </row>
    <row r="70" spans="2:18" s="1" customFormat="1" ht="16.5" customHeight="1">
      <c r="B70" s="421" t="s">
        <v>74</v>
      </c>
      <c r="C70" s="423">
        <f t="shared" si="8"/>
        <v>1</v>
      </c>
      <c r="D70" s="269"/>
      <c r="E70" s="269"/>
      <c r="F70" s="325"/>
      <c r="G70" s="269"/>
      <c r="H70" s="326"/>
      <c r="I70" s="269"/>
      <c r="J70" s="327"/>
      <c r="K70" s="269"/>
      <c r="L70" s="326"/>
      <c r="M70" s="412"/>
      <c r="N70" s="325"/>
      <c r="O70" s="269"/>
      <c r="P70" s="326"/>
      <c r="Q70" s="269"/>
      <c r="R70" s="269"/>
    </row>
    <row r="72" spans="2:18" s="1" customFormat="1" ht="16.5" customHeight="1">
      <c r="B72" s="268"/>
      <c r="C72" s="268"/>
      <c r="D72" s="269"/>
      <c r="E72" s="270" t="s">
        <v>118</v>
      </c>
      <c r="F72" s="270"/>
      <c r="G72" s="270"/>
      <c r="H72" s="270"/>
      <c r="I72" s="270"/>
      <c r="J72" s="270"/>
      <c r="K72" s="270"/>
      <c r="L72" s="270"/>
      <c r="M72" s="270"/>
      <c r="N72" s="270"/>
      <c r="O72" s="270"/>
      <c r="P72" s="270"/>
      <c r="Q72" s="270"/>
      <c r="R72" s="270"/>
    </row>
    <row r="73" spans="2:18" s="1" customFormat="1" ht="16.5" customHeight="1">
      <c r="B73" s="271" t="s">
        <v>358</v>
      </c>
      <c r="C73" s="272" t="s">
        <v>359</v>
      </c>
      <c r="D73" s="269"/>
      <c r="E73" s="273" t="s">
        <v>1778</v>
      </c>
      <c r="F73" s="273"/>
      <c r="G73" s="273"/>
      <c r="H73" s="273"/>
      <c r="I73" s="273"/>
      <c r="J73" s="273"/>
      <c r="K73" s="273"/>
      <c r="L73" s="273"/>
      <c r="M73" s="273"/>
      <c r="N73" s="273"/>
      <c r="O73" s="273"/>
      <c r="P73" s="273"/>
      <c r="Q73" s="273"/>
      <c r="R73" s="273"/>
    </row>
    <row r="74" spans="2:18" s="1" customFormat="1" ht="16.5" customHeight="1">
      <c r="B74" s="274" t="s">
        <v>115</v>
      </c>
      <c r="C74" s="275">
        <v>7</v>
      </c>
      <c r="D74" s="269"/>
      <c r="E74" s="270" t="s">
        <v>119</v>
      </c>
      <c r="F74" s="270"/>
      <c r="G74" s="270"/>
      <c r="H74" s="270"/>
      <c r="I74" s="270"/>
      <c r="J74" s="270"/>
      <c r="K74" s="270"/>
      <c r="L74" s="270"/>
      <c r="M74" s="270"/>
      <c r="N74" s="270"/>
      <c r="O74" s="270"/>
      <c r="P74" s="270"/>
      <c r="Q74" s="270"/>
      <c r="R74" s="270"/>
    </row>
    <row r="75" spans="2:18" s="1" customFormat="1" ht="16.5" customHeight="1" thickBot="1">
      <c r="B75" s="274" t="s">
        <v>112</v>
      </c>
      <c r="C75" s="276">
        <v>93175</v>
      </c>
      <c r="D75" s="268"/>
      <c r="E75" s="330" t="s">
        <v>363</v>
      </c>
      <c r="F75" s="330"/>
      <c r="G75" s="330"/>
      <c r="H75" s="330"/>
      <c r="I75" s="330"/>
      <c r="J75" s="330"/>
      <c r="K75" s="330"/>
      <c r="L75" s="330"/>
      <c r="M75" s="330"/>
      <c r="N75" s="330"/>
      <c r="O75" s="330"/>
      <c r="P75" s="330"/>
      <c r="Q75" s="330"/>
      <c r="R75" s="330"/>
    </row>
    <row r="76" spans="2:18" s="1" customFormat="1" ht="16.5" customHeight="1">
      <c r="B76" s="274" t="s">
        <v>110</v>
      </c>
      <c r="C76" s="277"/>
      <c r="D76" s="260"/>
      <c r="E76" s="278" t="s">
        <v>109</v>
      </c>
      <c r="F76" s="279" t="s">
        <v>108</v>
      </c>
      <c r="G76" s="280"/>
      <c r="H76" s="279" t="s">
        <v>107</v>
      </c>
      <c r="I76" s="280"/>
      <c r="J76" s="279" t="s">
        <v>106</v>
      </c>
      <c r="K76" s="280"/>
      <c r="L76" s="279" t="s">
        <v>105</v>
      </c>
      <c r="M76" s="280"/>
      <c r="N76" s="279" t="s">
        <v>96</v>
      </c>
      <c r="O76" s="280"/>
      <c r="P76" s="279" t="s">
        <v>104</v>
      </c>
      <c r="Q76" s="280"/>
      <c r="R76" s="281" t="s">
        <v>103</v>
      </c>
    </row>
    <row r="77" spans="2:18" s="1" customFormat="1" ht="16.5" customHeight="1">
      <c r="B77" s="274" t="s">
        <v>102</v>
      </c>
      <c r="C77" s="283">
        <v>240</v>
      </c>
      <c r="D77" s="260"/>
      <c r="E77" s="289"/>
      <c r="F77" s="285" t="s">
        <v>101</v>
      </c>
      <c r="G77" s="331" t="s">
        <v>100</v>
      </c>
      <c r="H77" s="287" t="s">
        <v>364</v>
      </c>
      <c r="I77" s="331" t="s">
        <v>100</v>
      </c>
      <c r="J77" s="287" t="s">
        <v>364</v>
      </c>
      <c r="K77" s="331" t="s">
        <v>100</v>
      </c>
      <c r="L77" s="285" t="s">
        <v>101</v>
      </c>
      <c r="M77" s="331" t="s">
        <v>100</v>
      </c>
      <c r="N77" s="285" t="s">
        <v>101</v>
      </c>
      <c r="O77" s="331" t="s">
        <v>100</v>
      </c>
      <c r="P77" s="287" t="s">
        <v>101</v>
      </c>
      <c r="Q77" s="331" t="s">
        <v>100</v>
      </c>
      <c r="R77" s="289"/>
    </row>
    <row r="78" spans="2:18" s="1" customFormat="1" ht="16.5" customHeight="1">
      <c r="B78" s="274" t="s">
        <v>107</v>
      </c>
      <c r="C78" s="288">
        <v>6867</v>
      </c>
      <c r="D78" s="260"/>
      <c r="E78" s="289" t="s">
        <v>87</v>
      </c>
      <c r="F78" s="290">
        <v>1</v>
      </c>
      <c r="G78" s="291">
        <f t="shared" ref="G78:G89" si="9">SUM($B$6*F78)*C90</f>
        <v>0</v>
      </c>
      <c r="H78" s="292">
        <v>0</v>
      </c>
      <c r="I78" s="291">
        <v>0</v>
      </c>
      <c r="J78" s="293">
        <v>0</v>
      </c>
      <c r="K78" s="291">
        <f t="shared" ref="K78:K89" si="10">IF(J78&gt;0,($B$8*C90),0)</f>
        <v>0</v>
      </c>
      <c r="L78" s="468"/>
      <c r="M78" s="406">
        <f t="shared" ref="M78:M89" si="11">IF(L78&gt;0,($B$9*L78),0)</f>
        <v>0</v>
      </c>
      <c r="N78" s="294"/>
      <c r="O78" s="291">
        <f t="shared" ref="O78:O89" si="12">IF(N78&gt;0,($B$10*N78),0)</f>
        <v>0</v>
      </c>
      <c r="P78" s="295">
        <v>0</v>
      </c>
      <c r="Q78" s="291">
        <f t="shared" ref="Q78:Q89" si="13">SUM(P78*$B$17)*C90</f>
        <v>0</v>
      </c>
      <c r="R78" s="296">
        <f t="shared" ref="R78:R89" si="14">SUM(Q78+O78+M78+K78+I78+G78)</f>
        <v>0</v>
      </c>
    </row>
    <row r="79" spans="2:18" s="1" customFormat="1" ht="16.5" customHeight="1">
      <c r="B79" s="274" t="s">
        <v>121</v>
      </c>
      <c r="C79" s="288">
        <v>5460</v>
      </c>
      <c r="D79" s="260"/>
      <c r="E79" s="289" t="s">
        <v>86</v>
      </c>
      <c r="F79" s="290">
        <v>8</v>
      </c>
      <c r="G79" s="291">
        <f t="shared" si="9"/>
        <v>0</v>
      </c>
      <c r="H79" s="292"/>
      <c r="I79" s="291">
        <f t="shared" ref="I79:I89" si="15">IF(H79&gt;0,($B$7*C91),0)</f>
        <v>0</v>
      </c>
      <c r="J79" s="293"/>
      <c r="K79" s="291">
        <f t="shared" si="10"/>
        <v>0</v>
      </c>
      <c r="L79" s="469">
        <v>3</v>
      </c>
      <c r="M79" s="406">
        <f t="shared" si="11"/>
        <v>0</v>
      </c>
      <c r="N79" s="294">
        <v>1</v>
      </c>
      <c r="O79" s="291">
        <f t="shared" si="12"/>
        <v>0</v>
      </c>
      <c r="P79" s="295"/>
      <c r="Q79" s="291">
        <f t="shared" si="13"/>
        <v>0</v>
      </c>
      <c r="R79" s="296">
        <f t="shared" si="14"/>
        <v>0</v>
      </c>
    </row>
    <row r="80" spans="2:18" s="1" customFormat="1" ht="16.5" customHeight="1">
      <c r="B80" s="407" t="s">
        <v>365</v>
      </c>
      <c r="C80" s="288">
        <v>248.19</v>
      </c>
      <c r="D80" s="260"/>
      <c r="E80" s="289" t="s">
        <v>84</v>
      </c>
      <c r="F80" s="290">
        <v>9</v>
      </c>
      <c r="G80" s="291">
        <f t="shared" si="9"/>
        <v>0</v>
      </c>
      <c r="H80" s="292"/>
      <c r="I80" s="291">
        <f t="shared" si="15"/>
        <v>0</v>
      </c>
      <c r="J80" s="293"/>
      <c r="K80" s="291">
        <f t="shared" si="10"/>
        <v>0</v>
      </c>
      <c r="L80" s="469">
        <v>4</v>
      </c>
      <c r="M80" s="406">
        <f t="shared" si="11"/>
        <v>0</v>
      </c>
      <c r="N80" s="294">
        <v>2</v>
      </c>
      <c r="O80" s="291">
        <f t="shared" si="12"/>
        <v>0</v>
      </c>
      <c r="P80" s="295"/>
      <c r="Q80" s="291">
        <f t="shared" si="13"/>
        <v>0</v>
      </c>
      <c r="R80" s="296">
        <f t="shared" si="14"/>
        <v>0</v>
      </c>
    </row>
    <row r="81" spans="2:18" s="1" customFormat="1" ht="16.5" customHeight="1">
      <c r="B81" s="470" t="s">
        <v>366</v>
      </c>
      <c r="C81" s="288">
        <v>1134.58</v>
      </c>
      <c r="D81" s="260"/>
      <c r="E81" s="289" t="s">
        <v>83</v>
      </c>
      <c r="F81" s="290">
        <v>10</v>
      </c>
      <c r="G81" s="291">
        <f t="shared" si="9"/>
        <v>0</v>
      </c>
      <c r="H81" s="292"/>
      <c r="I81" s="291">
        <f t="shared" si="15"/>
        <v>0</v>
      </c>
      <c r="J81" s="293"/>
      <c r="K81" s="291">
        <f t="shared" si="10"/>
        <v>0</v>
      </c>
      <c r="L81" s="469">
        <v>1</v>
      </c>
      <c r="M81" s="406">
        <f t="shared" si="11"/>
        <v>0</v>
      </c>
      <c r="N81" s="294">
        <v>1</v>
      </c>
      <c r="O81" s="291">
        <f t="shared" si="12"/>
        <v>0</v>
      </c>
      <c r="P81" s="295"/>
      <c r="Q81" s="291">
        <f t="shared" si="13"/>
        <v>0</v>
      </c>
      <c r="R81" s="296">
        <f t="shared" si="14"/>
        <v>0</v>
      </c>
    </row>
    <row r="82" spans="2:18" s="1" customFormat="1" ht="16.5" customHeight="1">
      <c r="B82" s="274" t="s">
        <v>95</v>
      </c>
      <c r="C82" s="141">
        <v>35000</v>
      </c>
      <c r="D82" s="260"/>
      <c r="E82" s="289" t="s">
        <v>82</v>
      </c>
      <c r="F82" s="290">
        <v>6</v>
      </c>
      <c r="G82" s="291">
        <f t="shared" si="9"/>
        <v>0</v>
      </c>
      <c r="H82" s="292"/>
      <c r="I82" s="291">
        <f t="shared" si="15"/>
        <v>0</v>
      </c>
      <c r="J82" s="293"/>
      <c r="K82" s="291">
        <f t="shared" si="10"/>
        <v>0</v>
      </c>
      <c r="L82" s="469">
        <v>1.5</v>
      </c>
      <c r="M82" s="406">
        <f t="shared" si="11"/>
        <v>0</v>
      </c>
      <c r="N82" s="294">
        <v>1</v>
      </c>
      <c r="O82" s="291">
        <f t="shared" si="12"/>
        <v>0</v>
      </c>
      <c r="P82" s="295"/>
      <c r="Q82" s="291">
        <f t="shared" si="13"/>
        <v>0</v>
      </c>
      <c r="R82" s="296">
        <f t="shared" si="14"/>
        <v>0</v>
      </c>
    </row>
    <row r="83" spans="2:18" s="1" customFormat="1" ht="16.5" customHeight="1">
      <c r="B83" s="274" t="s">
        <v>94</v>
      </c>
      <c r="C83" s="141">
        <v>5000</v>
      </c>
      <c r="D83" s="260"/>
      <c r="E83" s="289" t="s">
        <v>80</v>
      </c>
      <c r="F83" s="290">
        <v>7</v>
      </c>
      <c r="G83" s="291">
        <f t="shared" si="9"/>
        <v>0</v>
      </c>
      <c r="H83" s="292"/>
      <c r="I83" s="291">
        <f t="shared" si="15"/>
        <v>0</v>
      </c>
      <c r="J83" s="293"/>
      <c r="K83" s="291">
        <f t="shared" si="10"/>
        <v>0</v>
      </c>
      <c r="L83" s="469">
        <v>2.5</v>
      </c>
      <c r="M83" s="406">
        <f t="shared" si="11"/>
        <v>0</v>
      </c>
      <c r="N83" s="333">
        <v>2.5</v>
      </c>
      <c r="O83" s="291">
        <f t="shared" si="12"/>
        <v>0</v>
      </c>
      <c r="P83" s="295">
        <v>2</v>
      </c>
      <c r="Q83" s="291">
        <f t="shared" si="13"/>
        <v>0</v>
      </c>
      <c r="R83" s="296">
        <f t="shared" si="14"/>
        <v>0</v>
      </c>
    </row>
    <row r="84" spans="2:18" s="1" customFormat="1" ht="16.5" customHeight="1">
      <c r="B84" s="274" t="s">
        <v>93</v>
      </c>
      <c r="C84" s="141">
        <v>175000</v>
      </c>
      <c r="D84" s="260"/>
      <c r="E84" s="289" t="s">
        <v>79</v>
      </c>
      <c r="F84" s="290"/>
      <c r="G84" s="291">
        <f t="shared" si="9"/>
        <v>0</v>
      </c>
      <c r="H84" s="292"/>
      <c r="I84" s="291">
        <f t="shared" si="15"/>
        <v>0</v>
      </c>
      <c r="J84" s="293"/>
      <c r="K84" s="291">
        <f t="shared" si="10"/>
        <v>0</v>
      </c>
      <c r="L84" s="469"/>
      <c r="M84" s="406">
        <f t="shared" si="11"/>
        <v>0</v>
      </c>
      <c r="N84" s="294"/>
      <c r="O84" s="291">
        <f t="shared" si="12"/>
        <v>0</v>
      </c>
      <c r="P84" s="295"/>
      <c r="Q84" s="291">
        <f t="shared" si="13"/>
        <v>0</v>
      </c>
      <c r="R84" s="296">
        <f t="shared" si="14"/>
        <v>0</v>
      </c>
    </row>
    <row r="85" spans="2:18" s="1" customFormat="1" ht="16.5" customHeight="1">
      <c r="B85" s="274" t="s">
        <v>92</v>
      </c>
      <c r="C85" s="141">
        <v>175000</v>
      </c>
      <c r="D85" s="260"/>
      <c r="E85" s="289" t="s">
        <v>78</v>
      </c>
      <c r="F85" s="290"/>
      <c r="G85" s="291">
        <f t="shared" si="9"/>
        <v>0</v>
      </c>
      <c r="H85" s="292"/>
      <c r="I85" s="291">
        <f t="shared" si="15"/>
        <v>0</v>
      </c>
      <c r="J85" s="293"/>
      <c r="K85" s="291">
        <f t="shared" si="10"/>
        <v>0</v>
      </c>
      <c r="L85" s="469"/>
      <c r="M85" s="406">
        <f t="shared" si="11"/>
        <v>0</v>
      </c>
      <c r="N85" s="294"/>
      <c r="O85" s="291">
        <f t="shared" si="12"/>
        <v>0</v>
      </c>
      <c r="P85" s="295"/>
      <c r="Q85" s="291">
        <f t="shared" si="13"/>
        <v>0</v>
      </c>
      <c r="R85" s="296">
        <f t="shared" si="14"/>
        <v>0</v>
      </c>
    </row>
    <row r="86" spans="2:18" s="1" customFormat="1" ht="16.5" customHeight="1">
      <c r="B86" s="274" t="s">
        <v>91</v>
      </c>
      <c r="C86" s="141">
        <v>12000</v>
      </c>
      <c r="D86" s="260"/>
      <c r="E86" s="289" t="s">
        <v>77</v>
      </c>
      <c r="F86" s="290"/>
      <c r="G86" s="291">
        <f t="shared" si="9"/>
        <v>0</v>
      </c>
      <c r="H86" s="292"/>
      <c r="I86" s="291">
        <f t="shared" si="15"/>
        <v>0</v>
      </c>
      <c r="J86" s="293"/>
      <c r="K86" s="291">
        <f t="shared" si="10"/>
        <v>0</v>
      </c>
      <c r="L86" s="469"/>
      <c r="M86" s="406">
        <f t="shared" si="11"/>
        <v>0</v>
      </c>
      <c r="N86" s="294"/>
      <c r="O86" s="291">
        <f t="shared" si="12"/>
        <v>0</v>
      </c>
      <c r="P86" s="295"/>
      <c r="Q86" s="291">
        <f t="shared" si="13"/>
        <v>0</v>
      </c>
      <c r="R86" s="296">
        <f t="shared" si="14"/>
        <v>0</v>
      </c>
    </row>
    <row r="87" spans="2:18" s="1" customFormat="1" ht="16.5" customHeight="1">
      <c r="B87" s="274" t="s">
        <v>90</v>
      </c>
      <c r="C87" s="141">
        <v>25000</v>
      </c>
      <c r="D87" s="260"/>
      <c r="E87" s="289" t="s">
        <v>76</v>
      </c>
      <c r="F87" s="290"/>
      <c r="G87" s="291">
        <f t="shared" si="9"/>
        <v>0</v>
      </c>
      <c r="H87" s="292"/>
      <c r="I87" s="291">
        <f t="shared" si="15"/>
        <v>0</v>
      </c>
      <c r="J87" s="293"/>
      <c r="K87" s="291">
        <f t="shared" si="10"/>
        <v>0</v>
      </c>
      <c r="L87" s="469"/>
      <c r="M87" s="406">
        <f t="shared" si="11"/>
        <v>0</v>
      </c>
      <c r="N87" s="294"/>
      <c r="O87" s="291">
        <f t="shared" si="12"/>
        <v>0</v>
      </c>
      <c r="P87" s="295"/>
      <c r="Q87" s="291">
        <f t="shared" si="13"/>
        <v>0</v>
      </c>
      <c r="R87" s="296">
        <f t="shared" si="14"/>
        <v>0</v>
      </c>
    </row>
    <row r="88" spans="2:18" s="1" customFormat="1" ht="16.5" customHeight="1">
      <c r="B88" s="297" t="s">
        <v>89</v>
      </c>
      <c r="C88" s="298">
        <v>92</v>
      </c>
      <c r="D88" s="260"/>
      <c r="E88" s="289" t="s">
        <v>75</v>
      </c>
      <c r="F88" s="290"/>
      <c r="G88" s="291">
        <f t="shared" si="9"/>
        <v>0</v>
      </c>
      <c r="H88" s="292"/>
      <c r="I88" s="291">
        <f t="shared" si="15"/>
        <v>0</v>
      </c>
      <c r="J88" s="293"/>
      <c r="K88" s="291">
        <f t="shared" si="10"/>
        <v>0</v>
      </c>
      <c r="L88" s="469"/>
      <c r="M88" s="406">
        <f t="shared" si="11"/>
        <v>0</v>
      </c>
      <c r="N88" s="294"/>
      <c r="O88" s="291">
        <f t="shared" si="12"/>
        <v>0</v>
      </c>
      <c r="P88" s="295"/>
      <c r="Q88" s="291">
        <f t="shared" si="13"/>
        <v>0</v>
      </c>
      <c r="R88" s="296">
        <f t="shared" si="14"/>
        <v>0</v>
      </c>
    </row>
    <row r="89" spans="2:18" s="1" customFormat="1" ht="16.5" customHeight="1">
      <c r="B89" s="299" t="s">
        <v>88</v>
      </c>
      <c r="C89" s="300"/>
      <c r="D89" s="260"/>
      <c r="E89" s="289" t="s">
        <v>74</v>
      </c>
      <c r="F89" s="290"/>
      <c r="G89" s="291">
        <f t="shared" si="9"/>
        <v>0</v>
      </c>
      <c r="H89" s="292"/>
      <c r="I89" s="291">
        <f t="shared" si="15"/>
        <v>0</v>
      </c>
      <c r="J89" s="293"/>
      <c r="K89" s="291">
        <f t="shared" si="10"/>
        <v>0</v>
      </c>
      <c r="L89" s="469"/>
      <c r="M89" s="406">
        <f t="shared" si="11"/>
        <v>0</v>
      </c>
      <c r="N89" s="294"/>
      <c r="O89" s="291">
        <f t="shared" si="12"/>
        <v>0</v>
      </c>
      <c r="P89" s="295"/>
      <c r="Q89" s="291">
        <f t="shared" si="13"/>
        <v>0</v>
      </c>
      <c r="R89" s="296">
        <f t="shared" si="14"/>
        <v>0</v>
      </c>
    </row>
    <row r="90" spans="2:18" s="1" customFormat="1" ht="16.5" customHeight="1">
      <c r="B90" s="421" t="s">
        <v>87</v>
      </c>
      <c r="C90" s="422">
        <v>1</v>
      </c>
      <c r="D90" s="260"/>
      <c r="E90" s="303"/>
      <c r="F90" s="304"/>
      <c r="G90" s="305"/>
      <c r="H90" s="306"/>
      <c r="I90" s="307"/>
      <c r="J90" s="308"/>
      <c r="K90" s="307"/>
      <c r="L90" s="471"/>
      <c r="M90" s="307"/>
      <c r="N90" s="471"/>
      <c r="O90" s="307"/>
      <c r="P90" s="306"/>
      <c r="Q90" s="307"/>
      <c r="R90" s="309"/>
    </row>
    <row r="91" spans="2:18" s="1" customFormat="1" ht="16.5" customHeight="1" thickBot="1">
      <c r="B91" s="421" t="s">
        <v>86</v>
      </c>
      <c r="C91" s="421">
        <f t="shared" ref="C91:C101" si="16">SUM(C90+(C90*$B$5))</f>
        <v>1</v>
      </c>
      <c r="D91" s="260"/>
      <c r="E91" s="310" t="s">
        <v>85</v>
      </c>
      <c r="F91" s="311"/>
      <c r="G91" s="312">
        <f>SUM(G78:G89)</f>
        <v>0</v>
      </c>
      <c r="H91" s="313"/>
      <c r="I91" s="312">
        <f>SUM(I78:I89)</f>
        <v>0</v>
      </c>
      <c r="J91" s="314"/>
      <c r="K91" s="312">
        <f>SUM(K78:K89)</f>
        <v>0</v>
      </c>
      <c r="L91" s="472"/>
      <c r="M91" s="312">
        <f>SUM(M78:M89)</f>
        <v>0</v>
      </c>
      <c r="N91" s="472"/>
      <c r="O91" s="312">
        <f>SUM(O78:O89)</f>
        <v>0</v>
      </c>
      <c r="P91" s="313"/>
      <c r="Q91" s="312">
        <f>SUM(Q78:Q89)</f>
        <v>0</v>
      </c>
      <c r="R91" s="316">
        <f>SUM(R78:R89)</f>
        <v>0</v>
      </c>
    </row>
    <row r="92" spans="2:18" s="1" customFormat="1" ht="16.5" customHeight="1" thickTop="1" thickBot="1">
      <c r="B92" s="421" t="s">
        <v>84</v>
      </c>
      <c r="C92" s="421">
        <f t="shared" si="16"/>
        <v>1</v>
      </c>
      <c r="D92" s="269"/>
      <c r="E92" s="317"/>
      <c r="F92" s="318"/>
      <c r="G92" s="319"/>
      <c r="H92" s="320"/>
      <c r="I92" s="319"/>
      <c r="J92" s="321"/>
      <c r="K92" s="319"/>
      <c r="L92" s="473"/>
      <c r="M92" s="319"/>
      <c r="N92" s="318"/>
      <c r="O92" s="319"/>
      <c r="P92" s="320"/>
      <c r="Q92" s="319"/>
      <c r="R92" s="323"/>
    </row>
    <row r="93" spans="2:18" s="1" customFormat="1" ht="16.5" customHeight="1">
      <c r="B93" s="421" t="s">
        <v>83</v>
      </c>
      <c r="C93" s="423">
        <f t="shared" si="16"/>
        <v>1</v>
      </c>
      <c r="D93" s="269"/>
      <c r="E93" s="269"/>
      <c r="F93" s="335"/>
      <c r="G93" s="269"/>
      <c r="H93" s="326"/>
      <c r="I93" s="269"/>
      <c r="J93" s="326"/>
      <c r="K93" s="269"/>
      <c r="L93" s="326"/>
      <c r="M93" s="269"/>
      <c r="N93" s="326"/>
      <c r="O93" s="269"/>
      <c r="P93" s="326"/>
      <c r="Q93" s="269"/>
      <c r="R93" s="269"/>
    </row>
    <row r="94" spans="2:18" s="1" customFormat="1" ht="16.5" customHeight="1">
      <c r="B94" s="421" t="s">
        <v>82</v>
      </c>
      <c r="C94" s="423">
        <f t="shared" si="16"/>
        <v>1</v>
      </c>
      <c r="D94" s="269"/>
      <c r="E94" s="269" t="s">
        <v>124</v>
      </c>
      <c r="F94" s="335"/>
      <c r="G94" s="269"/>
      <c r="H94" s="326"/>
      <c r="I94" s="269"/>
      <c r="J94" s="326"/>
      <c r="K94" s="269"/>
      <c r="L94" s="326"/>
      <c r="M94" s="269"/>
      <c r="N94" s="326"/>
      <c r="O94" s="269"/>
      <c r="P94" s="326"/>
      <c r="Q94" s="269"/>
      <c r="R94" s="269"/>
    </row>
    <row r="95" spans="2:18" s="1" customFormat="1" ht="16.5" customHeight="1">
      <c r="B95" s="421" t="s">
        <v>80</v>
      </c>
      <c r="C95" s="423">
        <f t="shared" si="16"/>
        <v>1</v>
      </c>
      <c r="D95" s="269"/>
      <c r="E95" s="269"/>
      <c r="F95" s="335"/>
      <c r="G95" s="269"/>
      <c r="H95" s="326"/>
      <c r="I95" s="269"/>
      <c r="J95" s="326"/>
      <c r="K95" s="269"/>
      <c r="L95" s="326"/>
      <c r="M95" s="269"/>
      <c r="N95" s="326"/>
      <c r="O95" s="269"/>
      <c r="P95" s="326"/>
      <c r="Q95" s="269"/>
      <c r="R95" s="269"/>
    </row>
    <row r="96" spans="2:18" s="1" customFormat="1" ht="16.5" customHeight="1">
      <c r="B96" s="421" t="s">
        <v>79</v>
      </c>
      <c r="C96" s="423">
        <f t="shared" si="16"/>
        <v>1</v>
      </c>
      <c r="D96" s="269"/>
      <c r="E96" s="413" t="s">
        <v>291</v>
      </c>
      <c r="F96" s="414"/>
      <c r="G96" s="415"/>
      <c r="H96" s="416"/>
      <c r="I96" s="413"/>
      <c r="J96" s="417"/>
      <c r="K96" s="413"/>
      <c r="L96" s="417"/>
      <c r="M96" s="413"/>
      <c r="N96" s="417"/>
      <c r="O96" s="413"/>
      <c r="P96" s="326"/>
      <c r="Q96" s="269"/>
      <c r="R96" s="269"/>
    </row>
    <row r="97" spans="2:18" s="1" customFormat="1" ht="16.5" customHeight="1">
      <c r="B97" s="421" t="s">
        <v>78</v>
      </c>
      <c r="C97" s="423">
        <f t="shared" si="16"/>
        <v>1</v>
      </c>
      <c r="D97" s="269"/>
      <c r="E97" s="418" t="s">
        <v>292</v>
      </c>
      <c r="F97" s="419"/>
      <c r="G97" s="418"/>
      <c r="H97" s="420"/>
      <c r="I97" s="269"/>
      <c r="J97" s="326"/>
      <c r="K97" s="269"/>
      <c r="L97" s="326"/>
      <c r="M97" s="269"/>
      <c r="N97" s="326"/>
      <c r="O97" s="269"/>
      <c r="P97" s="326"/>
      <c r="Q97" s="269"/>
      <c r="R97" s="269"/>
    </row>
    <row r="98" spans="2:18" s="1" customFormat="1" ht="16.5" customHeight="1">
      <c r="B98" s="421" t="s">
        <v>77</v>
      </c>
      <c r="C98" s="423">
        <f t="shared" si="16"/>
        <v>1</v>
      </c>
      <c r="D98" s="269"/>
      <c r="E98" s="269"/>
      <c r="F98" s="335"/>
      <c r="G98" s="269"/>
      <c r="H98" s="326"/>
      <c r="I98" s="269"/>
      <c r="J98" s="326"/>
      <c r="K98" s="269"/>
      <c r="L98" s="326"/>
      <c r="M98" s="269"/>
      <c r="N98" s="326"/>
      <c r="O98" s="269"/>
      <c r="P98" s="326"/>
      <c r="Q98" s="269"/>
      <c r="R98" s="269"/>
    </row>
    <row r="99" spans="2:18" s="1" customFormat="1" ht="16.5" customHeight="1">
      <c r="B99" s="421" t="s">
        <v>76</v>
      </c>
      <c r="C99" s="423">
        <f t="shared" si="16"/>
        <v>1</v>
      </c>
      <c r="D99" s="269"/>
      <c r="E99" s="474" t="s">
        <v>367</v>
      </c>
      <c r="F99" s="475"/>
      <c r="G99" s="474"/>
      <c r="H99" s="476"/>
      <c r="I99" s="474"/>
      <c r="J99" s="326"/>
      <c r="K99" s="269"/>
      <c r="L99" s="326"/>
      <c r="M99" s="269"/>
      <c r="N99" s="326"/>
      <c r="O99" s="269"/>
      <c r="P99" s="326"/>
      <c r="Q99" s="269"/>
      <c r="R99" s="269"/>
    </row>
    <row r="100" spans="2:18" s="1" customFormat="1" ht="16.5" customHeight="1">
      <c r="B100" s="421" t="s">
        <v>75</v>
      </c>
      <c r="C100" s="423">
        <f t="shared" si="16"/>
        <v>1</v>
      </c>
      <c r="D100" s="269"/>
      <c r="E100" s="477" t="s">
        <v>368</v>
      </c>
      <c r="F100" s="335"/>
      <c r="G100" s="269"/>
      <c r="H100" s="326"/>
      <c r="I100" s="269"/>
      <c r="J100" s="326"/>
      <c r="K100" s="269"/>
      <c r="L100" s="326"/>
      <c r="M100" s="269"/>
      <c r="N100" s="326"/>
      <c r="O100" s="269"/>
      <c r="P100" s="326"/>
      <c r="Q100" s="269"/>
      <c r="R100" s="269"/>
    </row>
    <row r="101" spans="2:18" s="1" customFormat="1" ht="16.5" customHeight="1">
      <c r="B101" s="421" t="s">
        <v>74</v>
      </c>
      <c r="C101" s="423">
        <f t="shared" si="16"/>
        <v>1</v>
      </c>
      <c r="D101" s="269"/>
      <c r="E101" s="269"/>
      <c r="F101" s="335"/>
      <c r="G101" s="269"/>
      <c r="H101" s="326"/>
      <c r="I101" s="269"/>
      <c r="J101" s="326"/>
      <c r="K101" s="269"/>
      <c r="L101" s="326"/>
      <c r="M101" s="269"/>
      <c r="N101" s="326"/>
      <c r="O101" s="269"/>
      <c r="P101" s="326"/>
      <c r="Q101" s="269"/>
      <c r="R101" s="269"/>
    </row>
  </sheetData>
  <mergeCells count="20">
    <mergeCell ref="E41:R41"/>
    <mergeCell ref="E42:R42"/>
    <mergeCell ref="E43:R43"/>
    <mergeCell ref="E44:R44"/>
    <mergeCell ref="F45:G45"/>
    <mergeCell ref="H45:I45"/>
    <mergeCell ref="J45:K45"/>
    <mergeCell ref="L45:M45"/>
    <mergeCell ref="N45:O45"/>
    <mergeCell ref="P45:Q45"/>
    <mergeCell ref="E72:R72"/>
    <mergeCell ref="E73:R73"/>
    <mergeCell ref="E74:R74"/>
    <mergeCell ref="E75:R75"/>
    <mergeCell ref="F76:G76"/>
    <mergeCell ref="H76:I76"/>
    <mergeCell ref="J76:K76"/>
    <mergeCell ref="L76:M76"/>
    <mergeCell ref="N76:O76"/>
    <mergeCell ref="P76:Q76"/>
  </mergeCells>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manualMax="0" manualMin="0"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302 summary'!C39:N39</xm:f>
              <xm:sqref>P39</xm:sqref>
            </x14:sparkline>
          </x14:sparklines>
        </x14:sparklineGroup>
        <x14:sparklineGroup manualMax="0" manualMin="0" displayEmptyCellsAs="gap" markers="1" last="1">
          <x14:colorSeries rgb="FF323232"/>
          <x14:colorNegative rgb="FFD00000"/>
          <x14:colorAxis rgb="FF000000"/>
          <x14:colorMarkers rgb="FFD00000"/>
          <x14:colorFirst rgb="FFD00000"/>
          <x14:colorLast rgb="FFD00000"/>
          <x14:colorHigh rgb="FFD00000"/>
          <x14:colorLow rgb="FFD00000"/>
          <x14:sparklines>
            <x14:sparkline>
              <xm:f>'Bus 302 summary'!C19:N19</xm:f>
              <xm:sqref>P19</xm:sqref>
            </x14:sparkline>
            <x14:sparkline>
              <xm:f>'Bus 302 summary'!C20:N20</xm:f>
              <xm:sqref>P20</xm:sqref>
            </x14:sparkline>
            <x14:sparkline>
              <xm:f>'Bus 302 summary'!C21:N21</xm:f>
              <xm:sqref>P21</xm:sqref>
            </x14:sparkline>
            <x14:sparkline>
              <xm:f>'Bus 302 summary'!C22:N22</xm:f>
              <xm:sqref>P22</xm:sqref>
            </x14:sparkline>
            <x14:sparkline>
              <xm:f>'Bus 302 summary'!C23:N23</xm:f>
              <xm:sqref>P23</xm:sqref>
            </x14:sparkline>
            <x14:sparkline>
              <xm:f>'Bus 302 summary'!C24:N24</xm:f>
              <xm:sqref>P24</xm:sqref>
            </x14:sparkline>
            <x14:sparkline>
              <xm:f>'Bus 302 summary'!C25:N25</xm:f>
              <xm:sqref>P25</xm:sqref>
            </x14:sparkline>
            <x14:sparkline>
              <xm:f>'Bus 302 summary'!C26:N26</xm:f>
              <xm:sqref>P26</xm:sqref>
            </x14:sparkline>
            <x14:sparkline>
              <xm:f>'Bus 302 summary'!C27:N27</xm:f>
              <xm:sqref>P27</xm:sqref>
            </x14:sparkline>
            <x14:sparkline>
              <xm:f>'Bus 302 summary'!C28:N28</xm:f>
              <xm:sqref>P28</xm:sqref>
            </x14:sparkline>
            <x14:sparkline>
              <xm:f>'Bus 302 summary'!C29:N29</xm:f>
              <xm:sqref>P29</xm:sqref>
            </x14:sparkline>
            <x14:sparkline>
              <xm:f>'Bus 302 summary'!C30:N30</xm:f>
              <xm:sqref>P30</xm:sqref>
            </x14:sparkline>
            <x14:sparkline>
              <xm:f>'Bus 302 summary'!C31:N31</xm:f>
              <xm:sqref>P31</xm:sqref>
            </x14:sparkline>
            <x14:sparkline>
              <xm:f>'Bus 302 summary'!C32:N32</xm:f>
              <xm:sqref>P32</xm:sqref>
            </x14:sparkline>
            <x14:sparkline>
              <xm:f>'Bus 302 summary'!C33:N33</xm:f>
              <xm:sqref>P33</xm:sqref>
            </x14:sparkline>
            <x14:sparkline>
              <xm:f>'Bus 302 summary'!C34:N34</xm:f>
              <xm:sqref>P34</xm:sqref>
            </x14:sparkline>
            <x14:sparkline>
              <xm:f>'Bus 302 summary'!C35:N35</xm:f>
              <xm:sqref>P35</xm:sqref>
            </x14:sparkline>
            <x14:sparkline>
              <xm:f>'Bus 302 summary'!C36:N36</xm:f>
              <xm:sqref>P36</xm:sqref>
            </x14:sparkline>
            <x14:sparkline>
              <xm:f>'Bus 302 summary'!C37:N37</xm:f>
              <xm:sqref>P37</xm:sqref>
            </x14:sparkline>
            <x14:sparkline>
              <xm:f>'Bus 302 summary'!C38:N38</xm:f>
              <xm:sqref>P38</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autoPageBreaks="0" fitToPage="1"/>
  </sheetPr>
  <dimension ref="B2:N11"/>
  <sheetViews>
    <sheetView showGridLines="0" zoomScale="90" zoomScaleNormal="90" workbookViewId="0">
      <selection activeCell="T7" sqref="T7"/>
    </sheetView>
  </sheetViews>
  <sheetFormatPr defaultColWidth="9.140625" defaultRowHeight="12"/>
  <cols>
    <col min="1" max="1" width="3.140625" style="96" customWidth="1"/>
    <col min="2" max="2" width="4" style="96" customWidth="1"/>
    <col min="3" max="3" width="3.7109375" style="96" customWidth="1"/>
    <col min="4" max="12" width="7.7109375" style="96" customWidth="1"/>
    <col min="13" max="13" width="13.85546875" style="96" customWidth="1"/>
    <col min="14" max="14" width="5.7109375" style="96" customWidth="1"/>
    <col min="15" max="16384" width="9.140625" style="96"/>
  </cols>
  <sheetData>
    <row r="2" spans="2:14" s="96" customFormat="1" ht="33">
      <c r="B2" s="95" t="s">
        <v>228</v>
      </c>
    </row>
    <row r="3" spans="2:14" s="96" customFormat="1" ht="23.25" customHeight="1"/>
    <row r="4" spans="2:14" s="96" customFormat="1" ht="27" customHeight="1">
      <c r="B4" s="97" t="s">
        <v>229</v>
      </c>
      <c r="C4" s="97"/>
      <c r="D4" s="97"/>
      <c r="E4" s="97"/>
      <c r="F4" s="97"/>
      <c r="G4" s="97"/>
      <c r="H4" s="97"/>
      <c r="I4" s="97"/>
      <c r="J4" s="97"/>
      <c r="K4" s="97"/>
      <c r="L4" s="97"/>
      <c r="M4" s="97"/>
      <c r="N4" s="96" t="s">
        <v>32</v>
      </c>
    </row>
    <row r="5" spans="2:14" s="96" customFormat="1" ht="57.75" customHeight="1"/>
    <row r="6" spans="2:14" s="96" customFormat="1" ht="27" customHeight="1">
      <c r="B6" s="96" t="s">
        <v>32</v>
      </c>
    </row>
    <row r="7" spans="2:14" s="96" customFormat="1" ht="41.25" customHeight="1">
      <c r="C7" s="84"/>
      <c r="D7" s="84"/>
      <c r="E7" s="84"/>
      <c r="F7" s="84"/>
      <c r="G7" s="84"/>
      <c r="H7" s="84"/>
      <c r="I7" s="84"/>
      <c r="J7" s="84"/>
      <c r="K7" s="84"/>
      <c r="L7" s="84"/>
      <c r="M7" s="84"/>
    </row>
    <row r="8" spans="2:14" s="96" customFormat="1" ht="37.5" customHeight="1">
      <c r="C8" s="82"/>
      <c r="D8" s="83"/>
      <c r="E8" s="83"/>
      <c r="F8" s="83"/>
      <c r="G8" s="83"/>
      <c r="H8" s="83"/>
      <c r="I8" s="83"/>
      <c r="J8" s="83"/>
      <c r="K8" s="83"/>
      <c r="L8" s="83"/>
      <c r="M8" s="83"/>
    </row>
    <row r="9" spans="2:14" s="96" customFormat="1" ht="35.25" customHeight="1">
      <c r="C9" s="82"/>
      <c r="D9" s="83"/>
      <c r="E9" s="83"/>
      <c r="F9" s="83"/>
      <c r="G9" s="83"/>
      <c r="H9" s="83"/>
      <c r="I9" s="83"/>
      <c r="J9" s="83"/>
      <c r="K9" s="83"/>
      <c r="L9" s="83"/>
      <c r="M9" s="83"/>
    </row>
    <row r="10" spans="2:14" s="96" customFormat="1" ht="34.5" customHeight="1">
      <c r="C10" s="82"/>
      <c r="D10" s="83"/>
      <c r="E10" s="83"/>
      <c r="F10" s="83"/>
      <c r="G10" s="83"/>
      <c r="H10" s="83"/>
      <c r="I10" s="83"/>
      <c r="J10" s="83"/>
      <c r="K10" s="83"/>
      <c r="L10" s="83"/>
      <c r="M10" s="83"/>
    </row>
    <row r="11" spans="2:14" s="96" customFormat="1" ht="56.25" customHeight="1">
      <c r="C11" s="82"/>
      <c r="D11" s="83"/>
      <c r="E11" s="83"/>
      <c r="F11" s="83"/>
      <c r="G11" s="83"/>
      <c r="H11" s="83"/>
      <c r="I11" s="83"/>
      <c r="J11" s="83"/>
      <c r="K11" s="83"/>
      <c r="L11" s="83"/>
      <c r="M11" s="83"/>
    </row>
  </sheetData>
  <mergeCells count="6">
    <mergeCell ref="D11:M11"/>
    <mergeCell ref="B4:M4"/>
    <mergeCell ref="C7:M7"/>
    <mergeCell ref="D8:M8"/>
    <mergeCell ref="D9:M9"/>
    <mergeCell ref="D10:M10"/>
  </mergeCells>
  <printOptions horizontalCentered="1"/>
  <pageMargins left="0.7" right="0.7" top="0.75" bottom="0.75" header="0.3" footer="0.3"/>
  <pageSetup scale="9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203"/>
  <sheetViews>
    <sheetView showGridLines="0" topLeftCell="A166" zoomScale="115" zoomScaleNormal="115" workbookViewId="0">
      <selection activeCell="F178" sqref="A1:XFD1048576"/>
    </sheetView>
  </sheetViews>
  <sheetFormatPr defaultColWidth="9.140625" defaultRowHeight="16.5" customHeight="1"/>
  <cols>
    <col min="1" max="1" width="3.140625" style="1" customWidth="1"/>
    <col min="2" max="4" width="12.28515625" style="1" customWidth="1"/>
    <col min="5" max="5" width="15.7109375" style="1" customWidth="1"/>
    <col min="6" max="6" width="41"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388</v>
      </c>
      <c r="G4" s="185" t="s">
        <v>45</v>
      </c>
    </row>
    <row r="5" spans="2:8" s="1" customFormat="1" ht="16.5" customHeight="1">
      <c r="B5" s="187">
        <v>42926</v>
      </c>
      <c r="C5" s="188">
        <v>10627</v>
      </c>
      <c r="D5" s="8">
        <v>2.87</v>
      </c>
      <c r="E5" s="188" t="s">
        <v>17</v>
      </c>
      <c r="F5" s="188" t="s">
        <v>387</v>
      </c>
      <c r="G5" s="188" t="s">
        <v>386</v>
      </c>
    </row>
    <row r="6" spans="2:8" s="1" customFormat="1" ht="16.5" customHeight="1">
      <c r="B6" s="187">
        <v>42926</v>
      </c>
      <c r="C6" s="188">
        <v>10627</v>
      </c>
      <c r="D6" s="8">
        <v>48.09</v>
      </c>
      <c r="E6" s="188" t="s">
        <v>17</v>
      </c>
      <c r="F6" s="188" t="s">
        <v>385</v>
      </c>
      <c r="G6" s="188" t="s">
        <v>384</v>
      </c>
    </row>
    <row r="7" spans="2:8" s="1" customFormat="1" ht="16.5" customHeight="1">
      <c r="B7" s="187">
        <v>42926</v>
      </c>
      <c r="C7" s="188">
        <v>10627</v>
      </c>
      <c r="D7" s="8">
        <v>42.89</v>
      </c>
      <c r="E7" s="188" t="s">
        <v>17</v>
      </c>
      <c r="F7" s="188" t="s">
        <v>383</v>
      </c>
      <c r="G7" s="188" t="s">
        <v>382</v>
      </c>
    </row>
    <row r="8" spans="2:8" s="1" customFormat="1" ht="16.5" customHeight="1">
      <c r="B8" s="187">
        <v>42926</v>
      </c>
      <c r="C8" s="188">
        <v>10627</v>
      </c>
      <c r="D8" s="8">
        <v>42.89</v>
      </c>
      <c r="E8" s="188" t="s">
        <v>17</v>
      </c>
      <c r="F8" s="188" t="s">
        <v>381</v>
      </c>
      <c r="G8" s="188" t="s">
        <v>380</v>
      </c>
    </row>
    <row r="9" spans="2:8" s="1" customFormat="1" ht="16.5" customHeight="1">
      <c r="B9" s="187">
        <v>42926</v>
      </c>
      <c r="C9" s="188">
        <v>10627</v>
      </c>
      <c r="D9" s="8">
        <v>6.15</v>
      </c>
      <c r="E9" s="188" t="s">
        <v>17</v>
      </c>
      <c r="F9" s="188" t="s">
        <v>379</v>
      </c>
      <c r="G9" s="188" t="s">
        <v>378</v>
      </c>
    </row>
    <row r="10" spans="2:8" s="1" customFormat="1" ht="16.5" customHeight="1">
      <c r="B10" s="187">
        <v>42926</v>
      </c>
      <c r="C10" s="188">
        <v>10627</v>
      </c>
      <c r="D10" s="8">
        <v>502.06</v>
      </c>
      <c r="E10" s="188" t="s">
        <v>17</v>
      </c>
      <c r="F10" s="188" t="s">
        <v>377</v>
      </c>
      <c r="G10" s="188" t="s">
        <v>376</v>
      </c>
    </row>
    <row r="11" spans="2:8" s="1" customFormat="1" ht="16.5" customHeight="1">
      <c r="B11" s="187">
        <v>42926</v>
      </c>
      <c r="C11" s="188">
        <v>10627</v>
      </c>
      <c r="D11" s="8">
        <v>14</v>
      </c>
      <c r="E11" s="188" t="s">
        <v>17</v>
      </c>
      <c r="F11" s="188" t="s">
        <v>375</v>
      </c>
      <c r="G11" s="188" t="s">
        <v>374</v>
      </c>
    </row>
    <row r="12" spans="2:8" s="1" customFormat="1" ht="16.5" customHeight="1">
      <c r="B12" s="187">
        <v>42926</v>
      </c>
      <c r="C12" s="188">
        <v>10627</v>
      </c>
      <c r="D12" s="8">
        <v>160</v>
      </c>
      <c r="E12" s="188" t="s">
        <v>17</v>
      </c>
      <c r="F12" s="188" t="s">
        <v>69</v>
      </c>
      <c r="G12" s="188"/>
    </row>
    <row r="13" spans="2:8" s="1" customFormat="1" ht="16.5" customHeight="1">
      <c r="B13" s="189">
        <v>42931</v>
      </c>
      <c r="C13" s="190">
        <v>10636</v>
      </c>
      <c r="D13" s="52">
        <v>7.83</v>
      </c>
      <c r="E13" s="190" t="s">
        <v>5</v>
      </c>
      <c r="F13" s="190" t="s">
        <v>373</v>
      </c>
      <c r="G13" s="191" t="s">
        <v>372</v>
      </c>
    </row>
    <row r="14" spans="2:8" s="1" customFormat="1" ht="16.5" customHeight="1">
      <c r="B14" s="189">
        <v>42931</v>
      </c>
      <c r="C14" s="190">
        <v>10636</v>
      </c>
      <c r="D14" s="52">
        <v>10</v>
      </c>
      <c r="E14" s="190" t="s">
        <v>2</v>
      </c>
      <c r="F14" s="190" t="s">
        <v>371</v>
      </c>
      <c r="G14" s="191"/>
    </row>
    <row r="15" spans="2:8" s="1" customFormat="1" ht="16.5" customHeight="1">
      <c r="B15" s="189">
        <v>42937</v>
      </c>
      <c r="C15" s="190">
        <v>10650</v>
      </c>
      <c r="D15" s="52">
        <v>33.1</v>
      </c>
      <c r="E15" s="190" t="s">
        <v>5</v>
      </c>
      <c r="F15" s="190" t="s">
        <v>370</v>
      </c>
      <c r="G15" s="191" t="s">
        <v>369</v>
      </c>
    </row>
    <row r="16" spans="2:8" s="1" customFormat="1" ht="16.5" customHeight="1">
      <c r="B16" s="189">
        <v>42937</v>
      </c>
      <c r="C16" s="190">
        <v>10650</v>
      </c>
      <c r="D16" s="52">
        <v>20</v>
      </c>
      <c r="E16" s="190" t="s">
        <v>2</v>
      </c>
      <c r="F16" s="190" t="s">
        <v>178</v>
      </c>
      <c r="G16" s="191"/>
    </row>
    <row r="17" spans="2:7" s="1" customFormat="1" ht="16.5" customHeight="1">
      <c r="B17" s="189"/>
      <c r="C17" s="190"/>
      <c r="D17" s="52"/>
      <c r="E17" s="190"/>
      <c r="F17" s="190"/>
      <c r="G17" s="191"/>
    </row>
    <row r="18" spans="2:7" s="1" customFormat="1" ht="16.5" customHeight="1">
      <c r="B18" s="192" t="s">
        <v>1</v>
      </c>
      <c r="C18" s="193"/>
      <c r="D18" s="194">
        <f>SUBTOTAL(109,ExpJul55[Amount])</f>
        <v>889.88000000000011</v>
      </c>
      <c r="E18" s="193"/>
      <c r="F18" s="193"/>
      <c r="G18" s="192"/>
    </row>
    <row r="19" spans="2:7" s="1" customFormat="1" ht="16.5" customHeight="1">
      <c r="B19" s="195"/>
      <c r="C19" s="196"/>
      <c r="D19" s="197"/>
      <c r="E19" s="196"/>
      <c r="F19" s="196"/>
      <c r="G19" s="196"/>
    </row>
    <row r="20" spans="2:7" s="1" customFormat="1" ht="27.75" customHeight="1">
      <c r="B20" s="205" t="s">
        <v>52</v>
      </c>
      <c r="C20" s="36"/>
      <c r="D20" s="36"/>
      <c r="E20" s="36"/>
      <c r="F20" s="36"/>
      <c r="G20" s="36"/>
    </row>
    <row r="21" spans="2:7" s="1" customFormat="1" ht="16.5" customHeight="1">
      <c r="B21" s="36"/>
      <c r="C21" s="36"/>
      <c r="D21" s="36"/>
      <c r="E21" s="36"/>
      <c r="F21" s="36"/>
      <c r="G21" s="36"/>
    </row>
    <row r="22" spans="2:7" s="1" customFormat="1" ht="16.5" customHeight="1">
      <c r="B22" s="206" t="s">
        <v>50</v>
      </c>
      <c r="C22" s="207" t="s">
        <v>53</v>
      </c>
      <c r="D22" s="206" t="s">
        <v>48</v>
      </c>
      <c r="E22" s="207" t="s">
        <v>47</v>
      </c>
      <c r="F22" s="207" t="s">
        <v>388</v>
      </c>
      <c r="G22" s="206" t="s">
        <v>45</v>
      </c>
    </row>
    <row r="23" spans="2:7" s="1" customFormat="1" ht="16.5" customHeight="1">
      <c r="B23" s="25">
        <v>42948</v>
      </c>
      <c r="C23" s="51">
        <v>10676</v>
      </c>
      <c r="D23" s="211">
        <v>2.79</v>
      </c>
      <c r="E23" s="51" t="s">
        <v>3</v>
      </c>
      <c r="F23" s="51" t="s">
        <v>397</v>
      </c>
      <c r="G23" s="27" t="s">
        <v>398</v>
      </c>
    </row>
    <row r="24" spans="2:7" s="1" customFormat="1" ht="16.5" customHeight="1">
      <c r="B24" s="25">
        <v>42948</v>
      </c>
      <c r="C24" s="51">
        <v>10676</v>
      </c>
      <c r="D24" s="211">
        <v>20</v>
      </c>
      <c r="E24" s="51" t="s">
        <v>2</v>
      </c>
      <c r="F24" s="51" t="s">
        <v>399</v>
      </c>
      <c r="G24" s="27"/>
    </row>
    <row r="25" spans="2:7" s="1" customFormat="1" ht="16.5" customHeight="1">
      <c r="B25" s="25">
        <v>42964</v>
      </c>
      <c r="C25" s="51">
        <v>10719</v>
      </c>
      <c r="D25" s="211">
        <v>4.45</v>
      </c>
      <c r="E25" s="51" t="s">
        <v>3</v>
      </c>
      <c r="F25" s="51" t="s">
        <v>400</v>
      </c>
      <c r="G25" s="27" t="s">
        <v>401</v>
      </c>
    </row>
    <row r="26" spans="2:7" s="1" customFormat="1" ht="16.5" customHeight="1">
      <c r="B26" s="25">
        <v>42964</v>
      </c>
      <c r="C26" s="51">
        <v>10719</v>
      </c>
      <c r="D26" s="211">
        <v>42.89</v>
      </c>
      <c r="E26" s="51" t="s">
        <v>14</v>
      </c>
      <c r="F26" s="51" t="s">
        <v>402</v>
      </c>
      <c r="G26" s="27" t="s">
        <v>403</v>
      </c>
    </row>
    <row r="27" spans="2:7" s="1" customFormat="1" ht="16.5" customHeight="1">
      <c r="B27" s="25">
        <v>42964</v>
      </c>
      <c r="C27" s="51">
        <v>10719</v>
      </c>
      <c r="D27" s="211">
        <v>48.09</v>
      </c>
      <c r="E27" s="51" t="s">
        <v>15</v>
      </c>
      <c r="F27" s="51" t="s">
        <v>404</v>
      </c>
      <c r="G27" s="27" t="s">
        <v>405</v>
      </c>
    </row>
    <row r="28" spans="2:7" s="1" customFormat="1" ht="16.5" customHeight="1">
      <c r="B28" s="25">
        <v>42964</v>
      </c>
      <c r="C28" s="51">
        <v>10719</v>
      </c>
      <c r="D28" s="211">
        <v>100</v>
      </c>
      <c r="E28" s="51" t="s">
        <v>2</v>
      </c>
      <c r="F28" s="51" t="s">
        <v>406</v>
      </c>
      <c r="G28" s="27"/>
    </row>
    <row r="29" spans="2:7" s="1" customFormat="1" ht="16.5" customHeight="1">
      <c r="B29" s="25">
        <v>42966</v>
      </c>
      <c r="C29" s="51">
        <v>10724</v>
      </c>
      <c r="D29" s="211">
        <v>28</v>
      </c>
      <c r="E29" s="51" t="s">
        <v>12</v>
      </c>
      <c r="F29" s="51" t="s">
        <v>407</v>
      </c>
      <c r="G29" s="27" t="s">
        <v>408</v>
      </c>
    </row>
    <row r="30" spans="2:7" s="1" customFormat="1" ht="16.5" customHeight="1">
      <c r="B30" s="25">
        <v>42966</v>
      </c>
      <c r="C30" s="51">
        <v>10724</v>
      </c>
      <c r="D30" s="211">
        <v>40</v>
      </c>
      <c r="E30" s="51" t="s">
        <v>2</v>
      </c>
      <c r="F30" s="51" t="s">
        <v>409</v>
      </c>
      <c r="G30" s="27"/>
    </row>
    <row r="31" spans="2:7" s="1" customFormat="1" ht="16.5" customHeight="1">
      <c r="B31" s="208">
        <v>42970</v>
      </c>
      <c r="C31" s="209">
        <v>10737</v>
      </c>
      <c r="D31" s="210">
        <v>2.87</v>
      </c>
      <c r="E31" s="209" t="s">
        <v>17</v>
      </c>
      <c r="F31" s="209" t="s">
        <v>410</v>
      </c>
      <c r="G31" s="209" t="s">
        <v>411</v>
      </c>
    </row>
    <row r="32" spans="2:7" s="1" customFormat="1" ht="16.5" customHeight="1">
      <c r="B32" s="208">
        <v>42970</v>
      </c>
      <c r="C32" s="209">
        <v>10737</v>
      </c>
      <c r="D32" s="210">
        <v>9.0299999999999994</v>
      </c>
      <c r="E32" s="209" t="s">
        <v>17</v>
      </c>
      <c r="F32" s="209" t="s">
        <v>412</v>
      </c>
      <c r="G32" s="209" t="s">
        <v>413</v>
      </c>
    </row>
    <row r="33" spans="2:7" s="1" customFormat="1" ht="16.5" customHeight="1">
      <c r="B33" s="208">
        <v>42970</v>
      </c>
      <c r="C33" s="209">
        <v>10737</v>
      </c>
      <c r="D33" s="210">
        <v>6.06</v>
      </c>
      <c r="E33" s="209" t="s">
        <v>17</v>
      </c>
      <c r="F33" s="209" t="s">
        <v>414</v>
      </c>
      <c r="G33" s="209" t="s">
        <v>415</v>
      </c>
    </row>
    <row r="34" spans="2:7" s="1" customFormat="1" ht="16.5" customHeight="1">
      <c r="B34" s="341">
        <v>42970</v>
      </c>
      <c r="C34" s="342">
        <v>10737</v>
      </c>
      <c r="D34" s="343">
        <v>14</v>
      </c>
      <c r="E34" s="342" t="s">
        <v>17</v>
      </c>
      <c r="F34" s="342" t="s">
        <v>416</v>
      </c>
      <c r="G34" s="342" t="s">
        <v>417</v>
      </c>
    </row>
    <row r="35" spans="2:7" s="1" customFormat="1" ht="16.5" customHeight="1">
      <c r="B35" s="341">
        <v>42970</v>
      </c>
      <c r="C35" s="342">
        <v>10737</v>
      </c>
      <c r="D35" s="343">
        <v>100</v>
      </c>
      <c r="E35" s="342" t="s">
        <v>17</v>
      </c>
      <c r="F35" s="342" t="s">
        <v>418</v>
      </c>
      <c r="G35" s="342"/>
    </row>
    <row r="36" spans="2:7" s="1" customFormat="1" ht="16.5" customHeight="1">
      <c r="B36" s="337">
        <v>42978</v>
      </c>
      <c r="C36" s="338">
        <v>10762</v>
      </c>
      <c r="D36" s="339">
        <v>41.9</v>
      </c>
      <c r="E36" s="338" t="s">
        <v>3</v>
      </c>
      <c r="F36" s="338" t="s">
        <v>419</v>
      </c>
      <c r="G36" s="340" t="s">
        <v>420</v>
      </c>
    </row>
    <row r="37" spans="2:7" s="1" customFormat="1" ht="16.5" customHeight="1">
      <c r="B37" s="337">
        <v>42978</v>
      </c>
      <c r="C37" s="338">
        <v>10762</v>
      </c>
      <c r="D37" s="339">
        <v>5</v>
      </c>
      <c r="E37" s="338" t="s">
        <v>3</v>
      </c>
      <c r="F37" s="338" t="s">
        <v>421</v>
      </c>
      <c r="G37" s="340" t="s">
        <v>422</v>
      </c>
    </row>
    <row r="38" spans="2:7" s="1" customFormat="1" ht="16.5" customHeight="1">
      <c r="B38" s="337">
        <v>42978</v>
      </c>
      <c r="C38" s="338">
        <v>10762</v>
      </c>
      <c r="D38" s="339">
        <v>60</v>
      </c>
      <c r="E38" s="338" t="s">
        <v>2</v>
      </c>
      <c r="F38" s="338" t="s">
        <v>423</v>
      </c>
      <c r="G38" s="340"/>
    </row>
    <row r="39" spans="2:7" s="1" customFormat="1" ht="16.5" customHeight="1">
      <c r="B39" s="337"/>
      <c r="C39" s="338"/>
      <c r="D39" s="339"/>
      <c r="E39" s="338"/>
      <c r="F39" s="338"/>
      <c r="G39" s="340"/>
    </row>
    <row r="40" spans="2:7" s="1" customFormat="1" ht="16.5" customHeight="1">
      <c r="B40" s="212" t="s">
        <v>1</v>
      </c>
      <c r="C40" s="213"/>
      <c r="D40" s="214">
        <f>SUBTOTAL(109,ExpAug57[Amount])</f>
        <v>525.07999999999993</v>
      </c>
      <c r="E40" s="213"/>
      <c r="F40" s="213"/>
      <c r="G40" s="212"/>
    </row>
    <row r="42" spans="2:7" s="1" customFormat="1" ht="24.75" customHeight="1">
      <c r="B42" s="205" t="s">
        <v>56</v>
      </c>
      <c r="C42" s="117"/>
      <c r="D42" s="117"/>
      <c r="E42" s="117"/>
      <c r="F42" s="117"/>
      <c r="G42" s="117"/>
    </row>
    <row r="43" spans="2:7" s="1" customFormat="1" ht="16.5" customHeight="1">
      <c r="B43" s="117"/>
      <c r="C43" s="117"/>
      <c r="D43" s="117"/>
      <c r="E43" s="117"/>
      <c r="F43" s="117"/>
      <c r="G43" s="117"/>
    </row>
    <row r="44" spans="2:7" s="1" customFormat="1" ht="16.5" customHeight="1">
      <c r="B44" s="206" t="s">
        <v>50</v>
      </c>
      <c r="C44" s="207" t="s">
        <v>53</v>
      </c>
      <c r="D44" s="206" t="s">
        <v>48</v>
      </c>
      <c r="E44" s="207" t="s">
        <v>47</v>
      </c>
      <c r="F44" s="207" t="s">
        <v>388</v>
      </c>
      <c r="G44" s="206" t="s">
        <v>45</v>
      </c>
    </row>
    <row r="45" spans="2:7" s="1" customFormat="1" ht="16.5" customHeight="1">
      <c r="B45" s="478">
        <v>42979</v>
      </c>
      <c r="C45" s="479">
        <v>10766</v>
      </c>
      <c r="D45" s="480">
        <v>121.95</v>
      </c>
      <c r="E45" s="479" t="s">
        <v>6</v>
      </c>
      <c r="F45" s="479" t="s">
        <v>389</v>
      </c>
      <c r="G45" s="479" t="s">
        <v>390</v>
      </c>
    </row>
    <row r="46" spans="2:7" s="1" customFormat="1" ht="16.5" customHeight="1">
      <c r="B46" s="25">
        <v>42983</v>
      </c>
      <c r="C46" s="51">
        <v>10771</v>
      </c>
      <c r="D46" s="211">
        <v>7.83</v>
      </c>
      <c r="E46" s="51" t="s">
        <v>5</v>
      </c>
      <c r="F46" s="51" t="s">
        <v>391</v>
      </c>
      <c r="G46" s="27" t="s">
        <v>392</v>
      </c>
    </row>
    <row r="47" spans="2:7" s="1" customFormat="1" ht="16.5" customHeight="1">
      <c r="B47" s="25">
        <v>42983</v>
      </c>
      <c r="C47" s="51">
        <v>10771</v>
      </c>
      <c r="D47" s="211">
        <v>5.75</v>
      </c>
      <c r="E47" s="51" t="s">
        <v>3</v>
      </c>
      <c r="F47" s="51" t="s">
        <v>393</v>
      </c>
      <c r="G47" s="27" t="s">
        <v>394</v>
      </c>
    </row>
    <row r="48" spans="2:7" s="1" customFormat="1" ht="16.5" customHeight="1">
      <c r="B48" s="25">
        <v>42983</v>
      </c>
      <c r="C48" s="51">
        <v>10771</v>
      </c>
      <c r="D48" s="211">
        <v>10</v>
      </c>
      <c r="E48" s="51" t="s">
        <v>2</v>
      </c>
      <c r="F48" s="51" t="s">
        <v>33</v>
      </c>
      <c r="G48" s="27"/>
    </row>
    <row r="49" spans="2:7" s="1" customFormat="1" ht="16.5" customHeight="1">
      <c r="B49" s="25">
        <v>43004</v>
      </c>
      <c r="C49" s="51">
        <v>10820</v>
      </c>
      <c r="D49" s="211">
        <v>7.83</v>
      </c>
      <c r="E49" s="51" t="s">
        <v>5</v>
      </c>
      <c r="F49" s="51" t="s">
        <v>395</v>
      </c>
      <c r="G49" s="27" t="s">
        <v>396</v>
      </c>
    </row>
    <row r="50" spans="2:7" s="1" customFormat="1" ht="16.5" customHeight="1">
      <c r="B50" s="25">
        <v>43004</v>
      </c>
      <c r="C50" s="51">
        <v>10820</v>
      </c>
      <c r="D50" s="211">
        <v>10</v>
      </c>
      <c r="E50" s="51" t="s">
        <v>2</v>
      </c>
      <c r="F50" s="51" t="s">
        <v>33</v>
      </c>
      <c r="G50" s="27"/>
    </row>
    <row r="51" spans="2:7" s="1" customFormat="1" ht="16.5" customHeight="1">
      <c r="B51" s="25"/>
      <c r="C51" s="51"/>
      <c r="D51" s="211"/>
      <c r="E51" s="51"/>
      <c r="F51" s="51"/>
      <c r="G51" s="27"/>
    </row>
    <row r="52" spans="2:7" s="1" customFormat="1" ht="16.5" customHeight="1">
      <c r="B52" s="25"/>
      <c r="C52" s="51"/>
      <c r="D52" s="211"/>
      <c r="E52" s="51"/>
      <c r="F52" s="51"/>
      <c r="G52" s="27"/>
    </row>
    <row r="53" spans="2:7" s="1" customFormat="1" ht="16.5" customHeight="1">
      <c r="B53" s="25"/>
      <c r="C53" s="51"/>
      <c r="D53" s="211"/>
      <c r="E53" s="51"/>
      <c r="F53" s="51"/>
      <c r="G53" s="27"/>
    </row>
    <row r="54" spans="2:7" s="1" customFormat="1" ht="16.5" customHeight="1">
      <c r="B54" s="212" t="s">
        <v>1</v>
      </c>
      <c r="C54" s="213"/>
      <c r="D54" s="214">
        <f>SUBTOTAL(109,ExpSep58[Amount])</f>
        <v>163.36000000000001</v>
      </c>
      <c r="E54" s="213"/>
      <c r="F54" s="213"/>
      <c r="G54" s="212"/>
    </row>
    <row r="56" spans="2:7" s="1" customFormat="1" ht="26.25" customHeight="1">
      <c r="B56" s="205" t="s">
        <v>70</v>
      </c>
      <c r="C56" s="117"/>
      <c r="D56" s="117"/>
      <c r="E56" s="117"/>
      <c r="F56" s="117"/>
      <c r="G56" s="117"/>
    </row>
    <row r="57" spans="2:7" s="1" customFormat="1" ht="16.5" customHeight="1">
      <c r="B57" s="117"/>
      <c r="C57" s="117"/>
      <c r="D57" s="117"/>
      <c r="E57" s="117"/>
      <c r="F57" s="117"/>
      <c r="G57" s="117"/>
    </row>
    <row r="58" spans="2:7" s="1" customFormat="1" ht="16.5" customHeight="1">
      <c r="B58" s="206" t="s">
        <v>50</v>
      </c>
      <c r="C58" s="207" t="s">
        <v>71</v>
      </c>
      <c r="D58" s="206" t="s">
        <v>48</v>
      </c>
      <c r="E58" s="207" t="s">
        <v>47</v>
      </c>
      <c r="F58" s="207" t="s">
        <v>388</v>
      </c>
      <c r="G58" s="206" t="s">
        <v>45</v>
      </c>
    </row>
    <row r="59" spans="2:7" s="1" customFormat="1" ht="16.5" customHeight="1">
      <c r="B59" s="208">
        <v>43012</v>
      </c>
      <c r="C59" s="209">
        <v>10847</v>
      </c>
      <c r="D59" s="210">
        <v>31.38</v>
      </c>
      <c r="E59" s="209" t="s">
        <v>17</v>
      </c>
      <c r="F59" s="209" t="s">
        <v>424</v>
      </c>
      <c r="G59" s="209" t="s">
        <v>425</v>
      </c>
    </row>
    <row r="60" spans="2:7" s="1" customFormat="1" ht="16.5" customHeight="1">
      <c r="B60" s="208">
        <v>43012</v>
      </c>
      <c r="C60" s="209">
        <v>10847</v>
      </c>
      <c r="D60" s="210">
        <v>21.15</v>
      </c>
      <c r="E60" s="209" t="s">
        <v>17</v>
      </c>
      <c r="F60" s="209" t="s">
        <v>426</v>
      </c>
      <c r="G60" s="209" t="s">
        <v>427</v>
      </c>
    </row>
    <row r="61" spans="2:7" s="1" customFormat="1" ht="16.5" customHeight="1">
      <c r="B61" s="208">
        <v>43012</v>
      </c>
      <c r="C61" s="209">
        <v>10847</v>
      </c>
      <c r="D61" s="210">
        <v>41.9</v>
      </c>
      <c r="E61" s="209" t="s">
        <v>17</v>
      </c>
      <c r="F61" s="209" t="s">
        <v>428</v>
      </c>
      <c r="G61" s="209" t="s">
        <v>429</v>
      </c>
    </row>
    <row r="62" spans="2:7" s="1" customFormat="1" ht="16.5" customHeight="1">
      <c r="B62" s="208">
        <v>43012</v>
      </c>
      <c r="C62" s="209">
        <v>10847</v>
      </c>
      <c r="D62" s="210">
        <v>13.37</v>
      </c>
      <c r="E62" s="209" t="s">
        <v>17</v>
      </c>
      <c r="F62" s="209" t="s">
        <v>426</v>
      </c>
      <c r="G62" s="209" t="s">
        <v>430</v>
      </c>
    </row>
    <row r="63" spans="2:7" s="1" customFormat="1" ht="16.5" customHeight="1">
      <c r="B63" s="208">
        <v>43012</v>
      </c>
      <c r="C63" s="209">
        <v>10847</v>
      </c>
      <c r="D63" s="210">
        <v>80.900000000000006</v>
      </c>
      <c r="E63" s="209" t="s">
        <v>17</v>
      </c>
      <c r="F63" s="209" t="s">
        <v>431</v>
      </c>
      <c r="G63" s="209" t="s">
        <v>432</v>
      </c>
    </row>
    <row r="64" spans="2:7" s="1" customFormat="1" ht="16.5" customHeight="1">
      <c r="B64" s="208">
        <v>43012</v>
      </c>
      <c r="C64" s="209">
        <v>10847</v>
      </c>
      <c r="D64" s="210">
        <v>145.47999999999999</v>
      </c>
      <c r="E64" s="209" t="s">
        <v>17</v>
      </c>
      <c r="F64" s="209" t="s">
        <v>433</v>
      </c>
      <c r="G64" s="209" t="s">
        <v>434</v>
      </c>
    </row>
    <row r="65" spans="2:7" s="1" customFormat="1" ht="16.5" customHeight="1">
      <c r="B65" s="208">
        <v>43012</v>
      </c>
      <c r="C65" s="209">
        <v>10847</v>
      </c>
      <c r="D65" s="210">
        <v>12.12</v>
      </c>
      <c r="E65" s="209" t="s">
        <v>17</v>
      </c>
      <c r="F65" s="209" t="s">
        <v>435</v>
      </c>
      <c r="G65" s="209" t="s">
        <v>436</v>
      </c>
    </row>
    <row r="66" spans="2:7" s="1" customFormat="1" ht="16.5" customHeight="1">
      <c r="B66" s="208">
        <v>43012</v>
      </c>
      <c r="C66" s="209">
        <v>10847</v>
      </c>
      <c r="D66" s="210">
        <v>2.87</v>
      </c>
      <c r="E66" s="209" t="s">
        <v>17</v>
      </c>
      <c r="F66" s="209" t="s">
        <v>437</v>
      </c>
      <c r="G66" s="209" t="s">
        <v>438</v>
      </c>
    </row>
    <row r="67" spans="2:7" s="1" customFormat="1" ht="16.5" customHeight="1">
      <c r="B67" s="208">
        <v>43012</v>
      </c>
      <c r="C67" s="209">
        <v>10847</v>
      </c>
      <c r="D67" s="210">
        <v>42.89</v>
      </c>
      <c r="E67" s="209" t="s">
        <v>17</v>
      </c>
      <c r="F67" s="209" t="s">
        <v>439</v>
      </c>
      <c r="G67" s="209" t="s">
        <v>440</v>
      </c>
    </row>
    <row r="68" spans="2:7" s="1" customFormat="1" ht="16.5" customHeight="1">
      <c r="B68" s="208">
        <v>43012</v>
      </c>
      <c r="C68" s="209">
        <v>10847</v>
      </c>
      <c r="D68" s="210">
        <v>418.88</v>
      </c>
      <c r="E68" s="209" t="s">
        <v>17</v>
      </c>
      <c r="F68" s="209" t="s">
        <v>441</v>
      </c>
      <c r="G68" s="209" t="s">
        <v>442</v>
      </c>
    </row>
    <row r="69" spans="2:7" s="1" customFormat="1" ht="16.5" customHeight="1">
      <c r="B69" s="208">
        <v>43012</v>
      </c>
      <c r="C69" s="209">
        <v>10847</v>
      </c>
      <c r="D69" s="210">
        <v>5.19</v>
      </c>
      <c r="E69" s="209" t="s">
        <v>17</v>
      </c>
      <c r="F69" s="209" t="s">
        <v>443</v>
      </c>
      <c r="G69" s="209" t="s">
        <v>444</v>
      </c>
    </row>
    <row r="70" spans="2:7" s="1" customFormat="1" ht="16.5" customHeight="1">
      <c r="B70" s="341">
        <v>43012</v>
      </c>
      <c r="C70" s="342">
        <v>10847</v>
      </c>
      <c r="D70" s="343">
        <v>8.3800000000000008</v>
      </c>
      <c r="E70" s="342" t="s">
        <v>17</v>
      </c>
      <c r="F70" s="342" t="s">
        <v>445</v>
      </c>
      <c r="G70" s="342" t="s">
        <v>446</v>
      </c>
    </row>
    <row r="71" spans="2:7" s="1" customFormat="1" ht="16.5" customHeight="1">
      <c r="B71" s="341">
        <v>43012</v>
      </c>
      <c r="C71" s="342">
        <v>10847</v>
      </c>
      <c r="D71" s="343">
        <v>0</v>
      </c>
      <c r="E71" s="342" t="s">
        <v>17</v>
      </c>
      <c r="F71" s="481" t="s">
        <v>447</v>
      </c>
      <c r="G71" s="481" t="s">
        <v>448</v>
      </c>
    </row>
    <row r="72" spans="2:7" s="1" customFormat="1" ht="16.5" customHeight="1">
      <c r="B72" s="341">
        <v>43012</v>
      </c>
      <c r="C72" s="342">
        <v>10847</v>
      </c>
      <c r="D72" s="343">
        <v>15.12</v>
      </c>
      <c r="E72" s="342" t="s">
        <v>17</v>
      </c>
      <c r="F72" s="342" t="s">
        <v>449</v>
      </c>
      <c r="G72" s="342" t="s">
        <v>450</v>
      </c>
    </row>
    <row r="73" spans="2:7" s="1" customFormat="1" ht="16.5" customHeight="1">
      <c r="B73" s="341">
        <v>43012</v>
      </c>
      <c r="C73" s="342">
        <v>10847</v>
      </c>
      <c r="D73" s="343">
        <v>12.16</v>
      </c>
      <c r="E73" s="342" t="s">
        <v>17</v>
      </c>
      <c r="F73" s="342" t="s">
        <v>451</v>
      </c>
      <c r="G73" s="342" t="s">
        <v>452</v>
      </c>
    </row>
    <row r="74" spans="2:7" s="1" customFormat="1" ht="16.5" customHeight="1">
      <c r="B74" s="341">
        <v>43012</v>
      </c>
      <c r="C74" s="342">
        <v>10847</v>
      </c>
      <c r="D74" s="343">
        <v>61.74</v>
      </c>
      <c r="E74" s="342" t="s">
        <v>17</v>
      </c>
      <c r="F74" s="342" t="s">
        <v>453</v>
      </c>
      <c r="G74" s="342" t="s">
        <v>454</v>
      </c>
    </row>
    <row r="75" spans="2:7" s="1" customFormat="1" ht="16.5" customHeight="1">
      <c r="B75" s="341">
        <v>43012</v>
      </c>
      <c r="C75" s="342">
        <v>10847</v>
      </c>
      <c r="D75" s="343">
        <v>14</v>
      </c>
      <c r="E75" s="342" t="s">
        <v>17</v>
      </c>
      <c r="F75" s="342" t="s">
        <v>455</v>
      </c>
      <c r="G75" s="342" t="s">
        <v>456</v>
      </c>
    </row>
    <row r="76" spans="2:7" s="1" customFormat="1" ht="16.5" customHeight="1">
      <c r="B76" s="341">
        <v>43012</v>
      </c>
      <c r="C76" s="342">
        <v>10847</v>
      </c>
      <c r="D76" s="343">
        <v>260</v>
      </c>
      <c r="E76" s="342" t="s">
        <v>17</v>
      </c>
      <c r="F76" s="342" t="s">
        <v>457</v>
      </c>
      <c r="G76" s="342"/>
    </row>
    <row r="77" spans="2:7" s="1" customFormat="1" ht="16.5" customHeight="1">
      <c r="B77" s="337"/>
      <c r="C77" s="338"/>
      <c r="D77" s="339"/>
      <c r="E77" s="338"/>
      <c r="F77" s="338"/>
      <c r="G77" s="340"/>
    </row>
    <row r="78" spans="2:7" s="1" customFormat="1" ht="16.5" customHeight="1">
      <c r="B78" s="212" t="s">
        <v>1</v>
      </c>
      <c r="C78" s="213"/>
      <c r="D78" s="214">
        <f>SUBTOTAL(109,ExpOct59[Amount])</f>
        <v>1187.5300000000002</v>
      </c>
      <c r="E78" s="213"/>
      <c r="F78" s="213"/>
      <c r="G78" s="212"/>
    </row>
    <row r="80" spans="2:7" s="1" customFormat="1" ht="26.25" customHeight="1">
      <c r="B80" s="205" t="s">
        <v>159</v>
      </c>
      <c r="C80" s="117"/>
      <c r="D80" s="117"/>
      <c r="E80" s="117"/>
      <c r="F80" s="117"/>
      <c r="G80" s="117"/>
    </row>
    <row r="81" spans="2:7" s="1" customFormat="1" ht="16.5" customHeight="1">
      <c r="B81" s="117"/>
      <c r="C81" s="117"/>
      <c r="D81" s="117"/>
      <c r="E81" s="117"/>
      <c r="F81" s="117"/>
      <c r="G81" s="117"/>
    </row>
    <row r="82" spans="2:7" s="1" customFormat="1" ht="16.5" customHeight="1">
      <c r="B82" s="206" t="s">
        <v>50</v>
      </c>
      <c r="C82" s="207" t="s">
        <v>71</v>
      </c>
      <c r="D82" s="206" t="s">
        <v>48</v>
      </c>
      <c r="E82" s="207" t="s">
        <v>47</v>
      </c>
      <c r="F82" s="207" t="s">
        <v>161</v>
      </c>
      <c r="G82" s="206" t="s">
        <v>160</v>
      </c>
    </row>
    <row r="83" spans="2:7" s="1" customFormat="1" ht="16.5" customHeight="1">
      <c r="B83" s="25"/>
      <c r="C83" s="51"/>
      <c r="D83" s="211"/>
      <c r="E83" s="51"/>
      <c r="F83" s="51"/>
      <c r="G83" s="27"/>
    </row>
    <row r="84" spans="2:7" s="1" customFormat="1" ht="16.5" customHeight="1">
      <c r="B84" s="25"/>
      <c r="C84" s="51"/>
      <c r="D84" s="211"/>
      <c r="E84" s="51"/>
      <c r="F84" s="51"/>
      <c r="G84" s="27"/>
    </row>
    <row r="85" spans="2:7" s="1" customFormat="1" ht="16.5" customHeight="1">
      <c r="B85" s="25"/>
      <c r="C85" s="51"/>
      <c r="D85" s="211"/>
      <c r="E85" s="51"/>
      <c r="F85" s="51"/>
      <c r="G85" s="27"/>
    </row>
    <row r="86" spans="2:7" s="1" customFormat="1" ht="16.5" customHeight="1">
      <c r="B86" s="25"/>
      <c r="C86" s="51"/>
      <c r="D86" s="211"/>
      <c r="E86" s="51"/>
      <c r="F86" s="51"/>
      <c r="G86" s="27"/>
    </row>
    <row r="87" spans="2:7" s="1" customFormat="1" ht="16.5" customHeight="1">
      <c r="B87" s="25"/>
      <c r="C87" s="51"/>
      <c r="D87" s="211"/>
      <c r="E87" s="51"/>
      <c r="F87" s="51"/>
      <c r="G87" s="27"/>
    </row>
    <row r="88" spans="2:7" s="1" customFormat="1" ht="16.5" customHeight="1">
      <c r="B88" s="25"/>
      <c r="C88" s="51"/>
      <c r="D88" s="211"/>
      <c r="E88" s="51"/>
      <c r="F88" s="51"/>
      <c r="G88" s="27"/>
    </row>
    <row r="89" spans="2:7" s="1" customFormat="1" ht="16.5" customHeight="1">
      <c r="B89" s="25"/>
      <c r="C89" s="51"/>
      <c r="D89" s="211"/>
      <c r="E89" s="51"/>
      <c r="F89" s="51"/>
      <c r="G89" s="27"/>
    </row>
    <row r="90" spans="2:7" s="1" customFormat="1" ht="16.5" customHeight="1">
      <c r="B90" s="25"/>
      <c r="C90" s="51"/>
      <c r="D90" s="211"/>
      <c r="E90" s="51"/>
      <c r="F90" s="51"/>
      <c r="G90" s="27"/>
    </row>
    <row r="91" spans="2:7" s="1" customFormat="1" ht="16.5" customHeight="1">
      <c r="B91" s="25"/>
      <c r="C91" s="51"/>
      <c r="D91" s="211"/>
      <c r="E91" s="51"/>
      <c r="F91" s="51"/>
      <c r="G91" s="27"/>
    </row>
    <row r="92" spans="2:7" s="1" customFormat="1" ht="16.5" customHeight="1">
      <c r="B92" s="25"/>
      <c r="C92" s="51"/>
      <c r="D92" s="211"/>
      <c r="E92" s="51"/>
      <c r="F92" s="51"/>
      <c r="G92" s="27"/>
    </row>
    <row r="93" spans="2:7" s="1" customFormat="1" ht="16.5" customHeight="1">
      <c r="B93" s="212" t="s">
        <v>1</v>
      </c>
      <c r="C93" s="213"/>
      <c r="D93" s="214">
        <f>SUBTOTAL(109,ExpNov60[Amount])</f>
        <v>0</v>
      </c>
      <c r="E93" s="213"/>
      <c r="F93" s="213"/>
      <c r="G93" s="212"/>
    </row>
    <row r="95" spans="2:7" s="1" customFormat="1" ht="25.5" customHeight="1">
      <c r="B95" s="205" t="s">
        <v>162</v>
      </c>
      <c r="C95" s="117"/>
      <c r="D95" s="117"/>
      <c r="E95" s="117"/>
      <c r="F95" s="117"/>
      <c r="G95" s="117"/>
    </row>
    <row r="96" spans="2:7" s="1" customFormat="1" ht="16.5" customHeight="1">
      <c r="B96" s="117"/>
      <c r="C96" s="117"/>
      <c r="D96" s="117"/>
      <c r="E96" s="117"/>
      <c r="F96" s="117"/>
      <c r="G96" s="117"/>
    </row>
    <row r="97" spans="2:7" s="1" customFormat="1" ht="16.5" customHeight="1">
      <c r="B97" s="206" t="s">
        <v>50</v>
      </c>
      <c r="C97" s="207" t="s">
        <v>71</v>
      </c>
      <c r="D97" s="206" t="s">
        <v>48</v>
      </c>
      <c r="E97" s="207" t="s">
        <v>47</v>
      </c>
      <c r="F97" s="207" t="s">
        <v>161</v>
      </c>
      <c r="G97" s="206" t="s">
        <v>160</v>
      </c>
    </row>
    <row r="98" spans="2:7" s="1" customFormat="1" ht="16.5" customHeight="1">
      <c r="B98" s="25"/>
      <c r="C98" s="51"/>
      <c r="D98" s="211"/>
      <c r="E98" s="51"/>
      <c r="F98" s="51"/>
      <c r="G98" s="27"/>
    </row>
    <row r="99" spans="2:7" s="1" customFormat="1" ht="16.5" customHeight="1">
      <c r="B99" s="25"/>
      <c r="C99" s="51"/>
      <c r="D99" s="211"/>
      <c r="E99" s="51"/>
      <c r="F99" s="51"/>
      <c r="G99" s="27"/>
    </row>
    <row r="100" spans="2:7" s="1" customFormat="1" ht="16.5" customHeight="1">
      <c r="B100" s="25"/>
      <c r="C100" s="51"/>
      <c r="D100" s="211"/>
      <c r="E100" s="51"/>
      <c r="F100" s="51"/>
      <c r="G100" s="27"/>
    </row>
    <row r="101" spans="2:7" s="1" customFormat="1" ht="16.5" customHeight="1">
      <c r="B101" s="25"/>
      <c r="C101" s="51"/>
      <c r="D101" s="211"/>
      <c r="E101" s="51"/>
      <c r="F101" s="51"/>
      <c r="G101" s="27"/>
    </row>
    <row r="102" spans="2:7" s="1" customFormat="1" ht="16.5" customHeight="1">
      <c r="B102" s="25"/>
      <c r="C102" s="51"/>
      <c r="D102" s="211"/>
      <c r="E102" s="51"/>
      <c r="F102" s="51"/>
      <c r="G102" s="27"/>
    </row>
    <row r="103" spans="2:7" s="1" customFormat="1" ht="16.5" customHeight="1">
      <c r="B103" s="25"/>
      <c r="C103" s="51"/>
      <c r="D103" s="211"/>
      <c r="E103" s="51"/>
      <c r="F103" s="51"/>
      <c r="G103" s="27"/>
    </row>
    <row r="104" spans="2:7" s="1" customFormat="1" ht="16.5" customHeight="1">
      <c r="B104" s="212" t="s">
        <v>1</v>
      </c>
      <c r="C104" s="213"/>
      <c r="D104" s="214">
        <f>SUBTOTAL(109,ExpDec61[Amount])</f>
        <v>0</v>
      </c>
      <c r="E104" s="213"/>
      <c r="F104" s="213"/>
      <c r="G104" s="212"/>
    </row>
    <row r="106" spans="2:7" s="1" customFormat="1" ht="27.75" customHeight="1">
      <c r="B106" s="205" t="s">
        <v>163</v>
      </c>
      <c r="C106" s="117"/>
      <c r="D106" s="117"/>
      <c r="E106" s="117"/>
      <c r="F106" s="117"/>
      <c r="G106" s="117"/>
    </row>
    <row r="107" spans="2:7" s="1" customFormat="1" ht="16.5" customHeight="1">
      <c r="B107" s="117"/>
      <c r="C107" s="117"/>
      <c r="D107" s="117"/>
      <c r="E107" s="117"/>
      <c r="F107" s="117"/>
      <c r="G107" s="117"/>
    </row>
    <row r="108" spans="2:7" s="1" customFormat="1" ht="16.5" customHeight="1">
      <c r="B108" s="206" t="s">
        <v>50</v>
      </c>
      <c r="C108" s="207" t="s">
        <v>164</v>
      </c>
      <c r="D108" s="206" t="s">
        <v>48</v>
      </c>
      <c r="E108" s="207" t="s">
        <v>47</v>
      </c>
      <c r="F108" s="207" t="s">
        <v>161</v>
      </c>
      <c r="G108" s="206" t="s">
        <v>160</v>
      </c>
    </row>
    <row r="109" spans="2:7" s="1" customFormat="1" ht="16.5" customHeight="1">
      <c r="B109" s="25"/>
      <c r="C109" s="51"/>
      <c r="D109" s="211"/>
      <c r="E109" s="51"/>
      <c r="F109" s="51"/>
      <c r="G109" s="27"/>
    </row>
    <row r="110" spans="2:7" s="1" customFormat="1" ht="16.5" customHeight="1">
      <c r="B110" s="25"/>
      <c r="C110" s="51"/>
      <c r="D110" s="211"/>
      <c r="E110" s="51"/>
      <c r="F110" s="51"/>
      <c r="G110" s="27"/>
    </row>
    <row r="111" spans="2:7" s="1" customFormat="1" ht="16.5" customHeight="1">
      <c r="B111" s="25"/>
      <c r="C111" s="51"/>
      <c r="D111" s="211"/>
      <c r="E111" s="51"/>
      <c r="F111" s="51"/>
      <c r="G111" s="27"/>
    </row>
    <row r="112" spans="2:7" s="1" customFormat="1" ht="16.5" customHeight="1">
      <c r="B112" s="25"/>
      <c r="C112" s="51"/>
      <c r="D112" s="211"/>
      <c r="E112" s="51"/>
      <c r="F112" s="51"/>
      <c r="G112" s="27"/>
    </row>
    <row r="113" spans="2:7" s="1" customFormat="1" ht="16.5" customHeight="1">
      <c r="B113" s="25"/>
      <c r="C113" s="51"/>
      <c r="D113" s="211"/>
      <c r="E113" s="51"/>
      <c r="F113" s="51"/>
      <c r="G113" s="27"/>
    </row>
    <row r="114" spans="2:7" s="1" customFormat="1" ht="16.5" customHeight="1">
      <c r="B114" s="25"/>
      <c r="C114" s="51"/>
      <c r="D114" s="211"/>
      <c r="E114" s="51"/>
      <c r="F114" s="51"/>
      <c r="G114" s="27"/>
    </row>
    <row r="115" spans="2:7" s="1" customFormat="1" ht="16.5" customHeight="1">
      <c r="B115" s="25"/>
      <c r="C115" s="26"/>
      <c r="D115" s="211"/>
      <c r="E115" s="26"/>
      <c r="F115" s="26"/>
      <c r="G115" s="27"/>
    </row>
    <row r="116" spans="2:7" s="1" customFormat="1" ht="16.5" customHeight="1">
      <c r="B116" s="25"/>
      <c r="C116" s="26"/>
      <c r="D116" s="211"/>
      <c r="E116" s="26"/>
      <c r="F116" s="26"/>
      <c r="G116" s="27"/>
    </row>
    <row r="117" spans="2:7" s="1" customFormat="1" ht="16.5" customHeight="1">
      <c r="B117" s="25"/>
      <c r="C117" s="26"/>
      <c r="D117" s="211"/>
      <c r="E117" s="26"/>
      <c r="F117" s="26"/>
      <c r="G117" s="27"/>
    </row>
    <row r="118" spans="2:7" s="1" customFormat="1" ht="16.5" customHeight="1">
      <c r="B118" s="212" t="s">
        <v>1</v>
      </c>
      <c r="C118" s="213"/>
      <c r="D118" s="214">
        <f>SUBTOTAL(109,ExpJan62[Amount])</f>
        <v>0</v>
      </c>
      <c r="E118" s="213"/>
      <c r="F118" s="213"/>
      <c r="G118" s="212"/>
    </row>
    <row r="120" spans="2:7" s="1" customFormat="1" ht="29.25" customHeight="1">
      <c r="B120" s="205" t="s">
        <v>165</v>
      </c>
      <c r="C120" s="117"/>
      <c r="D120" s="117"/>
      <c r="E120" s="117"/>
      <c r="F120" s="117"/>
      <c r="G120" s="117"/>
    </row>
    <row r="121" spans="2:7" s="1" customFormat="1" ht="16.5" customHeight="1">
      <c r="B121" s="117"/>
      <c r="C121" s="117"/>
      <c r="D121" s="117"/>
      <c r="E121" s="117"/>
      <c r="F121" s="117"/>
      <c r="G121" s="117"/>
    </row>
    <row r="122" spans="2:7" s="1" customFormat="1" ht="16.5" customHeight="1">
      <c r="B122" s="206" t="s">
        <v>50</v>
      </c>
      <c r="C122" s="207" t="s">
        <v>71</v>
      </c>
      <c r="D122" s="206" t="s">
        <v>48</v>
      </c>
      <c r="E122" s="207" t="s">
        <v>47</v>
      </c>
      <c r="F122" s="206" t="s">
        <v>388</v>
      </c>
      <c r="G122" s="430" t="s">
        <v>45</v>
      </c>
    </row>
    <row r="123" spans="2:7" s="1" customFormat="1" ht="16.5" customHeight="1">
      <c r="B123" s="215"/>
      <c r="C123" s="51"/>
      <c r="D123" s="216"/>
      <c r="E123" s="51"/>
      <c r="F123" s="51"/>
      <c r="G123" s="51"/>
    </row>
    <row r="124" spans="2:7" s="1" customFormat="1" ht="16.5" customHeight="1">
      <c r="B124" s="215"/>
      <c r="C124" s="51"/>
      <c r="D124" s="216"/>
      <c r="E124" s="51"/>
      <c r="F124" s="51"/>
      <c r="G124" s="51"/>
    </row>
    <row r="125" spans="2:7" s="1" customFormat="1" ht="16.5" customHeight="1">
      <c r="B125" s="215"/>
      <c r="C125" s="51"/>
      <c r="D125" s="216"/>
      <c r="E125" s="51"/>
      <c r="F125" s="51"/>
      <c r="G125" s="51"/>
    </row>
    <row r="126" spans="2:7" s="1" customFormat="1" ht="16.5" customHeight="1">
      <c r="B126" s="215"/>
      <c r="C126" s="51"/>
      <c r="D126" s="216"/>
      <c r="E126" s="51"/>
      <c r="F126" s="51"/>
      <c r="G126" s="51"/>
    </row>
    <row r="127" spans="2:7" s="1" customFormat="1" ht="16.5" customHeight="1">
      <c r="B127" s="215"/>
      <c r="C127" s="51"/>
      <c r="D127" s="216"/>
      <c r="E127" s="51"/>
      <c r="F127" s="51"/>
      <c r="G127" s="51"/>
    </row>
    <row r="128" spans="2:7" s="1" customFormat="1" ht="16.5" customHeight="1">
      <c r="B128" s="215"/>
      <c r="C128" s="51"/>
      <c r="D128" s="216"/>
      <c r="E128" s="51"/>
      <c r="F128" s="51"/>
      <c r="G128" s="51"/>
    </row>
    <row r="129" spans="2:7" s="1" customFormat="1" ht="16.5" customHeight="1">
      <c r="B129" s="215"/>
      <c r="C129" s="51"/>
      <c r="D129" s="216"/>
      <c r="E129" s="51"/>
      <c r="F129" s="51"/>
      <c r="G129" s="51"/>
    </row>
    <row r="130" spans="2:7" s="1" customFormat="1" ht="16.5" customHeight="1">
      <c r="B130" s="215"/>
      <c r="C130" s="51"/>
      <c r="D130" s="216"/>
      <c r="E130" s="51"/>
      <c r="F130" s="51"/>
      <c r="G130" s="51"/>
    </row>
    <row r="131" spans="2:7" s="1" customFormat="1" ht="16.5" customHeight="1">
      <c r="B131" s="215"/>
      <c r="C131" s="51"/>
      <c r="D131" s="216"/>
      <c r="E131" s="51"/>
      <c r="F131" s="51"/>
      <c r="G131" s="51"/>
    </row>
    <row r="132" spans="2:7" s="1" customFormat="1" ht="16.5" customHeight="1">
      <c r="B132" s="215"/>
      <c r="C132" s="51"/>
      <c r="D132" s="216"/>
      <c r="E132" s="51"/>
      <c r="F132" s="51"/>
      <c r="G132" s="51"/>
    </row>
    <row r="133" spans="2:7" s="1" customFormat="1" ht="16.5" customHeight="1">
      <c r="B133" s="215"/>
      <c r="C133" s="51"/>
      <c r="D133" s="216"/>
      <c r="E133" s="51"/>
      <c r="F133" s="51"/>
      <c r="G133" s="51"/>
    </row>
    <row r="134" spans="2:7" s="1" customFormat="1" ht="16.5" customHeight="1">
      <c r="B134" s="215"/>
      <c r="C134" s="51"/>
      <c r="D134" s="216"/>
      <c r="E134" s="51"/>
      <c r="F134" s="51"/>
      <c r="G134" s="51"/>
    </row>
    <row r="135" spans="2:7" s="1" customFormat="1" ht="16.5" customHeight="1">
      <c r="B135" s="25"/>
      <c r="C135" s="51"/>
      <c r="D135" s="211"/>
      <c r="E135" s="51"/>
      <c r="F135" s="27"/>
      <c r="G135" s="27"/>
    </row>
    <row r="136" spans="2:7" s="1" customFormat="1" ht="16.5" customHeight="1">
      <c r="B136" s="25"/>
      <c r="C136" s="51"/>
      <c r="D136" s="211"/>
      <c r="E136" s="51"/>
      <c r="F136" s="27"/>
      <c r="G136" s="27"/>
    </row>
    <row r="137" spans="2:7" s="1" customFormat="1" ht="16.5" customHeight="1">
      <c r="B137" s="337"/>
      <c r="C137" s="338"/>
      <c r="D137" s="339"/>
      <c r="E137" s="338"/>
      <c r="F137" s="340"/>
      <c r="G137" s="340"/>
    </row>
    <row r="138" spans="2:7" s="1" customFormat="1" ht="16.5" customHeight="1">
      <c r="B138" s="212" t="s">
        <v>1</v>
      </c>
      <c r="C138" s="213"/>
      <c r="D138" s="214">
        <f>SUBTOTAL(109,ExpFeb63[Amount])</f>
        <v>0</v>
      </c>
      <c r="E138" s="213"/>
      <c r="F138" s="212"/>
      <c r="G138" s="117"/>
    </row>
    <row r="140" spans="2:7" s="1" customFormat="1" ht="27.75" customHeight="1">
      <c r="B140" s="205" t="s">
        <v>166</v>
      </c>
      <c r="C140" s="117"/>
      <c r="D140" s="117"/>
      <c r="E140" s="117"/>
      <c r="F140" s="117"/>
      <c r="G140" s="117"/>
    </row>
    <row r="141" spans="2:7" s="1" customFormat="1" ht="16.5" customHeight="1">
      <c r="B141" s="117"/>
      <c r="C141" s="117"/>
      <c r="D141" s="117"/>
      <c r="E141" s="117"/>
      <c r="F141" s="117"/>
      <c r="G141" s="117"/>
    </row>
    <row r="142" spans="2:7" s="1" customFormat="1" ht="16.5" customHeight="1">
      <c r="B142" s="206" t="s">
        <v>50</v>
      </c>
      <c r="C142" s="207" t="s">
        <v>71</v>
      </c>
      <c r="D142" s="206" t="s">
        <v>48</v>
      </c>
      <c r="E142" s="207" t="s">
        <v>47</v>
      </c>
      <c r="F142" s="207" t="s">
        <v>161</v>
      </c>
      <c r="G142" s="206" t="s">
        <v>160</v>
      </c>
    </row>
    <row r="143" spans="2:7" s="1" customFormat="1" ht="16.5" customHeight="1">
      <c r="B143" s="25"/>
      <c r="C143" s="51"/>
      <c r="D143" s="211"/>
      <c r="E143" s="51"/>
      <c r="F143" s="51"/>
      <c r="G143" s="27"/>
    </row>
    <row r="144" spans="2:7" s="1" customFormat="1" ht="16.5" customHeight="1">
      <c r="B144" s="25"/>
      <c r="C144" s="51"/>
      <c r="D144" s="211"/>
      <c r="E144" s="51"/>
      <c r="F144" s="51"/>
      <c r="G144" s="27"/>
    </row>
    <row r="145" spans="2:7" s="1" customFormat="1" ht="16.5" customHeight="1">
      <c r="B145" s="25"/>
      <c r="C145" s="51"/>
      <c r="D145" s="211"/>
      <c r="E145" s="51"/>
      <c r="F145" s="51"/>
      <c r="G145" s="27"/>
    </row>
    <row r="146" spans="2:7" s="1" customFormat="1" ht="16.5" customHeight="1">
      <c r="B146" s="25"/>
      <c r="C146" s="51"/>
      <c r="D146" s="211"/>
      <c r="E146" s="51"/>
      <c r="F146" s="51"/>
      <c r="G146" s="27"/>
    </row>
    <row r="147" spans="2:7" s="1" customFormat="1" ht="16.5" customHeight="1">
      <c r="B147" s="25"/>
      <c r="C147" s="51"/>
      <c r="D147" s="211"/>
      <c r="E147" s="51"/>
      <c r="F147" s="51"/>
      <c r="G147" s="27"/>
    </row>
    <row r="148" spans="2:7" s="1" customFormat="1" ht="16.5" customHeight="1">
      <c r="B148" s="25"/>
      <c r="C148" s="51"/>
      <c r="D148" s="211"/>
      <c r="E148" s="51"/>
      <c r="F148" s="51"/>
      <c r="G148" s="27"/>
    </row>
    <row r="149" spans="2:7" s="1" customFormat="1" ht="16.5" customHeight="1">
      <c r="B149" s="25"/>
      <c r="C149" s="51"/>
      <c r="D149" s="211"/>
      <c r="E149" s="51"/>
      <c r="F149" s="51"/>
      <c r="G149" s="27"/>
    </row>
    <row r="150" spans="2:7" s="1" customFormat="1" ht="16.5" customHeight="1">
      <c r="B150" s="212" t="s">
        <v>1</v>
      </c>
      <c r="C150" s="213"/>
      <c r="D150" s="214">
        <f>SUBTOTAL(109,ExpMar64[Amount])</f>
        <v>0</v>
      </c>
      <c r="E150" s="213"/>
      <c r="F150" s="213"/>
      <c r="G150" s="212"/>
    </row>
    <row r="152" spans="2:7" s="1" customFormat="1" ht="25.5" customHeight="1">
      <c r="B152" s="205" t="s">
        <v>167</v>
      </c>
      <c r="C152" s="117"/>
      <c r="D152" s="117"/>
      <c r="E152" s="117"/>
      <c r="F152" s="117"/>
      <c r="G152" s="117"/>
    </row>
    <row r="153" spans="2:7" s="1" customFormat="1" ht="16.5" customHeight="1">
      <c r="B153" s="117"/>
      <c r="C153" s="117"/>
      <c r="D153" s="117"/>
      <c r="E153" s="117"/>
      <c r="F153" s="117"/>
      <c r="G153" s="117"/>
    </row>
    <row r="154" spans="2:7" s="1" customFormat="1" ht="16.5" customHeight="1">
      <c r="B154" s="206" t="s">
        <v>50</v>
      </c>
      <c r="C154" s="207" t="s">
        <v>168</v>
      </c>
      <c r="D154" s="206" t="s">
        <v>48</v>
      </c>
      <c r="E154" s="207" t="s">
        <v>47</v>
      </c>
      <c r="F154" s="207" t="s">
        <v>388</v>
      </c>
      <c r="G154" s="206" t="s">
        <v>45</v>
      </c>
    </row>
    <row r="155" spans="2:7" s="1" customFormat="1" ht="16.5" customHeight="1">
      <c r="B155" s="215"/>
      <c r="C155" s="51"/>
      <c r="D155" s="216"/>
      <c r="E155" s="51"/>
      <c r="F155" s="51"/>
      <c r="G155" s="51"/>
    </row>
    <row r="156" spans="2:7" s="1" customFormat="1" ht="16.5" customHeight="1">
      <c r="B156" s="215"/>
      <c r="C156" s="51"/>
      <c r="D156" s="216"/>
      <c r="E156" s="51"/>
      <c r="F156" s="51"/>
      <c r="G156" s="51"/>
    </row>
    <row r="157" spans="2:7" s="1" customFormat="1" ht="16.5" customHeight="1">
      <c r="B157" s="215"/>
      <c r="C157" s="51"/>
      <c r="D157" s="216"/>
      <c r="E157" s="51"/>
      <c r="F157" s="51"/>
      <c r="G157" s="51"/>
    </row>
    <row r="158" spans="2:7" s="1" customFormat="1" ht="16.5" customHeight="1">
      <c r="B158" s="215"/>
      <c r="C158" s="51"/>
      <c r="D158" s="216"/>
      <c r="E158" s="51"/>
      <c r="F158" s="51"/>
      <c r="G158" s="51"/>
    </row>
    <row r="159" spans="2:7" s="1" customFormat="1" ht="16.5" customHeight="1">
      <c r="B159" s="215"/>
      <c r="C159" s="51"/>
      <c r="D159" s="216"/>
      <c r="E159" s="51"/>
      <c r="F159" s="51"/>
      <c r="G159" s="51"/>
    </row>
    <row r="160" spans="2:7" s="1" customFormat="1" ht="16.5" customHeight="1">
      <c r="B160" s="215"/>
      <c r="C160" s="51"/>
      <c r="D160" s="216"/>
      <c r="E160" s="51"/>
      <c r="F160" s="51"/>
      <c r="G160" s="51"/>
    </row>
    <row r="161" spans="2:7" s="1" customFormat="1" ht="16.5" customHeight="1">
      <c r="B161" s="431"/>
      <c r="C161" s="338"/>
      <c r="D161" s="432"/>
      <c r="E161" s="338"/>
      <c r="F161" s="338"/>
      <c r="G161" s="338"/>
    </row>
    <row r="162" spans="2:7" s="1" customFormat="1" ht="16.5" customHeight="1">
      <c r="B162" s="431"/>
      <c r="C162" s="338"/>
      <c r="D162" s="432"/>
      <c r="E162" s="338"/>
      <c r="F162" s="338"/>
      <c r="G162" s="338"/>
    </row>
    <row r="163" spans="2:7" s="1" customFormat="1" ht="16.5" customHeight="1">
      <c r="B163" s="431"/>
      <c r="C163" s="338"/>
      <c r="D163" s="432"/>
      <c r="E163" s="338"/>
      <c r="F163" s="338"/>
      <c r="G163" s="338"/>
    </row>
    <row r="164" spans="2:7" s="1" customFormat="1" ht="16.5" customHeight="1">
      <c r="B164" s="431"/>
      <c r="C164" s="338"/>
      <c r="D164" s="432"/>
      <c r="E164" s="338"/>
      <c r="F164" s="338"/>
      <c r="G164" s="338"/>
    </row>
    <row r="165" spans="2:7" s="1" customFormat="1" ht="16.5" customHeight="1">
      <c r="B165" s="431"/>
      <c r="C165" s="338"/>
      <c r="D165" s="432"/>
      <c r="E165" s="338"/>
      <c r="F165" s="338"/>
      <c r="G165" s="338"/>
    </row>
    <row r="166" spans="2:7" s="1" customFormat="1" ht="16.5" customHeight="1">
      <c r="B166" s="431"/>
      <c r="C166" s="338"/>
      <c r="D166" s="432"/>
      <c r="E166" s="338"/>
      <c r="F166" s="338"/>
      <c r="G166" s="338"/>
    </row>
    <row r="167" spans="2:7" s="1" customFormat="1" ht="16.5" customHeight="1">
      <c r="B167" s="431"/>
      <c r="C167" s="338"/>
      <c r="D167" s="432"/>
      <c r="E167" s="338"/>
      <c r="F167" s="338"/>
      <c r="G167" s="338"/>
    </row>
    <row r="168" spans="2:7" s="1" customFormat="1" ht="16.5" customHeight="1">
      <c r="B168" s="431"/>
      <c r="C168" s="338"/>
      <c r="D168" s="432"/>
      <c r="E168" s="338"/>
      <c r="F168" s="338"/>
      <c r="G168" s="338"/>
    </row>
    <row r="169" spans="2:7" s="1" customFormat="1" ht="16.5" customHeight="1">
      <c r="B169" s="337"/>
      <c r="C169" s="338"/>
      <c r="D169" s="339"/>
      <c r="E169" s="338"/>
      <c r="F169" s="338"/>
      <c r="G169" s="340"/>
    </row>
    <row r="170" spans="2:7" s="1" customFormat="1" ht="16.5" customHeight="1">
      <c r="B170" s="212" t="s">
        <v>1</v>
      </c>
      <c r="C170" s="213"/>
      <c r="D170" s="214">
        <f>SUBTOTAL(109,ExpApr65[Amount])</f>
        <v>0</v>
      </c>
      <c r="E170" s="213"/>
      <c r="F170" s="213"/>
      <c r="G170" s="212"/>
    </row>
    <row r="172" spans="2:7" s="1" customFormat="1" ht="27" customHeight="1">
      <c r="B172" s="205" t="s">
        <v>169</v>
      </c>
      <c r="C172" s="117"/>
      <c r="D172" s="117"/>
      <c r="E172" s="117"/>
      <c r="F172" s="117"/>
      <c r="G172" s="117"/>
    </row>
    <row r="173" spans="2:7" s="1" customFormat="1" ht="16.5" customHeight="1">
      <c r="B173" s="117"/>
      <c r="C173" s="117"/>
      <c r="D173" s="117"/>
      <c r="E173" s="117"/>
      <c r="F173" s="117"/>
      <c r="G173" s="117"/>
    </row>
    <row r="174" spans="2:7" s="1" customFormat="1" ht="16.5" customHeight="1">
      <c r="B174" s="206" t="s">
        <v>50</v>
      </c>
      <c r="C174" s="207" t="s">
        <v>71</v>
      </c>
      <c r="D174" s="206" t="s">
        <v>48</v>
      </c>
      <c r="E174" s="207" t="s">
        <v>47</v>
      </c>
      <c r="F174" s="207" t="s">
        <v>388</v>
      </c>
      <c r="G174" s="206" t="s">
        <v>45</v>
      </c>
    </row>
    <row r="175" spans="2:7" s="1" customFormat="1" ht="16.5" customHeight="1">
      <c r="B175" s="215"/>
      <c r="C175" s="51"/>
      <c r="D175" s="216"/>
      <c r="E175" s="51"/>
      <c r="F175" s="51"/>
      <c r="G175" s="51"/>
    </row>
    <row r="176" spans="2:7" s="1" customFormat="1" ht="16.5" customHeight="1">
      <c r="B176" s="215"/>
      <c r="C176" s="51"/>
      <c r="D176" s="216"/>
      <c r="E176" s="51"/>
      <c r="F176" s="51"/>
      <c r="G176" s="51"/>
    </row>
    <row r="177" spans="2:7" s="1" customFormat="1" ht="16.5" customHeight="1">
      <c r="B177" s="215"/>
      <c r="C177" s="51"/>
      <c r="D177" s="216"/>
      <c r="E177" s="51"/>
      <c r="F177" s="51"/>
      <c r="G177" s="51"/>
    </row>
    <row r="178" spans="2:7" s="1" customFormat="1" ht="16.5" customHeight="1">
      <c r="B178" s="215"/>
      <c r="C178" s="51"/>
      <c r="D178" s="216"/>
      <c r="E178" s="51"/>
      <c r="F178" s="51"/>
      <c r="G178" s="51"/>
    </row>
    <row r="179" spans="2:7" s="1" customFormat="1" ht="16.5" customHeight="1">
      <c r="B179" s="215"/>
      <c r="C179" s="51"/>
      <c r="D179" s="216"/>
      <c r="E179" s="51"/>
      <c r="F179" s="51"/>
      <c r="G179" s="51"/>
    </row>
    <row r="180" spans="2:7" s="1" customFormat="1" ht="16.5" customHeight="1">
      <c r="B180" s="215"/>
      <c r="C180" s="51"/>
      <c r="D180" s="216"/>
      <c r="E180" s="51"/>
      <c r="F180" s="51"/>
      <c r="G180" s="51"/>
    </row>
    <row r="181" spans="2:7" s="1" customFormat="1" ht="16.5" customHeight="1">
      <c r="B181" s="215"/>
      <c r="C181" s="51"/>
      <c r="D181" s="216"/>
      <c r="E181" s="51"/>
      <c r="F181" s="51"/>
      <c r="G181" s="51"/>
    </row>
    <row r="182" spans="2:7" s="1" customFormat="1" ht="16.5" customHeight="1">
      <c r="B182" s="431"/>
      <c r="C182" s="338"/>
      <c r="D182" s="432"/>
      <c r="E182" s="338"/>
      <c r="F182" s="338"/>
      <c r="G182" s="338"/>
    </row>
    <row r="183" spans="2:7" s="1" customFormat="1" ht="16.5" customHeight="1">
      <c r="B183" s="431"/>
      <c r="C183" s="338"/>
      <c r="D183" s="432"/>
      <c r="E183" s="338"/>
      <c r="F183" s="338"/>
      <c r="G183" s="338"/>
    </row>
    <row r="184" spans="2:7" s="1" customFormat="1" ht="16.5" customHeight="1">
      <c r="B184" s="431"/>
      <c r="C184" s="338"/>
      <c r="D184" s="432"/>
      <c r="E184" s="338"/>
      <c r="F184" s="338"/>
      <c r="G184" s="338"/>
    </row>
    <row r="185" spans="2:7" s="1" customFormat="1" ht="16.5" customHeight="1">
      <c r="B185" s="224" t="s">
        <v>1</v>
      </c>
      <c r="C185" s="225"/>
      <c r="D185" s="226">
        <f>SUBTOTAL(109,ExpMay66[Amount])</f>
        <v>0</v>
      </c>
      <c r="E185" s="225"/>
      <c r="F185" s="225"/>
      <c r="G185" s="224"/>
    </row>
    <row r="187" spans="2:7" s="1" customFormat="1" ht="27" customHeight="1">
      <c r="B187" s="205" t="s">
        <v>170</v>
      </c>
      <c r="C187" s="117"/>
      <c r="D187" s="117"/>
      <c r="E187" s="117"/>
      <c r="F187" s="117"/>
      <c r="G187" s="117"/>
    </row>
    <row r="188" spans="2:7" s="1" customFormat="1" ht="16.5" customHeight="1">
      <c r="B188" s="117"/>
      <c r="C188" s="117"/>
      <c r="D188" s="117"/>
      <c r="E188" s="117"/>
      <c r="F188" s="117"/>
      <c r="G188" s="117"/>
    </row>
    <row r="189" spans="2:7" s="1" customFormat="1" ht="16.5" customHeight="1">
      <c r="B189" s="206" t="s">
        <v>50</v>
      </c>
      <c r="C189" s="207" t="s">
        <v>155</v>
      </c>
      <c r="D189" s="206" t="s">
        <v>48</v>
      </c>
      <c r="E189" s="207" t="s">
        <v>47</v>
      </c>
      <c r="F189" s="207" t="s">
        <v>388</v>
      </c>
      <c r="G189" s="206" t="s">
        <v>45</v>
      </c>
    </row>
    <row r="190" spans="2:7" s="1" customFormat="1" ht="16.5" customHeight="1">
      <c r="B190" s="215"/>
      <c r="C190" s="51"/>
      <c r="D190" s="216"/>
      <c r="E190" s="51"/>
      <c r="F190" s="51"/>
      <c r="G190" s="51"/>
    </row>
    <row r="191" spans="2:7" s="1" customFormat="1" ht="16.5" customHeight="1">
      <c r="B191" s="215"/>
      <c r="C191" s="51"/>
      <c r="D191" s="216"/>
      <c r="E191" s="51"/>
      <c r="F191" s="51"/>
      <c r="G191" s="51"/>
    </row>
    <row r="192" spans="2:7" s="1" customFormat="1" ht="16.5" customHeight="1">
      <c r="B192" s="215"/>
      <c r="C192" s="51"/>
      <c r="D192" s="216"/>
      <c r="E192" s="51"/>
      <c r="F192" s="51"/>
      <c r="G192" s="51"/>
    </row>
    <row r="193" spans="2:7" s="1" customFormat="1" ht="16.5" customHeight="1">
      <c r="B193" s="215"/>
      <c r="C193" s="51"/>
      <c r="D193" s="216"/>
      <c r="E193" s="51"/>
      <c r="F193" s="51"/>
      <c r="G193" s="51"/>
    </row>
    <row r="194" spans="2:7" s="1" customFormat="1" ht="16.5" customHeight="1">
      <c r="B194" s="215"/>
      <c r="C194" s="51"/>
      <c r="D194" s="216"/>
      <c r="E194" s="51"/>
      <c r="F194" s="51"/>
      <c r="G194" s="51"/>
    </row>
    <row r="195" spans="2:7" s="1" customFormat="1" ht="16.5" customHeight="1">
      <c r="B195" s="215"/>
      <c r="C195" s="51"/>
      <c r="D195" s="216"/>
      <c r="E195" s="51"/>
      <c r="F195" s="51"/>
      <c r="G195" s="51"/>
    </row>
    <row r="196" spans="2:7" s="1" customFormat="1" ht="16.5" customHeight="1">
      <c r="B196" s="215"/>
      <c r="C196" s="51"/>
      <c r="D196" s="216"/>
      <c r="E196" s="51"/>
      <c r="F196" s="51"/>
      <c r="G196" s="51"/>
    </row>
    <row r="197" spans="2:7" s="1" customFormat="1" ht="16.5" customHeight="1">
      <c r="B197" s="215"/>
      <c r="C197" s="51"/>
      <c r="D197" s="216"/>
      <c r="E197" s="51"/>
      <c r="F197" s="51"/>
      <c r="G197" s="51"/>
    </row>
    <row r="198" spans="2:7" s="1" customFormat="1" ht="16.5" customHeight="1">
      <c r="B198" s="215"/>
      <c r="C198" s="51"/>
      <c r="D198" s="216"/>
      <c r="E198" s="51"/>
      <c r="F198" s="51"/>
      <c r="G198" s="51"/>
    </row>
    <row r="199" spans="2:7" s="1" customFormat="1" ht="16.5" customHeight="1">
      <c r="B199" s="215"/>
      <c r="C199" s="51"/>
      <c r="D199" s="216"/>
      <c r="E199" s="51"/>
      <c r="F199" s="51"/>
      <c r="G199" s="51"/>
    </row>
    <row r="200" spans="2:7" s="1" customFormat="1" ht="16.5" customHeight="1">
      <c r="B200" s="215"/>
      <c r="C200" s="51"/>
      <c r="D200" s="216"/>
      <c r="E200" s="51"/>
      <c r="F200" s="51"/>
      <c r="G200" s="51"/>
    </row>
    <row r="201" spans="2:7" s="1" customFormat="1" ht="16.5" customHeight="1">
      <c r="B201" s="431"/>
      <c r="C201" s="338"/>
      <c r="D201" s="432"/>
      <c r="E201" s="338"/>
      <c r="F201" s="338"/>
      <c r="G201" s="338"/>
    </row>
    <row r="202" spans="2:7" s="1" customFormat="1" ht="16.5" customHeight="1">
      <c r="B202" s="431"/>
      <c r="C202" s="338"/>
      <c r="D202" s="432"/>
      <c r="E202" s="338"/>
      <c r="F202" s="338"/>
      <c r="G202" s="338"/>
    </row>
    <row r="203" spans="2:7" s="1" customFormat="1" ht="16.5" customHeight="1">
      <c r="B203" s="224" t="s">
        <v>1</v>
      </c>
      <c r="C203" s="225"/>
      <c r="D203" s="226">
        <f>SUBTOTAL(109,ExpJun67[Amount])</f>
        <v>0</v>
      </c>
      <c r="E203" s="225"/>
      <c r="F203" s="225"/>
      <c r="G203" s="224"/>
    </row>
  </sheetData>
  <dataValidations count="14">
    <dataValidation type="custom" errorStyle="warning" allowBlank="1" showInputMessage="1" showErrorMessage="1" errorTitle="Amount Validation" error="Amount should be a number." sqref="D5:D17 D19 D23:D39 D45:D53 D59:D77 D83:D92 D98:D103 D109:D117 D123:D137 D143:D149 D155:D169 D175:D184 D190:D202">
      <formula1>ISNUMBER($D5)</formula1>
    </dataValidation>
    <dataValidation type="custom" errorStyle="warning" allowBlank="1" showInputMessage="1" showErrorMessage="1" errorTitle="Date Validation" error="A date in July needs be entered  in order for this expense to be added to the Summary sheet." sqref="B5:B17 B19">
      <formula1>MONTH($B5)=7</formula1>
    </dataValidation>
    <dataValidation type="list" errorStyle="warning" allowBlank="1" showInputMessage="1" showErrorMessage="1" errorTitle="Unknown Category" error="An expense from the drop down should be selected in order for it to be included on the Summary sheet." sqref="E5:F17 E19:F19 E23:F39 E45:F53 E59:F77 E83:F92 E98:F103 E109:F117 E123:E137 E143:F149 E155:F169 E175:F184 E190:F202">
      <formula1>ExpenseCategories</formula1>
    </dataValidation>
    <dataValidation type="custom" errorStyle="warning" allowBlank="1" showInputMessage="1" showErrorMessage="1" errorTitle="Date Validation" error="A date in August needs be entered  in order for this expense to be added to the Summary sheet." sqref="B23:B39">
      <formula1>MONTH($B23)=8</formula1>
    </dataValidation>
    <dataValidation type="custom" errorStyle="warning" allowBlank="1" showInputMessage="1" showErrorMessage="1" errorTitle="Date Validation" error="A date in September needs be entered  in order for this expense to be added to the Summary sheet." sqref="B45:B53">
      <formula1>MONTH($B45)=9</formula1>
    </dataValidation>
    <dataValidation type="custom" errorStyle="warning" allowBlank="1" showInputMessage="1" showErrorMessage="1" errorTitle="Date Validation" error="A date in October needs be entered  in order for this expense to be added to the Summary sheet." sqref="B59:B77">
      <formula1>MONTH($B59)=10</formula1>
    </dataValidation>
    <dataValidation type="custom" errorStyle="warning" allowBlank="1" showInputMessage="1" showErrorMessage="1" errorTitle="Date Validation" error="A date in November needs be entered  in order for this expense to be added to the Summary sheet." sqref="B83:B92">
      <formula1>MONTH($B83)=11</formula1>
    </dataValidation>
    <dataValidation type="custom" errorStyle="warning" allowBlank="1" showInputMessage="1" showErrorMessage="1" errorTitle="Date Validation" error="A date in December needs be entered  in order for this expense to be added to the Summary sheet." sqref="B98:B103">
      <formula1>MONTH($B98)=12</formula1>
    </dataValidation>
    <dataValidation type="custom" errorStyle="warning" allowBlank="1" showInputMessage="1" showErrorMessage="1" errorTitle="Date Validation" error="A date in January needs be entered in order for this expense to be added to the Summary sheet." sqref="B109:B117">
      <formula1>MONTH($B109)=1</formula1>
    </dataValidation>
    <dataValidation type="custom" errorStyle="warning" allowBlank="1" showInputMessage="1" showErrorMessage="1" errorTitle="Date Validation" error="A date in February needs be entered in order for this expense to be added to the Summary sheet." sqref="B123:B137">
      <formula1>MONTH($B123)=2</formula1>
    </dataValidation>
    <dataValidation type="custom" errorStyle="warning" allowBlank="1" showInputMessage="1" showErrorMessage="1" errorTitle="Date Validation" error="A date in March needs be entered in order for this expense to be added to the Summary sheet." sqref="B143:B149">
      <formula1>MONTH($B143)=3</formula1>
    </dataValidation>
    <dataValidation type="custom" errorStyle="warning" allowBlank="1" showInputMessage="1" showErrorMessage="1" errorTitle="Date Validation" error="A date in April needs be entered  in order for this expense to be added to the Summary sheet." sqref="B155:B169">
      <formula1>MONTH($B155)=4</formula1>
    </dataValidation>
    <dataValidation type="custom" errorStyle="warning" allowBlank="1" showInputMessage="1" showErrorMessage="1" errorTitle="Date Validation" error="A date in May needs be entered  in order for this expense to be added to the Summary sheet." sqref="B175:B184">
      <formula1>MONTH($B175)=5</formula1>
    </dataValidation>
    <dataValidation type="custom" errorStyle="warning" allowBlank="1" showInputMessage="1" showErrorMessage="1" errorTitle="Date Validation" error="A date in June needs be entered  in order for this expense to be added to the Summary sheet." sqref="B190:B202">
      <formula1>MONTH($B190)=6</formula1>
    </dataValidation>
  </dataValidations>
  <printOptions horizontalCentered="1"/>
  <pageMargins left="0.25" right="0.25" top="0.75" bottom="0.75" header="0.3" footer="0.3"/>
  <pageSetup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78"/>
  <sheetViews>
    <sheetView topLeftCell="A13" workbookViewId="0">
      <selection activeCell="I25" sqref="A1:XFD1048576"/>
    </sheetView>
  </sheetViews>
  <sheetFormatPr defaultColWidth="9.140625" defaultRowHeight="12.75"/>
  <cols>
    <col min="1" max="1" width="15.42578125" style="260" customWidth="1"/>
    <col min="2" max="2" width="14" style="260" customWidth="1"/>
    <col min="3" max="3" width="13.28515625" style="260" customWidth="1"/>
    <col min="4" max="4" width="13.5703125" style="260" customWidth="1"/>
    <col min="5" max="5" width="13.7109375" style="260" customWidth="1"/>
    <col min="6" max="6" width="14.7109375" style="260" customWidth="1"/>
    <col min="7" max="7" width="17.7109375" style="260" customWidth="1"/>
    <col min="8" max="16384" width="9.140625" style="260"/>
  </cols>
  <sheetData>
    <row r="1" spans="1:7" ht="13.5" customHeight="1">
      <c r="A1" s="278" t="s">
        <v>155</v>
      </c>
      <c r="B1" s="279" t="s">
        <v>154</v>
      </c>
      <c r="C1" s="280"/>
      <c r="D1" s="279" t="s">
        <v>153</v>
      </c>
      <c r="E1" s="280"/>
      <c r="F1" s="279" t="s">
        <v>152</v>
      </c>
      <c r="G1" s="280"/>
    </row>
    <row r="2" spans="1:7">
      <c r="A2" s="348"/>
      <c r="B2" s="349"/>
      <c r="C2" s="350"/>
      <c r="D2" s="351" t="s">
        <v>490</v>
      </c>
      <c r="E2" s="352">
        <v>4859</v>
      </c>
      <c r="F2" s="285"/>
      <c r="G2" s="353"/>
    </row>
    <row r="3" spans="1:7">
      <c r="A3" s="348">
        <v>7403</v>
      </c>
      <c r="B3" s="354" t="str">
        <f t="shared" ref="B3:B38" si="0">D2</f>
        <v>12.31.12</v>
      </c>
      <c r="C3" s="355">
        <v>4859</v>
      </c>
      <c r="D3" s="356" t="s">
        <v>489</v>
      </c>
      <c r="E3" s="357">
        <v>9971</v>
      </c>
      <c r="F3" s="358">
        <f t="shared" ref="F3:F38" si="1">SUM(E3-E2)</f>
        <v>5112</v>
      </c>
      <c r="G3" s="359" t="b">
        <f t="shared" ref="G3:G38" si="2">IF(F3&gt;5250,"OVER")</f>
        <v>0</v>
      </c>
    </row>
    <row r="4" spans="1:7">
      <c r="A4" s="348">
        <v>7466</v>
      </c>
      <c r="B4" s="354" t="str">
        <f t="shared" si="0"/>
        <v>2.11.13</v>
      </c>
      <c r="C4" s="355">
        <v>9971</v>
      </c>
      <c r="D4" s="356" t="s">
        <v>488</v>
      </c>
      <c r="E4" s="357">
        <v>14957</v>
      </c>
      <c r="F4" s="358">
        <f t="shared" si="1"/>
        <v>4986</v>
      </c>
      <c r="G4" s="359" t="b">
        <f t="shared" si="2"/>
        <v>0</v>
      </c>
    </row>
    <row r="5" spans="1:7">
      <c r="A5" s="348">
        <v>7525</v>
      </c>
      <c r="B5" s="354" t="str">
        <f t="shared" si="0"/>
        <v>3.29.13</v>
      </c>
      <c r="C5" s="355">
        <v>14957</v>
      </c>
      <c r="D5" s="356" t="s">
        <v>487</v>
      </c>
      <c r="E5" s="357">
        <v>20048</v>
      </c>
      <c r="F5" s="358">
        <f t="shared" si="1"/>
        <v>5091</v>
      </c>
      <c r="G5" s="359" t="b">
        <f t="shared" si="2"/>
        <v>0</v>
      </c>
    </row>
    <row r="6" spans="1:7">
      <c r="A6" s="348">
        <v>7586</v>
      </c>
      <c r="B6" s="354" t="str">
        <f t="shared" si="0"/>
        <v>5.15.13</v>
      </c>
      <c r="C6" s="355">
        <v>20048</v>
      </c>
      <c r="D6" s="356" t="s">
        <v>486</v>
      </c>
      <c r="E6" s="357">
        <v>24968</v>
      </c>
      <c r="F6" s="358">
        <f t="shared" si="1"/>
        <v>4920</v>
      </c>
      <c r="G6" s="359" t="b">
        <f t="shared" si="2"/>
        <v>0</v>
      </c>
    </row>
    <row r="7" spans="1:7">
      <c r="A7" s="348">
        <v>7651</v>
      </c>
      <c r="B7" s="354" t="str">
        <f t="shared" si="0"/>
        <v>6.28.13</v>
      </c>
      <c r="C7" s="355">
        <v>24968</v>
      </c>
      <c r="D7" s="356" t="s">
        <v>485</v>
      </c>
      <c r="E7" s="357">
        <v>30010</v>
      </c>
      <c r="F7" s="358">
        <f t="shared" si="1"/>
        <v>5042</v>
      </c>
      <c r="G7" s="359" t="b">
        <f t="shared" si="2"/>
        <v>0</v>
      </c>
    </row>
    <row r="8" spans="1:7">
      <c r="A8" s="348">
        <v>7753</v>
      </c>
      <c r="B8" s="354" t="str">
        <f t="shared" si="0"/>
        <v>8.14.13</v>
      </c>
      <c r="C8" s="355">
        <v>30010</v>
      </c>
      <c r="D8" s="356" t="s">
        <v>484</v>
      </c>
      <c r="E8" s="357">
        <v>35106</v>
      </c>
      <c r="F8" s="358">
        <f t="shared" si="1"/>
        <v>5096</v>
      </c>
      <c r="G8" s="359" t="b">
        <f t="shared" si="2"/>
        <v>0</v>
      </c>
    </row>
    <row r="9" spans="1:7">
      <c r="A9" s="348">
        <v>7849</v>
      </c>
      <c r="B9" s="354" t="str">
        <f t="shared" si="0"/>
        <v>9.30.13</v>
      </c>
      <c r="C9" s="355">
        <v>35160</v>
      </c>
      <c r="D9" s="356" t="s">
        <v>483</v>
      </c>
      <c r="E9" s="357">
        <v>39983</v>
      </c>
      <c r="F9" s="358">
        <f t="shared" si="1"/>
        <v>4877</v>
      </c>
      <c r="G9" s="359" t="b">
        <f t="shared" si="2"/>
        <v>0</v>
      </c>
    </row>
    <row r="10" spans="1:7">
      <c r="A10" s="348">
        <v>7946</v>
      </c>
      <c r="B10" s="354" t="str">
        <f t="shared" si="0"/>
        <v>11.11.13</v>
      </c>
      <c r="C10" s="355">
        <v>39983</v>
      </c>
      <c r="D10" s="356" t="s">
        <v>482</v>
      </c>
      <c r="E10" s="357">
        <v>45081</v>
      </c>
      <c r="F10" s="358">
        <f t="shared" si="1"/>
        <v>5098</v>
      </c>
      <c r="G10" s="359" t="b">
        <f t="shared" si="2"/>
        <v>0</v>
      </c>
    </row>
    <row r="11" spans="1:7">
      <c r="A11" s="348">
        <v>8042</v>
      </c>
      <c r="B11" s="354" t="str">
        <f t="shared" si="0"/>
        <v>12.26.13</v>
      </c>
      <c r="C11" s="355">
        <v>45081</v>
      </c>
      <c r="D11" s="356" t="s">
        <v>481</v>
      </c>
      <c r="E11" s="357">
        <v>49940</v>
      </c>
      <c r="F11" s="358">
        <f t="shared" si="1"/>
        <v>4859</v>
      </c>
      <c r="G11" s="359" t="b">
        <f t="shared" si="2"/>
        <v>0</v>
      </c>
    </row>
    <row r="12" spans="1:7">
      <c r="A12" s="348">
        <v>8135</v>
      </c>
      <c r="B12" s="354" t="str">
        <f t="shared" si="0"/>
        <v>2.6.14</v>
      </c>
      <c r="C12" s="355">
        <v>49940</v>
      </c>
      <c r="D12" s="356" t="s">
        <v>480</v>
      </c>
      <c r="E12" s="357">
        <v>55007</v>
      </c>
      <c r="F12" s="358">
        <f t="shared" si="1"/>
        <v>5067</v>
      </c>
      <c r="G12" s="359" t="b">
        <f t="shared" si="2"/>
        <v>0</v>
      </c>
    </row>
    <row r="13" spans="1:7">
      <c r="A13" s="348">
        <v>8260</v>
      </c>
      <c r="B13" s="354" t="str">
        <f t="shared" si="0"/>
        <v>4.2.14</v>
      </c>
      <c r="C13" s="355">
        <v>55007</v>
      </c>
      <c r="D13" s="356" t="s">
        <v>479</v>
      </c>
      <c r="E13" s="357">
        <v>59904</v>
      </c>
      <c r="F13" s="358">
        <f t="shared" si="1"/>
        <v>4897</v>
      </c>
      <c r="G13" s="359" t="b">
        <f t="shared" si="2"/>
        <v>0</v>
      </c>
    </row>
    <row r="14" spans="1:7">
      <c r="A14" s="348"/>
      <c r="B14" s="354" t="str">
        <f t="shared" si="0"/>
        <v>5.21.14</v>
      </c>
      <c r="C14" s="355">
        <v>59904</v>
      </c>
      <c r="D14" s="356" t="s">
        <v>478</v>
      </c>
      <c r="E14" s="357">
        <v>64975</v>
      </c>
      <c r="F14" s="358">
        <f t="shared" si="1"/>
        <v>5071</v>
      </c>
      <c r="G14" s="359" t="b">
        <f t="shared" si="2"/>
        <v>0</v>
      </c>
    </row>
    <row r="15" spans="1:7">
      <c r="A15" s="348">
        <v>8549</v>
      </c>
      <c r="B15" s="354" t="str">
        <f t="shared" si="0"/>
        <v>8.7.14</v>
      </c>
      <c r="C15" s="361">
        <v>64975</v>
      </c>
      <c r="D15" s="362">
        <v>8629</v>
      </c>
      <c r="E15" s="363">
        <v>69955</v>
      </c>
      <c r="F15" s="358">
        <f t="shared" si="1"/>
        <v>4980</v>
      </c>
      <c r="G15" s="359" t="b">
        <f t="shared" si="2"/>
        <v>0</v>
      </c>
    </row>
    <row r="16" spans="1:7" ht="13.5" thickBot="1">
      <c r="A16" s="364">
        <v>8629</v>
      </c>
      <c r="B16" s="354">
        <f t="shared" si="0"/>
        <v>8629</v>
      </c>
      <c r="C16" s="365">
        <v>69955</v>
      </c>
      <c r="D16" s="366" t="s">
        <v>279</v>
      </c>
      <c r="E16" s="367">
        <v>75100</v>
      </c>
      <c r="F16" s="358">
        <f t="shared" si="1"/>
        <v>5145</v>
      </c>
      <c r="G16" s="368" t="b">
        <f t="shared" si="2"/>
        <v>0</v>
      </c>
    </row>
    <row r="17" spans="1:7" ht="13.5" thickBot="1">
      <c r="A17" s="369">
        <v>8739</v>
      </c>
      <c r="B17" s="354" t="str">
        <f t="shared" si="0"/>
        <v>11.11.14</v>
      </c>
      <c r="C17" s="370">
        <v>75100</v>
      </c>
      <c r="D17" s="371" t="s">
        <v>141</v>
      </c>
      <c r="E17" s="372">
        <v>80239</v>
      </c>
      <c r="F17" s="358">
        <f t="shared" si="1"/>
        <v>5139</v>
      </c>
      <c r="G17" s="373" t="b">
        <f t="shared" si="2"/>
        <v>0</v>
      </c>
    </row>
    <row r="18" spans="1:7">
      <c r="A18" s="374">
        <v>8813</v>
      </c>
      <c r="B18" s="354" t="str">
        <f t="shared" si="0"/>
        <v>12.16.14</v>
      </c>
      <c r="C18" s="375">
        <v>80239</v>
      </c>
      <c r="D18" s="403" t="s">
        <v>477</v>
      </c>
      <c r="E18" s="377">
        <v>85087</v>
      </c>
      <c r="F18" s="358">
        <f t="shared" si="1"/>
        <v>4848</v>
      </c>
      <c r="G18" s="378" t="b">
        <f t="shared" si="2"/>
        <v>0</v>
      </c>
    </row>
    <row r="19" spans="1:7">
      <c r="A19" s="348">
        <v>8894</v>
      </c>
      <c r="B19" s="354" t="str">
        <f t="shared" si="0"/>
        <v>1.22.15</v>
      </c>
      <c r="C19" s="355">
        <v>85087</v>
      </c>
      <c r="D19" s="356" t="s">
        <v>476</v>
      </c>
      <c r="E19" s="357">
        <v>89993</v>
      </c>
      <c r="F19" s="358">
        <f t="shared" si="1"/>
        <v>4906</v>
      </c>
      <c r="G19" s="359" t="b">
        <f t="shared" si="2"/>
        <v>0</v>
      </c>
    </row>
    <row r="20" spans="1:7">
      <c r="A20" s="348">
        <v>8975</v>
      </c>
      <c r="B20" s="354" t="str">
        <f t="shared" si="0"/>
        <v>2.25.15</v>
      </c>
      <c r="C20" s="355">
        <v>89993</v>
      </c>
      <c r="D20" s="356" t="s">
        <v>475</v>
      </c>
      <c r="E20" s="357">
        <v>95107</v>
      </c>
      <c r="F20" s="358">
        <f t="shared" si="1"/>
        <v>5114</v>
      </c>
      <c r="G20" s="359" t="b">
        <f t="shared" si="2"/>
        <v>0</v>
      </c>
    </row>
    <row r="21" spans="1:7">
      <c r="A21" s="348">
        <v>9046</v>
      </c>
      <c r="B21" s="354" t="str">
        <f t="shared" si="0"/>
        <v>4.1.15</v>
      </c>
      <c r="C21" s="355">
        <v>95107</v>
      </c>
      <c r="D21" s="356" t="s">
        <v>474</v>
      </c>
      <c r="E21" s="357">
        <v>97055</v>
      </c>
      <c r="F21" s="358">
        <f t="shared" si="1"/>
        <v>1948</v>
      </c>
      <c r="G21" s="359" t="b">
        <f t="shared" si="2"/>
        <v>0</v>
      </c>
    </row>
    <row r="22" spans="1:7">
      <c r="A22" s="348">
        <v>9075</v>
      </c>
      <c r="B22" s="354" t="str">
        <f t="shared" si="0"/>
        <v>4.17.15</v>
      </c>
      <c r="C22" s="355">
        <v>97055</v>
      </c>
      <c r="D22" s="356" t="s">
        <v>473</v>
      </c>
      <c r="E22" s="357">
        <v>99917</v>
      </c>
      <c r="F22" s="358">
        <f t="shared" si="1"/>
        <v>2862</v>
      </c>
      <c r="G22" s="359" t="b">
        <f t="shared" si="2"/>
        <v>0</v>
      </c>
    </row>
    <row r="23" spans="1:7">
      <c r="A23" s="348">
        <v>9138</v>
      </c>
      <c r="B23" s="354" t="str">
        <f t="shared" si="0"/>
        <v>5.22.15</v>
      </c>
      <c r="C23" s="355">
        <v>99917</v>
      </c>
      <c r="D23" s="356" t="s">
        <v>472</v>
      </c>
      <c r="E23" s="357">
        <v>104948</v>
      </c>
      <c r="F23" s="358">
        <f t="shared" si="1"/>
        <v>5031</v>
      </c>
      <c r="G23" s="359" t="b">
        <f t="shared" si="2"/>
        <v>0</v>
      </c>
    </row>
    <row r="24" spans="1:7">
      <c r="A24" s="348">
        <v>9194</v>
      </c>
      <c r="B24" s="354" t="str">
        <f t="shared" si="0"/>
        <v>6.27.15</v>
      </c>
      <c r="C24" s="355">
        <v>104948</v>
      </c>
      <c r="D24" s="356" t="s">
        <v>471</v>
      </c>
      <c r="E24" s="357">
        <v>110024</v>
      </c>
      <c r="F24" s="358">
        <f t="shared" si="1"/>
        <v>5076</v>
      </c>
      <c r="G24" s="359" t="b">
        <f t="shared" si="2"/>
        <v>0</v>
      </c>
    </row>
    <row r="25" spans="1:7">
      <c r="A25" s="348">
        <v>9293</v>
      </c>
      <c r="B25" s="354" t="str">
        <f t="shared" si="0"/>
        <v>8.19.15</v>
      </c>
      <c r="C25" s="355">
        <v>110024</v>
      </c>
      <c r="D25" s="356" t="s">
        <v>470</v>
      </c>
      <c r="E25" s="357">
        <v>114934</v>
      </c>
      <c r="F25" s="358">
        <f t="shared" si="1"/>
        <v>4910</v>
      </c>
      <c r="G25" s="359" t="b">
        <f t="shared" si="2"/>
        <v>0</v>
      </c>
    </row>
    <row r="26" spans="1:7">
      <c r="A26" s="348">
        <v>9368</v>
      </c>
      <c r="B26" s="354" t="str">
        <f t="shared" si="0"/>
        <v>9.23.15</v>
      </c>
      <c r="C26" s="355">
        <v>114934</v>
      </c>
      <c r="D26" s="356" t="s">
        <v>469</v>
      </c>
      <c r="E26" s="357">
        <v>120010</v>
      </c>
      <c r="F26" s="358">
        <f t="shared" si="1"/>
        <v>5076</v>
      </c>
      <c r="G26" s="359" t="b">
        <f t="shared" si="2"/>
        <v>0</v>
      </c>
    </row>
    <row r="27" spans="1:7">
      <c r="A27" s="348">
        <v>9436</v>
      </c>
      <c r="B27" s="354" t="str">
        <f t="shared" si="0"/>
        <v>10.27.15</v>
      </c>
      <c r="C27" s="355">
        <v>120010</v>
      </c>
      <c r="D27" s="356" t="s">
        <v>468</v>
      </c>
      <c r="E27" s="357">
        <v>124976</v>
      </c>
      <c r="F27" s="358">
        <f t="shared" si="1"/>
        <v>4966</v>
      </c>
      <c r="G27" s="359" t="b">
        <f t="shared" si="2"/>
        <v>0</v>
      </c>
    </row>
    <row r="28" spans="1:7">
      <c r="A28" s="348">
        <v>9513</v>
      </c>
      <c r="B28" s="354" t="str">
        <f t="shared" si="0"/>
        <v>12.1.15</v>
      </c>
      <c r="C28" s="355">
        <v>124976</v>
      </c>
      <c r="D28" s="356" t="s">
        <v>467</v>
      </c>
      <c r="E28" s="357">
        <v>129837</v>
      </c>
      <c r="F28" s="358">
        <f t="shared" si="1"/>
        <v>4861</v>
      </c>
      <c r="G28" s="359" t="b">
        <f t="shared" si="2"/>
        <v>0</v>
      </c>
    </row>
    <row r="29" spans="1:7">
      <c r="A29" s="348">
        <v>9621</v>
      </c>
      <c r="B29" s="354" t="str">
        <f t="shared" si="0"/>
        <v>1.29.16</v>
      </c>
      <c r="C29" s="355">
        <v>129837</v>
      </c>
      <c r="D29" s="356" t="s">
        <v>466</v>
      </c>
      <c r="E29" s="357">
        <v>134796</v>
      </c>
      <c r="F29" s="358">
        <f t="shared" si="1"/>
        <v>4959</v>
      </c>
      <c r="G29" s="359" t="b">
        <f t="shared" si="2"/>
        <v>0</v>
      </c>
    </row>
    <row r="30" spans="1:7">
      <c r="A30" s="348">
        <v>9742</v>
      </c>
      <c r="B30" s="354" t="str">
        <f t="shared" si="0"/>
        <v>4.2.16</v>
      </c>
      <c r="C30" s="355">
        <v>134796</v>
      </c>
      <c r="D30" s="356" t="s">
        <v>465</v>
      </c>
      <c r="E30" s="357">
        <v>139747</v>
      </c>
      <c r="F30" s="358">
        <f t="shared" si="1"/>
        <v>4951</v>
      </c>
      <c r="G30" s="359" t="b">
        <f t="shared" si="2"/>
        <v>0</v>
      </c>
    </row>
    <row r="31" spans="1:7">
      <c r="A31" s="348">
        <v>9856</v>
      </c>
      <c r="B31" s="354" t="str">
        <f t="shared" si="0"/>
        <v>6.10.16</v>
      </c>
      <c r="C31" s="355">
        <v>139747</v>
      </c>
      <c r="D31" s="356" t="s">
        <v>464</v>
      </c>
      <c r="E31" s="357">
        <v>144809</v>
      </c>
      <c r="F31" s="358">
        <f t="shared" si="1"/>
        <v>5062</v>
      </c>
      <c r="G31" s="359" t="b">
        <f t="shared" si="2"/>
        <v>0</v>
      </c>
    </row>
    <row r="32" spans="1:7">
      <c r="A32" s="348">
        <v>9940</v>
      </c>
      <c r="B32" s="354" t="str">
        <f t="shared" si="0"/>
        <v>7.29.16</v>
      </c>
      <c r="C32" s="355">
        <v>144809</v>
      </c>
      <c r="D32" s="356" t="s">
        <v>463</v>
      </c>
      <c r="E32" s="357">
        <v>149945</v>
      </c>
      <c r="F32" s="358">
        <f t="shared" si="1"/>
        <v>5136</v>
      </c>
      <c r="G32" s="359" t="b">
        <f t="shared" si="2"/>
        <v>0</v>
      </c>
    </row>
    <row r="33" spans="1:7">
      <c r="A33" s="348">
        <v>10040</v>
      </c>
      <c r="B33" s="354" t="str">
        <f t="shared" si="0"/>
        <v>9.13.16</v>
      </c>
      <c r="C33" s="355">
        <v>149945</v>
      </c>
      <c r="D33" s="356" t="s">
        <v>462</v>
      </c>
      <c r="E33" s="357">
        <v>154908</v>
      </c>
      <c r="F33" s="358">
        <f t="shared" si="1"/>
        <v>4963</v>
      </c>
      <c r="G33" s="359" t="b">
        <f t="shared" si="2"/>
        <v>0</v>
      </c>
    </row>
    <row r="34" spans="1:7">
      <c r="A34" s="348">
        <v>10127</v>
      </c>
      <c r="B34" s="354" t="str">
        <f t="shared" si="0"/>
        <v>11.3.16</v>
      </c>
      <c r="C34" s="355">
        <v>154908</v>
      </c>
      <c r="D34" s="356" t="s">
        <v>461</v>
      </c>
      <c r="E34" s="357">
        <v>159888</v>
      </c>
      <c r="F34" s="358">
        <f t="shared" si="1"/>
        <v>4980</v>
      </c>
      <c r="G34" s="359" t="b">
        <f t="shared" si="2"/>
        <v>0</v>
      </c>
    </row>
    <row r="35" spans="1:7">
      <c r="A35" s="348">
        <v>10223</v>
      </c>
      <c r="B35" s="354" t="str">
        <f t="shared" si="0"/>
        <v>1.4.17</v>
      </c>
      <c r="C35" s="355">
        <v>159888</v>
      </c>
      <c r="D35" s="356" t="s">
        <v>460</v>
      </c>
      <c r="E35" s="357">
        <v>164727</v>
      </c>
      <c r="F35" s="358">
        <f t="shared" si="1"/>
        <v>4839</v>
      </c>
      <c r="G35" s="359" t="b">
        <f t="shared" si="2"/>
        <v>0</v>
      </c>
    </row>
    <row r="36" spans="1:7">
      <c r="A36" s="348">
        <v>10318</v>
      </c>
      <c r="B36" s="354" t="str">
        <f t="shared" si="0"/>
        <v>2.23.17</v>
      </c>
      <c r="C36" s="355">
        <v>164727</v>
      </c>
      <c r="D36" s="356" t="s">
        <v>459</v>
      </c>
      <c r="E36" s="357">
        <v>169898</v>
      </c>
      <c r="F36" s="358">
        <f t="shared" si="1"/>
        <v>5171</v>
      </c>
      <c r="G36" s="359" t="b">
        <f t="shared" si="2"/>
        <v>0</v>
      </c>
    </row>
    <row r="37" spans="1:7">
      <c r="A37" s="348">
        <v>10410</v>
      </c>
      <c r="B37" s="354" t="str">
        <f t="shared" si="0"/>
        <v>4.12.17</v>
      </c>
      <c r="C37" s="355">
        <v>169898</v>
      </c>
      <c r="D37" s="356" t="s">
        <v>458</v>
      </c>
      <c r="E37" s="357">
        <v>174905</v>
      </c>
      <c r="F37" s="358">
        <f t="shared" si="1"/>
        <v>5007</v>
      </c>
      <c r="G37" s="359" t="b">
        <f t="shared" si="2"/>
        <v>0</v>
      </c>
    </row>
    <row r="38" spans="1:7">
      <c r="A38" s="348">
        <v>10502</v>
      </c>
      <c r="B38" s="354" t="str">
        <f t="shared" si="0"/>
        <v>5.25.17</v>
      </c>
      <c r="C38" s="355">
        <v>174905</v>
      </c>
      <c r="D38" s="356"/>
      <c r="E38" s="357"/>
      <c r="F38" s="358">
        <f t="shared" si="1"/>
        <v>-174905</v>
      </c>
      <c r="G38" s="359" t="b">
        <f t="shared" si="2"/>
        <v>0</v>
      </c>
    </row>
    <row r="40" spans="1:7" ht="13.5" thickBot="1">
      <c r="A40" s="260" t="s">
        <v>494</v>
      </c>
    </row>
    <row r="41" spans="1:7">
      <c r="A41" s="278" t="s">
        <v>155</v>
      </c>
      <c r="B41" s="279" t="s">
        <v>154</v>
      </c>
      <c r="C41" s="280"/>
      <c r="D41" s="279" t="s">
        <v>153</v>
      </c>
      <c r="E41" s="280"/>
      <c r="F41" s="279" t="s">
        <v>152</v>
      </c>
      <c r="G41" s="280"/>
    </row>
    <row r="42" spans="1:7">
      <c r="A42" s="348"/>
      <c r="B42" s="349"/>
      <c r="C42" s="350"/>
      <c r="D42" s="351"/>
      <c r="E42" s="352">
        <v>174905</v>
      </c>
      <c r="F42" s="285"/>
      <c r="G42" s="353"/>
    </row>
    <row r="43" spans="1:7">
      <c r="A43" s="348"/>
      <c r="B43" s="354">
        <f t="shared" ref="B43:B78" si="3">D42</f>
        <v>0</v>
      </c>
      <c r="C43" s="355">
        <v>174905</v>
      </c>
      <c r="D43" s="356" t="s">
        <v>491</v>
      </c>
      <c r="E43" s="357">
        <v>180080</v>
      </c>
      <c r="F43" s="358">
        <f t="shared" ref="F43:F78" si="4">SUM(E43-E42)</f>
        <v>5175</v>
      </c>
      <c r="G43" s="359" t="b">
        <f t="shared" ref="G43:G78" si="5">IF(F43&gt;5250,"OVER")</f>
        <v>0</v>
      </c>
    </row>
    <row r="44" spans="1:7">
      <c r="A44" s="348">
        <v>10627</v>
      </c>
      <c r="B44" s="354" t="str">
        <f t="shared" si="3"/>
        <v>7.10.17</v>
      </c>
      <c r="C44" s="355">
        <v>180080</v>
      </c>
      <c r="D44" s="356" t="s">
        <v>492</v>
      </c>
      <c r="E44" s="357">
        <v>185116</v>
      </c>
      <c r="F44" s="358">
        <f t="shared" si="4"/>
        <v>5036</v>
      </c>
      <c r="G44" s="359" t="b">
        <f t="shared" si="5"/>
        <v>0</v>
      </c>
    </row>
    <row r="45" spans="1:7">
      <c r="A45" s="348">
        <v>10737</v>
      </c>
      <c r="B45" s="354" t="str">
        <f t="shared" si="3"/>
        <v>8.23.17</v>
      </c>
      <c r="C45" s="355">
        <v>185116</v>
      </c>
      <c r="D45" s="356" t="s">
        <v>493</v>
      </c>
      <c r="E45" s="357">
        <v>190144</v>
      </c>
      <c r="F45" s="358">
        <f t="shared" si="4"/>
        <v>5028</v>
      </c>
      <c r="G45" s="359" t="b">
        <f t="shared" si="5"/>
        <v>0</v>
      </c>
    </row>
    <row r="46" spans="1:7">
      <c r="A46" s="348">
        <v>10847</v>
      </c>
      <c r="B46" s="354" t="str">
        <f t="shared" si="3"/>
        <v>10.4.17</v>
      </c>
      <c r="C46" s="355">
        <v>190144</v>
      </c>
      <c r="D46" s="356"/>
      <c r="E46" s="357"/>
      <c r="F46" s="358">
        <f t="shared" si="4"/>
        <v>-190144</v>
      </c>
      <c r="G46" s="359" t="b">
        <f t="shared" si="5"/>
        <v>0</v>
      </c>
    </row>
    <row r="47" spans="1:7">
      <c r="A47" s="348"/>
      <c r="B47" s="354">
        <f t="shared" si="3"/>
        <v>0</v>
      </c>
      <c r="C47" s="355"/>
      <c r="D47" s="356"/>
      <c r="E47" s="357"/>
      <c r="F47" s="358">
        <f t="shared" si="4"/>
        <v>0</v>
      </c>
      <c r="G47" s="359" t="b">
        <f t="shared" si="5"/>
        <v>0</v>
      </c>
    </row>
    <row r="48" spans="1:7">
      <c r="A48" s="348"/>
      <c r="B48" s="354">
        <f t="shared" si="3"/>
        <v>0</v>
      </c>
      <c r="C48" s="355"/>
      <c r="D48" s="356"/>
      <c r="E48" s="357"/>
      <c r="F48" s="358">
        <f t="shared" si="4"/>
        <v>0</v>
      </c>
      <c r="G48" s="359" t="b">
        <f t="shared" si="5"/>
        <v>0</v>
      </c>
    </row>
    <row r="49" spans="1:7">
      <c r="A49" s="348"/>
      <c r="B49" s="354">
        <f t="shared" si="3"/>
        <v>0</v>
      </c>
      <c r="C49" s="355"/>
      <c r="D49" s="356"/>
      <c r="E49" s="357"/>
      <c r="F49" s="358">
        <f t="shared" si="4"/>
        <v>0</v>
      </c>
      <c r="G49" s="359" t="b">
        <f t="shared" si="5"/>
        <v>0</v>
      </c>
    </row>
    <row r="50" spans="1:7">
      <c r="A50" s="348"/>
      <c r="B50" s="354">
        <f t="shared" si="3"/>
        <v>0</v>
      </c>
      <c r="C50" s="355"/>
      <c r="D50" s="356"/>
      <c r="E50" s="357"/>
      <c r="F50" s="358">
        <f t="shared" si="4"/>
        <v>0</v>
      </c>
      <c r="G50" s="359" t="b">
        <f t="shared" si="5"/>
        <v>0</v>
      </c>
    </row>
    <row r="51" spans="1:7">
      <c r="A51" s="348"/>
      <c r="B51" s="354">
        <f t="shared" si="3"/>
        <v>0</v>
      </c>
      <c r="C51" s="355"/>
      <c r="D51" s="356"/>
      <c r="E51" s="357"/>
      <c r="F51" s="358">
        <f t="shared" si="4"/>
        <v>0</v>
      </c>
      <c r="G51" s="359" t="b">
        <f t="shared" si="5"/>
        <v>0</v>
      </c>
    </row>
    <row r="52" spans="1:7">
      <c r="A52" s="348"/>
      <c r="B52" s="354">
        <f t="shared" si="3"/>
        <v>0</v>
      </c>
      <c r="C52" s="355"/>
      <c r="D52" s="356"/>
      <c r="E52" s="357"/>
      <c r="F52" s="358">
        <f t="shared" si="4"/>
        <v>0</v>
      </c>
      <c r="G52" s="359" t="b">
        <f t="shared" si="5"/>
        <v>0</v>
      </c>
    </row>
    <row r="53" spans="1:7">
      <c r="A53" s="348"/>
      <c r="B53" s="354">
        <f t="shared" si="3"/>
        <v>0</v>
      </c>
      <c r="C53" s="355"/>
      <c r="D53" s="356"/>
      <c r="E53" s="357"/>
      <c r="F53" s="358">
        <f t="shared" si="4"/>
        <v>0</v>
      </c>
      <c r="G53" s="359" t="b">
        <f t="shared" si="5"/>
        <v>0</v>
      </c>
    </row>
    <row r="54" spans="1:7">
      <c r="A54" s="348"/>
      <c r="B54" s="354">
        <f t="shared" si="3"/>
        <v>0</v>
      </c>
      <c r="C54" s="355"/>
      <c r="D54" s="356"/>
      <c r="E54" s="357"/>
      <c r="F54" s="358">
        <f t="shared" si="4"/>
        <v>0</v>
      </c>
      <c r="G54" s="359" t="b">
        <f t="shared" si="5"/>
        <v>0</v>
      </c>
    </row>
    <row r="55" spans="1:7">
      <c r="A55" s="348"/>
      <c r="B55" s="354">
        <f t="shared" si="3"/>
        <v>0</v>
      </c>
      <c r="C55" s="361"/>
      <c r="D55" s="362"/>
      <c r="E55" s="363"/>
      <c r="F55" s="358">
        <f t="shared" si="4"/>
        <v>0</v>
      </c>
      <c r="G55" s="359" t="b">
        <f t="shared" si="5"/>
        <v>0</v>
      </c>
    </row>
    <row r="56" spans="1:7" ht="13.5" thickBot="1">
      <c r="A56" s="364"/>
      <c r="B56" s="354">
        <f t="shared" si="3"/>
        <v>0</v>
      </c>
      <c r="C56" s="365"/>
      <c r="D56" s="366"/>
      <c r="E56" s="367"/>
      <c r="F56" s="358">
        <f t="shared" si="4"/>
        <v>0</v>
      </c>
      <c r="G56" s="368" t="b">
        <f t="shared" si="5"/>
        <v>0</v>
      </c>
    </row>
    <row r="57" spans="1:7" ht="13.5" thickBot="1">
      <c r="A57" s="369"/>
      <c r="B57" s="354">
        <f t="shared" si="3"/>
        <v>0</v>
      </c>
      <c r="C57" s="370"/>
      <c r="D57" s="371"/>
      <c r="E57" s="372"/>
      <c r="F57" s="358">
        <f t="shared" si="4"/>
        <v>0</v>
      </c>
      <c r="G57" s="373" t="b">
        <f t="shared" si="5"/>
        <v>0</v>
      </c>
    </row>
    <row r="58" spans="1:7">
      <c r="A58" s="374"/>
      <c r="B58" s="354">
        <f t="shared" si="3"/>
        <v>0</v>
      </c>
      <c r="C58" s="375"/>
      <c r="D58" s="403"/>
      <c r="E58" s="377"/>
      <c r="F58" s="358">
        <f t="shared" si="4"/>
        <v>0</v>
      </c>
      <c r="G58" s="378" t="b">
        <f t="shared" si="5"/>
        <v>0</v>
      </c>
    </row>
    <row r="59" spans="1:7">
      <c r="A59" s="348"/>
      <c r="B59" s="354">
        <f t="shared" si="3"/>
        <v>0</v>
      </c>
      <c r="C59" s="355"/>
      <c r="D59" s="356"/>
      <c r="E59" s="357"/>
      <c r="F59" s="358">
        <f t="shared" si="4"/>
        <v>0</v>
      </c>
      <c r="G59" s="359" t="b">
        <f t="shared" si="5"/>
        <v>0</v>
      </c>
    </row>
    <row r="60" spans="1:7">
      <c r="A60" s="348"/>
      <c r="B60" s="354">
        <f t="shared" si="3"/>
        <v>0</v>
      </c>
      <c r="C60" s="355"/>
      <c r="D60" s="356"/>
      <c r="E60" s="357"/>
      <c r="F60" s="358">
        <f t="shared" si="4"/>
        <v>0</v>
      </c>
      <c r="G60" s="359" t="b">
        <f t="shared" si="5"/>
        <v>0</v>
      </c>
    </row>
    <row r="61" spans="1:7">
      <c r="A61" s="348"/>
      <c r="B61" s="354">
        <f t="shared" si="3"/>
        <v>0</v>
      </c>
      <c r="C61" s="355"/>
      <c r="D61" s="356"/>
      <c r="E61" s="357"/>
      <c r="F61" s="358">
        <f t="shared" si="4"/>
        <v>0</v>
      </c>
      <c r="G61" s="359" t="b">
        <f t="shared" si="5"/>
        <v>0</v>
      </c>
    </row>
    <row r="62" spans="1:7">
      <c r="A62" s="348"/>
      <c r="B62" s="354">
        <f t="shared" si="3"/>
        <v>0</v>
      </c>
      <c r="C62" s="355"/>
      <c r="D62" s="356"/>
      <c r="E62" s="357"/>
      <c r="F62" s="358">
        <f t="shared" si="4"/>
        <v>0</v>
      </c>
      <c r="G62" s="359" t="b">
        <f t="shared" si="5"/>
        <v>0</v>
      </c>
    </row>
    <row r="63" spans="1:7">
      <c r="A63" s="348"/>
      <c r="B63" s="354">
        <f t="shared" si="3"/>
        <v>0</v>
      </c>
      <c r="C63" s="355"/>
      <c r="D63" s="356"/>
      <c r="E63" s="357"/>
      <c r="F63" s="358">
        <f t="shared" si="4"/>
        <v>0</v>
      </c>
      <c r="G63" s="359" t="b">
        <f t="shared" si="5"/>
        <v>0</v>
      </c>
    </row>
    <row r="64" spans="1:7">
      <c r="A64" s="348"/>
      <c r="B64" s="354">
        <f t="shared" si="3"/>
        <v>0</v>
      </c>
      <c r="C64" s="355"/>
      <c r="D64" s="356"/>
      <c r="E64" s="357"/>
      <c r="F64" s="358">
        <f t="shared" si="4"/>
        <v>0</v>
      </c>
      <c r="G64" s="359" t="b">
        <f t="shared" si="5"/>
        <v>0</v>
      </c>
    </row>
    <row r="65" spans="1:7">
      <c r="A65" s="348"/>
      <c r="B65" s="354">
        <f t="shared" si="3"/>
        <v>0</v>
      </c>
      <c r="C65" s="355"/>
      <c r="D65" s="356"/>
      <c r="E65" s="357"/>
      <c r="F65" s="358">
        <f t="shared" si="4"/>
        <v>0</v>
      </c>
      <c r="G65" s="359" t="b">
        <f t="shared" si="5"/>
        <v>0</v>
      </c>
    </row>
    <row r="66" spans="1:7">
      <c r="A66" s="348"/>
      <c r="B66" s="354">
        <f t="shared" si="3"/>
        <v>0</v>
      </c>
      <c r="C66" s="355"/>
      <c r="D66" s="356"/>
      <c r="E66" s="357"/>
      <c r="F66" s="358">
        <f t="shared" si="4"/>
        <v>0</v>
      </c>
      <c r="G66" s="359" t="b">
        <f t="shared" si="5"/>
        <v>0</v>
      </c>
    </row>
    <row r="67" spans="1:7">
      <c r="A67" s="348"/>
      <c r="B67" s="354">
        <f t="shared" si="3"/>
        <v>0</v>
      </c>
      <c r="C67" s="355"/>
      <c r="D67" s="356"/>
      <c r="E67" s="357"/>
      <c r="F67" s="358">
        <f t="shared" si="4"/>
        <v>0</v>
      </c>
      <c r="G67" s="359" t="b">
        <f t="shared" si="5"/>
        <v>0</v>
      </c>
    </row>
    <row r="68" spans="1:7">
      <c r="A68" s="348"/>
      <c r="B68" s="354">
        <f t="shared" si="3"/>
        <v>0</v>
      </c>
      <c r="C68" s="355"/>
      <c r="D68" s="356"/>
      <c r="E68" s="357"/>
      <c r="F68" s="358">
        <f t="shared" si="4"/>
        <v>0</v>
      </c>
      <c r="G68" s="359" t="b">
        <f t="shared" si="5"/>
        <v>0</v>
      </c>
    </row>
    <row r="69" spans="1:7">
      <c r="A69" s="348"/>
      <c r="B69" s="354">
        <f t="shared" si="3"/>
        <v>0</v>
      </c>
      <c r="C69" s="355"/>
      <c r="D69" s="356"/>
      <c r="E69" s="357"/>
      <c r="F69" s="358">
        <f t="shared" si="4"/>
        <v>0</v>
      </c>
      <c r="G69" s="359" t="b">
        <f t="shared" si="5"/>
        <v>0</v>
      </c>
    </row>
    <row r="70" spans="1:7">
      <c r="A70" s="348"/>
      <c r="B70" s="354">
        <f t="shared" si="3"/>
        <v>0</v>
      </c>
      <c r="C70" s="355"/>
      <c r="D70" s="356"/>
      <c r="E70" s="357"/>
      <c r="F70" s="358">
        <f t="shared" si="4"/>
        <v>0</v>
      </c>
      <c r="G70" s="359" t="b">
        <f t="shared" si="5"/>
        <v>0</v>
      </c>
    </row>
    <row r="71" spans="1:7">
      <c r="A71" s="348"/>
      <c r="B71" s="354">
        <f t="shared" si="3"/>
        <v>0</v>
      </c>
      <c r="C71" s="355"/>
      <c r="D71" s="356"/>
      <c r="E71" s="357"/>
      <c r="F71" s="358">
        <f t="shared" si="4"/>
        <v>0</v>
      </c>
      <c r="G71" s="359" t="b">
        <f t="shared" si="5"/>
        <v>0</v>
      </c>
    </row>
    <row r="72" spans="1:7">
      <c r="A72" s="348"/>
      <c r="B72" s="354">
        <f t="shared" si="3"/>
        <v>0</v>
      </c>
      <c r="C72" s="355"/>
      <c r="D72" s="356"/>
      <c r="E72" s="357"/>
      <c r="F72" s="358">
        <f t="shared" si="4"/>
        <v>0</v>
      </c>
      <c r="G72" s="359" t="b">
        <f t="shared" si="5"/>
        <v>0</v>
      </c>
    </row>
    <row r="73" spans="1:7">
      <c r="A73" s="348"/>
      <c r="B73" s="354">
        <f t="shared" si="3"/>
        <v>0</v>
      </c>
      <c r="C73" s="355"/>
      <c r="D73" s="356"/>
      <c r="E73" s="357"/>
      <c r="F73" s="358">
        <f t="shared" si="4"/>
        <v>0</v>
      </c>
      <c r="G73" s="359" t="b">
        <f t="shared" si="5"/>
        <v>0</v>
      </c>
    </row>
    <row r="74" spans="1:7">
      <c r="A74" s="348"/>
      <c r="B74" s="354">
        <f t="shared" si="3"/>
        <v>0</v>
      </c>
      <c r="C74" s="355"/>
      <c r="D74" s="356"/>
      <c r="E74" s="357"/>
      <c r="F74" s="358">
        <f t="shared" si="4"/>
        <v>0</v>
      </c>
      <c r="G74" s="359" t="b">
        <f t="shared" si="5"/>
        <v>0</v>
      </c>
    </row>
    <row r="75" spans="1:7">
      <c r="A75" s="348"/>
      <c r="B75" s="354">
        <f t="shared" si="3"/>
        <v>0</v>
      </c>
      <c r="C75" s="355"/>
      <c r="D75" s="356"/>
      <c r="E75" s="357"/>
      <c r="F75" s="358">
        <f t="shared" si="4"/>
        <v>0</v>
      </c>
      <c r="G75" s="359" t="b">
        <f t="shared" si="5"/>
        <v>0</v>
      </c>
    </row>
    <row r="76" spans="1:7">
      <c r="A76" s="348"/>
      <c r="B76" s="354">
        <f t="shared" si="3"/>
        <v>0</v>
      </c>
      <c r="C76" s="355"/>
      <c r="D76" s="356"/>
      <c r="E76" s="357"/>
      <c r="F76" s="358">
        <f t="shared" si="4"/>
        <v>0</v>
      </c>
      <c r="G76" s="359" t="b">
        <f t="shared" si="5"/>
        <v>0</v>
      </c>
    </row>
    <row r="77" spans="1:7">
      <c r="A77" s="348"/>
      <c r="B77" s="354">
        <f t="shared" si="3"/>
        <v>0</v>
      </c>
      <c r="C77" s="355"/>
      <c r="D77" s="356"/>
      <c r="E77" s="357"/>
      <c r="F77" s="358">
        <f t="shared" si="4"/>
        <v>0</v>
      </c>
      <c r="G77" s="359" t="b">
        <f t="shared" si="5"/>
        <v>0</v>
      </c>
    </row>
    <row r="78" spans="1:7">
      <c r="A78" s="348"/>
      <c r="B78" s="354">
        <f t="shared" si="3"/>
        <v>0</v>
      </c>
      <c r="C78" s="355"/>
      <c r="D78" s="356"/>
      <c r="E78" s="357"/>
      <c r="F78" s="358">
        <f t="shared" si="4"/>
        <v>0</v>
      </c>
      <c r="G78" s="359" t="b">
        <f t="shared" si="5"/>
        <v>0</v>
      </c>
    </row>
  </sheetData>
  <mergeCells count="6">
    <mergeCell ref="B1:C1"/>
    <mergeCell ref="D1:E1"/>
    <mergeCell ref="F1:G1"/>
    <mergeCell ref="B41:C41"/>
    <mergeCell ref="D41:E41"/>
    <mergeCell ref="F41:G4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Q17"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'[11]Projected Maint Practices'!Q7</f>
        <v>5178.7299999999996</v>
      </c>
      <c r="D6" s="264">
        <f>'[11]True Maint Practices'!Q7</f>
        <v>240</v>
      </c>
    </row>
    <row r="7" spans="1:6" ht="15">
      <c r="B7" s="263">
        <v>2</v>
      </c>
      <c r="C7" s="264">
        <f>'[11]Projected Maint Practices'!Q8</f>
        <v>5178.7299999999996</v>
      </c>
      <c r="D7" s="264">
        <f>'[11]True Maint Practices'!Q8</f>
        <v>3799.1499999999996</v>
      </c>
    </row>
    <row r="8" spans="1:6" ht="15">
      <c r="B8" s="263">
        <v>3</v>
      </c>
      <c r="C8" s="264">
        <f>'[11]Projected Maint Practices'!Q9</f>
        <v>5178.7299999999996</v>
      </c>
      <c r="D8" s="264">
        <f>'[11]True Maint Practices'!Q9</f>
        <v>5421.92</v>
      </c>
    </row>
    <row r="9" spans="1:6" ht="15">
      <c r="B9" s="263">
        <v>4</v>
      </c>
      <c r="C9" s="264">
        <f>'[11]Projected Maint Practices'!Q10</f>
        <v>5178.7299999999996</v>
      </c>
      <c r="D9" s="264">
        <f>'[11]True Maint Practices'!Q10</f>
        <v>3782.77</v>
      </c>
    </row>
    <row r="10" spans="1:6" ht="15">
      <c r="B10" s="263">
        <v>5</v>
      </c>
      <c r="C10" s="264">
        <f>'[11]Projected Maint Practices'!Q11</f>
        <v>17505.73</v>
      </c>
      <c r="D10" s="264">
        <f>'[11]True Maint Practices'!Q11</f>
        <v>2946.8649999999998</v>
      </c>
    </row>
    <row r="11" spans="1:6" ht="15">
      <c r="B11" s="263">
        <v>6</v>
      </c>
      <c r="C11" s="264">
        <f>'[11]Projected Maint Practices'!Q12</f>
        <v>5178.7299999999996</v>
      </c>
      <c r="D11" s="264">
        <f>'[11]True Maint Practices'!Q12</f>
        <v>5320.9249999999993</v>
      </c>
    </row>
    <row r="12" spans="1:6" ht="15">
      <c r="B12" s="263">
        <v>7</v>
      </c>
      <c r="C12" s="264">
        <f>'[11]Projected Maint Practices'!Q13</f>
        <v>5178.7299999999996</v>
      </c>
      <c r="D12" s="264">
        <f>'[11]True Maint Practices'!Q13</f>
        <v>0</v>
      </c>
    </row>
    <row r="13" spans="1:6" ht="15">
      <c r="B13" s="263">
        <v>8</v>
      </c>
      <c r="C13" s="264">
        <f>'[11]Projected Maint Practices'!Q14</f>
        <v>0</v>
      </c>
      <c r="D13" s="264">
        <f>'[11]True Maint Practices'!Q14</f>
        <v>0</v>
      </c>
    </row>
    <row r="14" spans="1:6" ht="15">
      <c r="B14" s="263">
        <v>9</v>
      </c>
      <c r="C14" s="264">
        <f>'[11]Projected Maint Practices'!Q15</f>
        <v>0</v>
      </c>
      <c r="D14" s="264">
        <f>'[11]True Maint Practices'!Q15</f>
        <v>0</v>
      </c>
    </row>
    <row r="15" spans="1:6" ht="15">
      <c r="B15" s="263">
        <v>10</v>
      </c>
      <c r="C15" s="264">
        <f>'[11]Projected Maint Practices'!Q16</f>
        <v>0</v>
      </c>
      <c r="D15" s="264">
        <f>'[11]True Maint Practices'!Q16</f>
        <v>0</v>
      </c>
    </row>
    <row r="16" spans="1:6" ht="15">
      <c r="B16" s="263">
        <v>11</v>
      </c>
      <c r="C16" s="264">
        <f>'[11]Projected Maint Practices'!Q17</f>
        <v>0</v>
      </c>
      <c r="D16" s="264">
        <f>'[11]True Maint Practices'!Q17</f>
        <v>0</v>
      </c>
    </row>
    <row r="17" spans="2:4" ht="15">
      <c r="B17" s="263">
        <v>12</v>
      </c>
      <c r="C17" s="264">
        <f>'[11]Projected Maint Practices'!Q18</f>
        <v>0</v>
      </c>
      <c r="D17" s="264">
        <f>'[11]True Maint Practices'!Q18</f>
        <v>0</v>
      </c>
    </row>
    <row r="18" spans="2:4" ht="15">
      <c r="B18" s="260" t="s">
        <v>1</v>
      </c>
      <c r="C18" s="264">
        <f>SUM(C6:C17)</f>
        <v>48578.109999999986</v>
      </c>
      <c r="D18" s="264">
        <f>SUM(D6:D17)</f>
        <v>21511.629999999997</v>
      </c>
    </row>
  </sheetData>
  <printOptions horizontalCentered="1" verticalCentered="1"/>
  <pageMargins left="0.5" right="0.5" top="0.75" bottom="0.75" header="0.5" footer="0.5"/>
  <pageSetup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1"/>
  <sheetViews>
    <sheetView showGridLines="0" topLeftCell="A71" zoomScaleNormal="100" workbookViewId="0">
      <selection activeCell="J82" sqref="J82"/>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ht="16.5" customHeight="1">
      <c r="B1" s="43"/>
      <c r="C1" s="43"/>
      <c r="D1" s="43"/>
      <c r="E1" s="43"/>
      <c r="F1" s="43"/>
      <c r="G1" s="43"/>
      <c r="H1" s="43"/>
      <c r="I1" s="43"/>
      <c r="J1" s="43"/>
      <c r="K1" s="43"/>
      <c r="L1" s="43"/>
      <c r="M1" s="43"/>
      <c r="N1" s="43"/>
      <c r="O1" s="43"/>
      <c r="P1" s="43"/>
    </row>
    <row r="2" spans="2:22" ht="31.5" customHeight="1">
      <c r="B2" s="404" t="s">
        <v>1779</v>
      </c>
      <c r="C2" s="43"/>
      <c r="D2" s="43"/>
      <c r="E2" s="43"/>
      <c r="F2" s="43"/>
      <c r="G2" s="43"/>
      <c r="H2" s="43"/>
      <c r="I2" s="43"/>
      <c r="J2" s="43"/>
      <c r="K2" s="43"/>
      <c r="L2" s="43"/>
      <c r="M2" s="43"/>
      <c r="N2" s="43"/>
      <c r="O2" s="43" t="s">
        <v>233</v>
      </c>
      <c r="P2" s="43"/>
    </row>
    <row r="3" spans="2:22" ht="16.5" customHeight="1">
      <c r="B3" s="43"/>
      <c r="C3" s="43"/>
      <c r="D3" s="43"/>
      <c r="E3" s="43"/>
      <c r="F3" s="43"/>
      <c r="G3" s="43"/>
      <c r="H3" s="43"/>
      <c r="I3" s="43"/>
      <c r="J3" s="43"/>
      <c r="K3" s="43"/>
      <c r="L3" s="43"/>
      <c r="M3" s="43"/>
      <c r="N3" s="43"/>
      <c r="O3" s="43"/>
      <c r="P3" s="43"/>
    </row>
    <row r="12" spans="2:22" ht="16.5" customHeight="1">
      <c r="V12" s="1" t="s">
        <v>32</v>
      </c>
    </row>
    <row r="18" spans="2:16"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ht="16.5" customHeight="1">
      <c r="B19" s="101" t="s">
        <v>17</v>
      </c>
      <c r="C19" s="8"/>
      <c r="D19" s="8"/>
      <c r="E19" s="8"/>
      <c r="F19" s="8"/>
      <c r="G19" s="8"/>
      <c r="H19" s="8"/>
      <c r="I19" s="8">
        <v>825.76</v>
      </c>
      <c r="J19" s="8">
        <v>426.16</v>
      </c>
      <c r="K19" s="8">
        <v>110.94</v>
      </c>
      <c r="L19" s="8"/>
      <c r="M19" s="30"/>
      <c r="N19" s="8"/>
      <c r="O19" s="4">
        <f t="shared" ref="O19:O38" si="0">SUM(C19:N19)</f>
        <v>1362.8600000000001</v>
      </c>
      <c r="P19" s="102"/>
    </row>
    <row r="20" spans="2:16" ht="16.5" customHeight="1">
      <c r="B20" s="101" t="s">
        <v>16</v>
      </c>
      <c r="C20" s="8"/>
      <c r="D20" s="8"/>
      <c r="E20" s="8"/>
      <c r="F20" s="8"/>
      <c r="G20" s="8"/>
      <c r="H20" s="8"/>
      <c r="I20" s="8">
        <v>418.8</v>
      </c>
      <c r="J20" s="8"/>
      <c r="K20" s="8"/>
      <c r="L20" s="8"/>
      <c r="M20" s="30"/>
      <c r="N20" s="8"/>
      <c r="O20" s="4">
        <f t="shared" si="0"/>
        <v>418.8</v>
      </c>
      <c r="P20" s="102"/>
    </row>
    <row r="21" spans="2:16" ht="16.5" customHeight="1">
      <c r="B21" s="101" t="s">
        <v>15</v>
      </c>
      <c r="C21" s="8"/>
      <c r="D21" s="8"/>
      <c r="E21" s="8"/>
      <c r="F21" s="8"/>
      <c r="G21" s="8"/>
      <c r="H21" s="8"/>
      <c r="I21" s="8">
        <v>48.09</v>
      </c>
      <c r="J21" s="8"/>
      <c r="K21" s="8"/>
      <c r="L21" s="8"/>
      <c r="M21" s="30"/>
      <c r="N21" s="8"/>
      <c r="O21" s="4">
        <f t="shared" si="0"/>
        <v>48.09</v>
      </c>
      <c r="P21" s="102"/>
    </row>
    <row r="22" spans="2:16" ht="16.5" customHeight="1">
      <c r="B22" s="101" t="s">
        <v>14</v>
      </c>
      <c r="C22" s="8"/>
      <c r="D22" s="8"/>
      <c r="E22" s="8"/>
      <c r="F22" s="8"/>
      <c r="G22" s="8"/>
      <c r="H22" s="8"/>
      <c r="I22" s="8"/>
      <c r="J22" s="8"/>
      <c r="K22" s="8"/>
      <c r="L22" s="8"/>
      <c r="M22" s="30"/>
      <c r="N22" s="8"/>
      <c r="O22" s="4">
        <f t="shared" si="0"/>
        <v>0</v>
      </c>
      <c r="P22" s="102"/>
    </row>
    <row r="23" spans="2:16" ht="16.5" customHeight="1">
      <c r="B23" s="101" t="s">
        <v>495</v>
      </c>
      <c r="C23" s="8"/>
      <c r="D23" s="8"/>
      <c r="E23" s="8"/>
      <c r="F23" s="8"/>
      <c r="G23" s="8"/>
      <c r="H23" s="8"/>
      <c r="I23" s="8"/>
      <c r="J23" s="8"/>
      <c r="K23" s="8"/>
      <c r="L23" s="8"/>
      <c r="M23" s="30"/>
      <c r="N23" s="8"/>
      <c r="O23" s="4">
        <f t="shared" si="0"/>
        <v>0</v>
      </c>
      <c r="P23" s="102"/>
    </row>
    <row r="24" spans="2:16" ht="16.5" customHeight="1">
      <c r="B24" s="103" t="s">
        <v>12</v>
      </c>
      <c r="C24" s="17"/>
      <c r="D24" s="17"/>
      <c r="E24" s="17"/>
      <c r="F24" s="17"/>
      <c r="G24" s="17"/>
      <c r="H24" s="17"/>
      <c r="I24" s="17">
        <v>163.85</v>
      </c>
      <c r="J24" s="17">
        <v>1.8</v>
      </c>
      <c r="K24" s="17">
        <v>3</v>
      </c>
      <c r="L24" s="17"/>
      <c r="M24" s="35"/>
      <c r="N24" s="17"/>
      <c r="O24" s="4">
        <f t="shared" si="0"/>
        <v>168.65</v>
      </c>
      <c r="P24" s="102"/>
    </row>
    <row r="25" spans="2:16" ht="16.5" customHeight="1">
      <c r="B25" s="103" t="s">
        <v>11</v>
      </c>
      <c r="C25" s="17"/>
      <c r="D25" s="17"/>
      <c r="E25" s="17"/>
      <c r="F25" s="17"/>
      <c r="G25" s="17"/>
      <c r="H25" s="17"/>
      <c r="I25" s="17"/>
      <c r="J25" s="17"/>
      <c r="K25" s="17"/>
      <c r="L25" s="17"/>
      <c r="M25" s="35"/>
      <c r="N25" s="17"/>
      <c r="O25" s="4">
        <f t="shared" si="0"/>
        <v>0</v>
      </c>
      <c r="P25" s="102"/>
    </row>
    <row r="26" spans="2:16" ht="16.5" customHeight="1">
      <c r="B26" s="103" t="s">
        <v>10</v>
      </c>
      <c r="C26" s="17"/>
      <c r="D26" s="17"/>
      <c r="E26" s="17"/>
      <c r="F26" s="17"/>
      <c r="G26" s="17"/>
      <c r="H26" s="17"/>
      <c r="I26" s="17"/>
      <c r="J26" s="17"/>
      <c r="K26" s="17"/>
      <c r="L26" s="17"/>
      <c r="M26" s="35"/>
      <c r="N26" s="17"/>
      <c r="O26" s="4">
        <f t="shared" si="0"/>
        <v>0</v>
      </c>
      <c r="P26" s="102"/>
    </row>
    <row r="27" spans="2:16" ht="16.5" customHeight="1">
      <c r="B27" s="103" t="s">
        <v>9</v>
      </c>
      <c r="C27" s="17"/>
      <c r="D27" s="17"/>
      <c r="E27" s="17"/>
      <c r="F27" s="17"/>
      <c r="G27" s="17"/>
      <c r="H27" s="17"/>
      <c r="I27" s="17"/>
      <c r="J27" s="17"/>
      <c r="K27" s="17"/>
      <c r="L27" s="17"/>
      <c r="M27" s="35"/>
      <c r="N27" s="17"/>
      <c r="O27" s="4">
        <f t="shared" si="0"/>
        <v>0</v>
      </c>
      <c r="P27" s="102"/>
    </row>
    <row r="28" spans="2:16" ht="16.5" hidden="1" customHeight="1">
      <c r="B28" s="103"/>
      <c r="C28" s="15"/>
      <c r="D28" s="15"/>
      <c r="E28" s="15"/>
      <c r="F28" s="15"/>
      <c r="G28" s="15"/>
      <c r="H28" s="15"/>
      <c r="I28" s="15"/>
      <c r="J28" s="15"/>
      <c r="K28" s="15"/>
      <c r="L28" s="15"/>
      <c r="M28" s="16"/>
      <c r="N28" s="15"/>
      <c r="O28" s="4">
        <f t="shared" si="0"/>
        <v>0</v>
      </c>
      <c r="P28" s="102"/>
    </row>
    <row r="29" spans="2:16" ht="16.5" hidden="1" customHeight="1">
      <c r="B29" s="103"/>
      <c r="C29" s="15"/>
      <c r="D29" s="15"/>
      <c r="E29" s="15"/>
      <c r="F29" s="15"/>
      <c r="G29" s="15"/>
      <c r="H29" s="15"/>
      <c r="I29" s="15"/>
      <c r="J29" s="15"/>
      <c r="K29" s="15"/>
      <c r="L29" s="15"/>
      <c r="M29" s="16"/>
      <c r="N29" s="15"/>
      <c r="O29" s="4">
        <f t="shared" si="0"/>
        <v>0</v>
      </c>
      <c r="P29" s="102"/>
    </row>
    <row r="30" spans="2:16" ht="16.5" hidden="1" customHeight="1">
      <c r="B30" s="103"/>
      <c r="C30" s="15"/>
      <c r="D30" s="15"/>
      <c r="E30" s="15"/>
      <c r="F30" s="15"/>
      <c r="G30" s="15"/>
      <c r="H30" s="15"/>
      <c r="I30" s="15"/>
      <c r="J30" s="15"/>
      <c r="K30" s="15"/>
      <c r="L30" s="15"/>
      <c r="M30" s="16"/>
      <c r="N30" s="15"/>
      <c r="O30" s="4">
        <f t="shared" si="0"/>
        <v>0</v>
      </c>
      <c r="P30" s="102"/>
    </row>
    <row r="31" spans="2:16" ht="16.5" hidden="1" customHeight="1">
      <c r="B31" s="103"/>
      <c r="C31" s="15"/>
      <c r="D31" s="15"/>
      <c r="E31" s="15"/>
      <c r="F31" s="15"/>
      <c r="G31" s="15"/>
      <c r="H31" s="15"/>
      <c r="I31" s="15"/>
      <c r="J31" s="15"/>
      <c r="K31" s="15"/>
      <c r="L31" s="15"/>
      <c r="M31" s="16"/>
      <c r="N31" s="15"/>
      <c r="O31" s="4">
        <f t="shared" si="0"/>
        <v>0</v>
      </c>
      <c r="P31" s="102"/>
    </row>
    <row r="32" spans="2:16" ht="16.5" customHeight="1">
      <c r="B32" s="103" t="s">
        <v>8</v>
      </c>
      <c r="C32" s="4"/>
      <c r="D32" s="4"/>
      <c r="E32" s="4"/>
      <c r="F32" s="4"/>
      <c r="G32" s="4"/>
      <c r="H32" s="4"/>
      <c r="I32" s="4"/>
      <c r="J32" s="4"/>
      <c r="K32" s="4"/>
      <c r="L32" s="4"/>
      <c r="M32" s="33"/>
      <c r="N32" s="4"/>
      <c r="O32" s="4">
        <f t="shared" si="0"/>
        <v>0</v>
      </c>
      <c r="P32" s="102"/>
    </row>
    <row r="33" spans="2:18" ht="16.5" customHeight="1">
      <c r="B33" s="103" t="s">
        <v>7</v>
      </c>
      <c r="C33" s="12"/>
      <c r="D33" s="12"/>
      <c r="E33" s="12"/>
      <c r="F33" s="12"/>
      <c r="G33" s="12"/>
      <c r="H33" s="12"/>
      <c r="I33" s="12"/>
      <c r="J33" s="12"/>
      <c r="K33" s="12"/>
      <c r="L33" s="12"/>
      <c r="M33" s="32"/>
      <c r="N33" s="12"/>
      <c r="O33" s="4">
        <f t="shared" si="0"/>
        <v>0</v>
      </c>
      <c r="P33" s="102"/>
    </row>
    <row r="34" spans="2:18" ht="16.5" customHeight="1">
      <c r="B34" s="103" t="s">
        <v>6</v>
      </c>
      <c r="C34" s="41"/>
      <c r="D34" s="41"/>
      <c r="E34" s="41"/>
      <c r="F34" s="41"/>
      <c r="G34" s="41"/>
      <c r="H34" s="41"/>
      <c r="I34" s="41"/>
      <c r="J34" s="41"/>
      <c r="K34" s="41"/>
      <c r="L34" s="41"/>
      <c r="M34" s="42"/>
      <c r="N34" s="41"/>
      <c r="O34" s="4">
        <f t="shared" si="0"/>
        <v>0</v>
      </c>
      <c r="P34" s="102"/>
    </row>
    <row r="35" spans="2:18" ht="16.5" customHeight="1">
      <c r="B35" s="103" t="s">
        <v>5</v>
      </c>
      <c r="C35" s="8"/>
      <c r="D35" s="8"/>
      <c r="E35" s="8"/>
      <c r="F35" s="8"/>
      <c r="G35" s="8"/>
      <c r="H35" s="8"/>
      <c r="I35" s="8"/>
      <c r="J35" s="8">
        <v>15.66</v>
      </c>
      <c r="K35" s="8">
        <v>7.83</v>
      </c>
      <c r="L35" s="8"/>
      <c r="M35" s="30"/>
      <c r="N35" s="8"/>
      <c r="O35" s="4">
        <f t="shared" si="0"/>
        <v>23.490000000000002</v>
      </c>
      <c r="P35" s="102"/>
    </row>
    <row r="36" spans="2:18" ht="16.5" customHeight="1">
      <c r="B36" s="103" t="s">
        <v>171</v>
      </c>
      <c r="C36" s="8"/>
      <c r="D36" s="8"/>
      <c r="E36" s="8"/>
      <c r="F36" s="8"/>
      <c r="G36" s="8"/>
      <c r="H36" s="8"/>
      <c r="I36" s="8"/>
      <c r="J36" s="8"/>
      <c r="K36" s="8"/>
      <c r="L36" s="8"/>
      <c r="M36" s="30"/>
      <c r="N36" s="8"/>
      <c r="O36" s="4">
        <f t="shared" si="0"/>
        <v>0</v>
      </c>
      <c r="P36" s="102"/>
    </row>
    <row r="37" spans="2:18" ht="16.5" customHeight="1">
      <c r="B37" s="103" t="s">
        <v>3</v>
      </c>
      <c r="C37" s="8"/>
      <c r="D37" s="8"/>
      <c r="E37" s="8"/>
      <c r="F37" s="8"/>
      <c r="G37" s="8"/>
      <c r="H37" s="8"/>
      <c r="I37" s="8">
        <v>137.44999999999999</v>
      </c>
      <c r="J37" s="8">
        <v>55.69</v>
      </c>
      <c r="K37" s="8">
        <v>380.33</v>
      </c>
      <c r="L37" s="8"/>
      <c r="M37" s="30"/>
      <c r="N37" s="8"/>
      <c r="O37" s="4">
        <f t="shared" si="0"/>
        <v>573.47</v>
      </c>
      <c r="P37" s="102"/>
    </row>
    <row r="38" spans="2:18" ht="16.5" customHeight="1">
      <c r="B38" s="103" t="s">
        <v>2</v>
      </c>
      <c r="C38" s="5"/>
      <c r="D38" s="5"/>
      <c r="E38" s="5"/>
      <c r="F38" s="5"/>
      <c r="G38" s="5"/>
      <c r="H38" s="5"/>
      <c r="I38" s="5">
        <v>280</v>
      </c>
      <c r="J38" s="5">
        <v>100</v>
      </c>
      <c r="K38" s="5">
        <v>170</v>
      </c>
      <c r="L38" s="5"/>
      <c r="M38" s="29"/>
      <c r="N38" s="5"/>
      <c r="O38" s="4">
        <f t="shared" si="0"/>
        <v>550</v>
      </c>
      <c r="P38" s="102"/>
    </row>
    <row r="39" spans="2:18" ht="16.5" customHeight="1">
      <c r="B39" s="101" t="s">
        <v>1</v>
      </c>
      <c r="C39" s="104">
        <f>SUBTOTAL(109,ExpenseSummary68[Jan])</f>
        <v>0</v>
      </c>
      <c r="D39" s="105">
        <f>SUBTOTAL(109,ExpenseSummary68[Feb])</f>
        <v>0</v>
      </c>
      <c r="E39" s="104">
        <f>SUBTOTAL(109,ExpenseSummary68[Mar])</f>
        <v>0</v>
      </c>
      <c r="F39" s="105">
        <f>SUBTOTAL(109,ExpenseSummary68[Apr])</f>
        <v>0</v>
      </c>
      <c r="G39" s="104">
        <f>SUBTOTAL(109,ExpenseSummary68[May])</f>
        <v>0</v>
      </c>
      <c r="H39" s="105">
        <f>SUBTOTAL(109,ExpenseSummary68[Jun])</f>
        <v>0</v>
      </c>
      <c r="I39" s="104">
        <f>SUBTOTAL(109,ExpenseSummary68[Jul])</f>
        <v>1873.9499999999998</v>
      </c>
      <c r="J39" s="105">
        <f>SUBTOTAL(109,ExpenseSummary68[Aug])</f>
        <v>599.31000000000006</v>
      </c>
      <c r="K39" s="104">
        <f>SUBTOTAL(109,ExpenseSummary68[Sep])</f>
        <v>672.09999999999991</v>
      </c>
      <c r="L39" s="105">
        <f>SUBTOTAL(109,ExpenseSummary68[Oct])</f>
        <v>0</v>
      </c>
      <c r="M39" s="267">
        <f>SUBTOTAL(109,ExpenseSummary68[Nov])</f>
        <v>0</v>
      </c>
      <c r="N39" s="105">
        <f>SUBTOTAL(109,ExpenseSummary68[Dec])</f>
        <v>0</v>
      </c>
      <c r="O39" s="106">
        <f>SUBTOTAL(109,ExpenseSummary68[Total])</f>
        <v>3145.36</v>
      </c>
      <c r="P39" s="102"/>
    </row>
    <row r="40" spans="2:18" ht="16.5" customHeight="1">
      <c r="B40" s="28"/>
      <c r="C40" s="28"/>
    </row>
    <row r="41" spans="2:18" ht="16.5" customHeight="1">
      <c r="B41" s="268"/>
      <c r="C41" s="268"/>
      <c r="D41" s="269"/>
      <c r="E41" s="270" t="s">
        <v>118</v>
      </c>
      <c r="F41" s="270"/>
      <c r="G41" s="270"/>
      <c r="H41" s="270"/>
      <c r="I41" s="270"/>
      <c r="J41" s="270"/>
      <c r="K41" s="270"/>
      <c r="L41" s="270"/>
      <c r="M41" s="270"/>
      <c r="N41" s="270"/>
      <c r="O41" s="270"/>
      <c r="P41" s="270"/>
      <c r="Q41" s="270"/>
      <c r="R41" s="270"/>
    </row>
    <row r="42" spans="2:18" ht="16.5" customHeight="1">
      <c r="B42" s="271" t="s">
        <v>496</v>
      </c>
      <c r="C42" s="272" t="s">
        <v>497</v>
      </c>
      <c r="D42" s="269"/>
      <c r="E42" s="273" t="s">
        <v>1780</v>
      </c>
      <c r="F42" s="273"/>
      <c r="G42" s="273"/>
      <c r="H42" s="273"/>
      <c r="I42" s="273"/>
      <c r="J42" s="273"/>
      <c r="K42" s="273"/>
      <c r="L42" s="273"/>
      <c r="M42" s="273"/>
      <c r="N42" s="273"/>
      <c r="O42" s="273"/>
      <c r="P42" s="273"/>
      <c r="Q42" s="273"/>
      <c r="R42" s="273"/>
    </row>
    <row r="43" spans="2:18" ht="16.5" customHeight="1">
      <c r="B43" s="274" t="s">
        <v>115</v>
      </c>
      <c r="C43" s="275" t="s">
        <v>289</v>
      </c>
      <c r="D43" s="269"/>
      <c r="E43" s="270" t="s">
        <v>113</v>
      </c>
      <c r="F43" s="270"/>
      <c r="G43" s="270"/>
      <c r="H43" s="270"/>
      <c r="I43" s="270"/>
      <c r="J43" s="270"/>
      <c r="K43" s="270"/>
      <c r="L43" s="270"/>
      <c r="M43" s="270"/>
      <c r="N43" s="270"/>
      <c r="O43" s="270"/>
      <c r="P43" s="270"/>
      <c r="Q43" s="270"/>
      <c r="R43" s="270"/>
    </row>
    <row r="44" spans="2:18" ht="16.5" customHeight="1" thickBot="1">
      <c r="B44" s="274" t="s">
        <v>112</v>
      </c>
      <c r="C44" s="276">
        <v>93175</v>
      </c>
      <c r="D44" s="268"/>
      <c r="E44" s="273" t="s">
        <v>498</v>
      </c>
      <c r="F44" s="273"/>
      <c r="G44" s="273"/>
      <c r="H44" s="273"/>
      <c r="I44" s="273"/>
      <c r="J44" s="273"/>
      <c r="K44" s="273"/>
      <c r="L44" s="273"/>
      <c r="M44" s="273"/>
      <c r="N44" s="273"/>
      <c r="O44" s="273"/>
      <c r="P44" s="273"/>
      <c r="Q44" s="273"/>
      <c r="R44" s="273"/>
    </row>
    <row r="45" spans="2:18" ht="16.5" customHeight="1">
      <c r="B45" s="274" t="s">
        <v>110</v>
      </c>
      <c r="C45" s="277"/>
      <c r="D45" s="260"/>
      <c r="E45" s="278" t="s">
        <v>109</v>
      </c>
      <c r="F45" s="279" t="s">
        <v>108</v>
      </c>
      <c r="G45" s="280"/>
      <c r="H45" s="279" t="s">
        <v>107</v>
      </c>
      <c r="I45" s="280"/>
      <c r="J45" s="279" t="s">
        <v>106</v>
      </c>
      <c r="K45" s="280"/>
      <c r="L45" s="279" t="s">
        <v>105</v>
      </c>
      <c r="M45" s="280"/>
      <c r="N45" s="279" t="s">
        <v>96</v>
      </c>
      <c r="O45" s="280"/>
      <c r="P45" s="279" t="s">
        <v>104</v>
      </c>
      <c r="Q45" s="280"/>
      <c r="R45" s="281" t="s">
        <v>103</v>
      </c>
    </row>
    <row r="46" spans="2:18" ht="16.5" customHeight="1">
      <c r="B46" s="282" t="s">
        <v>102</v>
      </c>
      <c r="C46" s="283">
        <v>283</v>
      </c>
      <c r="D46" s="262"/>
      <c r="E46" s="284"/>
      <c r="F46" s="285" t="s">
        <v>101</v>
      </c>
      <c r="G46" s="286" t="s">
        <v>100</v>
      </c>
      <c r="H46" s="287" t="s">
        <v>101</v>
      </c>
      <c r="I46" s="286" t="s">
        <v>100</v>
      </c>
      <c r="J46" s="287" t="s">
        <v>101</v>
      </c>
      <c r="K46" s="286" t="s">
        <v>100</v>
      </c>
      <c r="L46" s="287" t="s">
        <v>101</v>
      </c>
      <c r="M46" s="405" t="s">
        <v>100</v>
      </c>
      <c r="N46" s="287" t="s">
        <v>101</v>
      </c>
      <c r="O46" s="286" t="s">
        <v>100</v>
      </c>
      <c r="P46" s="287" t="s">
        <v>101</v>
      </c>
      <c r="Q46" s="286" t="s">
        <v>100</v>
      </c>
      <c r="R46" s="284"/>
    </row>
    <row r="47" spans="2:18" ht="16.5" customHeight="1">
      <c r="B47" s="274" t="s">
        <v>99</v>
      </c>
      <c r="C47" s="288">
        <v>6867</v>
      </c>
      <c r="D47" s="260"/>
      <c r="E47" s="289" t="s">
        <v>87</v>
      </c>
      <c r="F47" s="290">
        <v>7</v>
      </c>
      <c r="G47" s="406">
        <f t="shared" ref="G47:G58" si="1">IF(F47&gt;0,($B$6*F47),0)</f>
        <v>0</v>
      </c>
      <c r="H47" s="292"/>
      <c r="I47" s="291">
        <f t="shared" ref="I47:I58" si="2">IF(H47&gt;0,($B$7*C59),0)</f>
        <v>0</v>
      </c>
      <c r="J47" s="293"/>
      <c r="K47" s="291">
        <f t="shared" ref="K47:K58" si="3">IF(J47&gt;0,($B$8*C59),0)</f>
        <v>0</v>
      </c>
      <c r="L47" s="292">
        <v>3</v>
      </c>
      <c r="M47" s="406">
        <f t="shared" ref="M47:M58" si="4">IF(L47&gt;0,($B$9*L47),0)</f>
        <v>0</v>
      </c>
      <c r="N47" s="295">
        <v>2</v>
      </c>
      <c r="O47" s="291">
        <f t="shared" ref="O47:O58" si="5">IF(N47&gt;0,($B$10*N47),0)</f>
        <v>0</v>
      </c>
      <c r="P47" s="295">
        <v>2</v>
      </c>
      <c r="Q47" s="291">
        <f t="shared" ref="Q47:Q58" si="6">IF(P47&gt;0,($B$17*P47),0)</f>
        <v>0</v>
      </c>
      <c r="R47" s="296">
        <f t="shared" ref="R47:R58" si="7">SUM(Q47+O47+M47+K47+I47+G47)</f>
        <v>0</v>
      </c>
    </row>
    <row r="48" spans="2:18" ht="16.5" customHeight="1">
      <c r="B48" s="274" t="s">
        <v>98</v>
      </c>
      <c r="C48" s="288">
        <v>5460</v>
      </c>
      <c r="D48" s="260"/>
      <c r="E48" s="289" t="s">
        <v>86</v>
      </c>
      <c r="F48" s="290">
        <v>7</v>
      </c>
      <c r="G48" s="406">
        <f t="shared" si="1"/>
        <v>0</v>
      </c>
      <c r="H48" s="292"/>
      <c r="I48" s="291">
        <f t="shared" si="2"/>
        <v>0</v>
      </c>
      <c r="J48" s="293"/>
      <c r="K48" s="291">
        <f t="shared" si="3"/>
        <v>0</v>
      </c>
      <c r="L48" s="292">
        <v>3</v>
      </c>
      <c r="M48" s="406">
        <f t="shared" si="4"/>
        <v>0</v>
      </c>
      <c r="N48" s="295">
        <v>2</v>
      </c>
      <c r="O48" s="291">
        <f t="shared" si="5"/>
        <v>0</v>
      </c>
      <c r="P48" s="295">
        <v>2</v>
      </c>
      <c r="Q48" s="291">
        <f t="shared" si="6"/>
        <v>0</v>
      </c>
      <c r="R48" s="296">
        <f t="shared" si="7"/>
        <v>0</v>
      </c>
    </row>
    <row r="49" spans="2:18" ht="16.5" customHeight="1">
      <c r="B49" s="274" t="s">
        <v>361</v>
      </c>
      <c r="C49" s="288">
        <v>324</v>
      </c>
      <c r="D49" s="260"/>
      <c r="E49" s="289" t="s">
        <v>84</v>
      </c>
      <c r="F49" s="290">
        <v>7</v>
      </c>
      <c r="G49" s="406">
        <f t="shared" si="1"/>
        <v>0</v>
      </c>
      <c r="H49" s="292"/>
      <c r="I49" s="291">
        <f t="shared" si="2"/>
        <v>0</v>
      </c>
      <c r="J49" s="293"/>
      <c r="K49" s="291">
        <f t="shared" si="3"/>
        <v>0</v>
      </c>
      <c r="L49" s="292">
        <v>3</v>
      </c>
      <c r="M49" s="406">
        <f t="shared" si="4"/>
        <v>0</v>
      </c>
      <c r="N49" s="295">
        <v>2</v>
      </c>
      <c r="O49" s="291">
        <f t="shared" si="5"/>
        <v>0</v>
      </c>
      <c r="P49" s="295">
        <v>2</v>
      </c>
      <c r="Q49" s="291">
        <f t="shared" si="6"/>
        <v>0</v>
      </c>
      <c r="R49" s="296">
        <f t="shared" si="7"/>
        <v>0</v>
      </c>
    </row>
    <row r="50" spans="2:18" ht="16.5" customHeight="1">
      <c r="B50" s="274" t="s">
        <v>362</v>
      </c>
      <c r="C50" s="288">
        <v>1050</v>
      </c>
      <c r="D50" s="260"/>
      <c r="E50" s="289" t="s">
        <v>83</v>
      </c>
      <c r="F50" s="290">
        <v>7</v>
      </c>
      <c r="G50" s="406">
        <f t="shared" si="1"/>
        <v>0</v>
      </c>
      <c r="H50" s="292"/>
      <c r="I50" s="291">
        <f t="shared" si="2"/>
        <v>0</v>
      </c>
      <c r="J50" s="293"/>
      <c r="K50" s="291">
        <f t="shared" si="3"/>
        <v>0</v>
      </c>
      <c r="L50" s="292">
        <v>3</v>
      </c>
      <c r="M50" s="406">
        <f t="shared" si="4"/>
        <v>0</v>
      </c>
      <c r="N50" s="295">
        <v>2</v>
      </c>
      <c r="O50" s="291">
        <f t="shared" si="5"/>
        <v>0</v>
      </c>
      <c r="P50" s="295">
        <v>2</v>
      </c>
      <c r="Q50" s="291">
        <f t="shared" si="6"/>
        <v>0</v>
      </c>
      <c r="R50" s="296">
        <f t="shared" si="7"/>
        <v>0</v>
      </c>
    </row>
    <row r="51" spans="2:18" ht="16.5" customHeight="1">
      <c r="B51" s="274" t="s">
        <v>95</v>
      </c>
      <c r="C51" s="141">
        <v>35000</v>
      </c>
      <c r="D51" s="260"/>
      <c r="E51" s="289" t="s">
        <v>82</v>
      </c>
      <c r="F51" s="290">
        <v>7</v>
      </c>
      <c r="G51" s="406">
        <f t="shared" si="1"/>
        <v>0</v>
      </c>
      <c r="H51" s="292">
        <v>1</v>
      </c>
      <c r="I51" s="291">
        <f t="shared" si="2"/>
        <v>0</v>
      </c>
      <c r="J51" s="293">
        <v>1</v>
      </c>
      <c r="K51" s="291">
        <f t="shared" si="3"/>
        <v>0</v>
      </c>
      <c r="L51" s="292">
        <v>3</v>
      </c>
      <c r="M51" s="406">
        <f t="shared" si="4"/>
        <v>0</v>
      </c>
      <c r="N51" s="295">
        <v>2</v>
      </c>
      <c r="O51" s="291">
        <f t="shared" si="5"/>
        <v>0</v>
      </c>
      <c r="P51" s="295">
        <v>2</v>
      </c>
      <c r="Q51" s="291">
        <f t="shared" si="6"/>
        <v>0</v>
      </c>
      <c r="R51" s="296">
        <f t="shared" si="7"/>
        <v>0</v>
      </c>
    </row>
    <row r="52" spans="2:18" ht="16.5" customHeight="1">
      <c r="B52" s="274" t="s">
        <v>94</v>
      </c>
      <c r="C52" s="141">
        <v>5000</v>
      </c>
      <c r="D52" s="260"/>
      <c r="E52" s="289" t="s">
        <v>80</v>
      </c>
      <c r="F52" s="290">
        <v>7</v>
      </c>
      <c r="G52" s="406">
        <f t="shared" si="1"/>
        <v>0</v>
      </c>
      <c r="H52" s="292"/>
      <c r="I52" s="291">
        <f t="shared" si="2"/>
        <v>0</v>
      </c>
      <c r="J52" s="293"/>
      <c r="K52" s="291">
        <f t="shared" si="3"/>
        <v>0</v>
      </c>
      <c r="L52" s="292">
        <v>3</v>
      </c>
      <c r="M52" s="406">
        <f t="shared" si="4"/>
        <v>0</v>
      </c>
      <c r="N52" s="295">
        <v>2</v>
      </c>
      <c r="O52" s="291">
        <f t="shared" si="5"/>
        <v>0</v>
      </c>
      <c r="P52" s="295">
        <v>2</v>
      </c>
      <c r="Q52" s="291">
        <f t="shared" si="6"/>
        <v>0</v>
      </c>
      <c r="R52" s="296">
        <f t="shared" si="7"/>
        <v>0</v>
      </c>
    </row>
    <row r="53" spans="2:18" ht="16.5" customHeight="1">
      <c r="B53" s="274" t="s">
        <v>93</v>
      </c>
      <c r="C53" s="141">
        <v>175000</v>
      </c>
      <c r="D53" s="260"/>
      <c r="E53" s="289" t="s">
        <v>79</v>
      </c>
      <c r="F53" s="290">
        <v>7</v>
      </c>
      <c r="G53" s="406">
        <f t="shared" si="1"/>
        <v>0</v>
      </c>
      <c r="H53" s="292"/>
      <c r="I53" s="291">
        <f t="shared" si="2"/>
        <v>0</v>
      </c>
      <c r="J53" s="293"/>
      <c r="K53" s="291">
        <f t="shared" si="3"/>
        <v>0</v>
      </c>
      <c r="L53" s="292">
        <v>3</v>
      </c>
      <c r="M53" s="406">
        <f t="shared" si="4"/>
        <v>0</v>
      </c>
      <c r="N53" s="295">
        <v>2</v>
      </c>
      <c r="O53" s="291">
        <f t="shared" si="5"/>
        <v>0</v>
      </c>
      <c r="P53" s="295">
        <v>2</v>
      </c>
      <c r="Q53" s="291">
        <f t="shared" si="6"/>
        <v>0</v>
      </c>
      <c r="R53" s="296">
        <f t="shared" si="7"/>
        <v>0</v>
      </c>
    </row>
    <row r="54" spans="2:18" ht="16.5" customHeight="1">
      <c r="B54" s="274" t="s">
        <v>92</v>
      </c>
      <c r="C54" s="141">
        <v>175000</v>
      </c>
      <c r="D54" s="260"/>
      <c r="E54" s="289" t="s">
        <v>78</v>
      </c>
      <c r="F54" s="290">
        <v>7</v>
      </c>
      <c r="G54" s="406">
        <f t="shared" si="1"/>
        <v>0</v>
      </c>
      <c r="H54" s="292"/>
      <c r="I54" s="291">
        <f t="shared" si="2"/>
        <v>0</v>
      </c>
      <c r="J54" s="293"/>
      <c r="K54" s="291">
        <f t="shared" si="3"/>
        <v>0</v>
      </c>
      <c r="L54" s="292">
        <v>3</v>
      </c>
      <c r="M54" s="406">
        <f t="shared" si="4"/>
        <v>0</v>
      </c>
      <c r="N54" s="295">
        <v>2</v>
      </c>
      <c r="O54" s="291">
        <f t="shared" si="5"/>
        <v>0</v>
      </c>
      <c r="P54" s="295">
        <v>2</v>
      </c>
      <c r="Q54" s="291">
        <f t="shared" si="6"/>
        <v>0</v>
      </c>
      <c r="R54" s="296">
        <f t="shared" si="7"/>
        <v>0</v>
      </c>
    </row>
    <row r="55" spans="2:18" ht="16.5" customHeight="1">
      <c r="B55" s="274" t="s">
        <v>91</v>
      </c>
      <c r="C55" s="141">
        <v>12000</v>
      </c>
      <c r="D55" s="260"/>
      <c r="E55" s="289" t="s">
        <v>77</v>
      </c>
      <c r="F55" s="290">
        <v>7</v>
      </c>
      <c r="G55" s="406">
        <f t="shared" si="1"/>
        <v>0</v>
      </c>
      <c r="H55" s="292"/>
      <c r="I55" s="291">
        <f t="shared" si="2"/>
        <v>0</v>
      </c>
      <c r="J55" s="293"/>
      <c r="K55" s="291">
        <f t="shared" si="3"/>
        <v>0</v>
      </c>
      <c r="L55" s="292">
        <v>3</v>
      </c>
      <c r="M55" s="406">
        <f t="shared" si="4"/>
        <v>0</v>
      </c>
      <c r="N55" s="295">
        <v>2</v>
      </c>
      <c r="O55" s="291">
        <f t="shared" si="5"/>
        <v>0</v>
      </c>
      <c r="P55" s="295">
        <v>2</v>
      </c>
      <c r="Q55" s="291">
        <f t="shared" si="6"/>
        <v>0</v>
      </c>
      <c r="R55" s="296">
        <f t="shared" si="7"/>
        <v>0</v>
      </c>
    </row>
    <row r="56" spans="2:18" ht="16.5" customHeight="1">
      <c r="B56" s="274" t="s">
        <v>90</v>
      </c>
      <c r="C56" s="141">
        <v>25000</v>
      </c>
      <c r="D56" s="260"/>
      <c r="E56" s="289" t="s">
        <v>76</v>
      </c>
      <c r="F56" s="290">
        <v>7</v>
      </c>
      <c r="G56" s="406">
        <f t="shared" si="1"/>
        <v>0</v>
      </c>
      <c r="H56" s="292"/>
      <c r="I56" s="291">
        <f t="shared" si="2"/>
        <v>0</v>
      </c>
      <c r="J56" s="293"/>
      <c r="K56" s="291">
        <f t="shared" si="3"/>
        <v>0</v>
      </c>
      <c r="L56" s="292">
        <v>3</v>
      </c>
      <c r="M56" s="406">
        <f t="shared" si="4"/>
        <v>0</v>
      </c>
      <c r="N56" s="295">
        <v>2</v>
      </c>
      <c r="O56" s="291">
        <f t="shared" si="5"/>
        <v>0</v>
      </c>
      <c r="P56" s="295">
        <v>2</v>
      </c>
      <c r="Q56" s="291">
        <f t="shared" si="6"/>
        <v>0</v>
      </c>
      <c r="R56" s="296">
        <f t="shared" si="7"/>
        <v>0</v>
      </c>
    </row>
    <row r="57" spans="2:18" ht="16.5" customHeight="1">
      <c r="B57" s="297" t="s">
        <v>89</v>
      </c>
      <c r="C57" s="298">
        <v>92</v>
      </c>
      <c r="D57" s="260"/>
      <c r="E57" s="289" t="s">
        <v>75</v>
      </c>
      <c r="F57" s="290">
        <v>7</v>
      </c>
      <c r="G57" s="406">
        <f t="shared" si="1"/>
        <v>0</v>
      </c>
      <c r="H57" s="292"/>
      <c r="I57" s="291">
        <f t="shared" si="2"/>
        <v>0</v>
      </c>
      <c r="J57" s="293"/>
      <c r="K57" s="291">
        <f t="shared" si="3"/>
        <v>0</v>
      </c>
      <c r="L57" s="292">
        <v>3</v>
      </c>
      <c r="M57" s="406">
        <f t="shared" si="4"/>
        <v>0</v>
      </c>
      <c r="N57" s="295">
        <v>2</v>
      </c>
      <c r="O57" s="291">
        <f t="shared" si="5"/>
        <v>0</v>
      </c>
      <c r="P57" s="295">
        <v>2</v>
      </c>
      <c r="Q57" s="291">
        <f t="shared" si="6"/>
        <v>0</v>
      </c>
      <c r="R57" s="296">
        <f t="shared" si="7"/>
        <v>0</v>
      </c>
    </row>
    <row r="58" spans="2:18" ht="16.5" customHeight="1">
      <c r="B58" s="299" t="s">
        <v>88</v>
      </c>
      <c r="C58" s="300"/>
      <c r="D58" s="260"/>
      <c r="E58" s="289" t="s">
        <v>74</v>
      </c>
      <c r="F58" s="290"/>
      <c r="G58" s="406">
        <f t="shared" si="1"/>
        <v>0</v>
      </c>
      <c r="H58" s="292"/>
      <c r="I58" s="291">
        <f t="shared" si="2"/>
        <v>0</v>
      </c>
      <c r="J58" s="293"/>
      <c r="K58" s="291">
        <f t="shared" si="3"/>
        <v>0</v>
      </c>
      <c r="L58" s="292">
        <v>3</v>
      </c>
      <c r="M58" s="406">
        <f t="shared" si="4"/>
        <v>0</v>
      </c>
      <c r="N58" s="295">
        <v>2</v>
      </c>
      <c r="O58" s="291">
        <f t="shared" si="5"/>
        <v>0</v>
      </c>
      <c r="P58" s="295">
        <v>2</v>
      </c>
      <c r="Q58" s="291">
        <f t="shared" si="6"/>
        <v>0</v>
      </c>
      <c r="R58" s="296">
        <f t="shared" si="7"/>
        <v>0</v>
      </c>
    </row>
    <row r="59" spans="2:18" ht="16.5" customHeight="1">
      <c r="B59" s="421" t="s">
        <v>87</v>
      </c>
      <c r="C59" s="422">
        <v>1</v>
      </c>
      <c r="D59" s="260"/>
      <c r="E59" s="303"/>
      <c r="F59" s="304"/>
      <c r="G59" s="305"/>
      <c r="H59" s="306"/>
      <c r="I59" s="307"/>
      <c r="J59" s="308"/>
      <c r="K59" s="307"/>
      <c r="L59" s="306"/>
      <c r="M59" s="409"/>
      <c r="N59" s="304"/>
      <c r="O59" s="305"/>
      <c r="P59" s="306"/>
      <c r="Q59" s="307"/>
      <c r="R59" s="309"/>
    </row>
    <row r="60" spans="2:18" ht="16.5" customHeight="1" thickBot="1">
      <c r="B60" s="421" t="s">
        <v>86</v>
      </c>
      <c r="C60" s="421">
        <f t="shared" ref="C60:C70" si="8">SUM(C59+(C59*$B$5))</f>
        <v>1</v>
      </c>
      <c r="D60" s="260"/>
      <c r="E60" s="310" t="s">
        <v>85</v>
      </c>
      <c r="F60" s="311"/>
      <c r="G60" s="312">
        <f>SUM(G47:G58)</f>
        <v>0</v>
      </c>
      <c r="H60" s="313"/>
      <c r="I60" s="312">
        <f>SUM(I47:I58)</f>
        <v>0</v>
      </c>
      <c r="J60" s="314"/>
      <c r="K60" s="312">
        <f>SUM(K47:K58)</f>
        <v>0</v>
      </c>
      <c r="L60" s="313"/>
      <c r="M60" s="482">
        <f>SUM(M47:M58)</f>
        <v>0</v>
      </c>
      <c r="N60" s="315"/>
      <c r="O60" s="312">
        <f>SUM(O47:O58)</f>
        <v>0</v>
      </c>
      <c r="P60" s="313"/>
      <c r="Q60" s="312">
        <f>SUM(Q47:Q58)</f>
        <v>0</v>
      </c>
      <c r="R60" s="316">
        <f>SUM(R47:R58)</f>
        <v>0</v>
      </c>
    </row>
    <row r="61" spans="2:18" ht="16.5" customHeight="1" thickTop="1" thickBot="1">
      <c r="B61" s="421" t="s">
        <v>84</v>
      </c>
      <c r="C61" s="421">
        <f t="shared" si="8"/>
        <v>1</v>
      </c>
      <c r="D61" s="269"/>
      <c r="E61" s="317"/>
      <c r="F61" s="318"/>
      <c r="G61" s="319"/>
      <c r="H61" s="320"/>
      <c r="I61" s="319"/>
      <c r="J61" s="321"/>
      <c r="K61" s="319"/>
      <c r="L61" s="320"/>
      <c r="M61" s="411"/>
      <c r="N61" s="318"/>
      <c r="O61" s="322"/>
      <c r="P61" s="320"/>
      <c r="Q61" s="319"/>
      <c r="R61" s="323"/>
    </row>
    <row r="62" spans="2:18" ht="16.5" customHeight="1">
      <c r="B62" s="421" t="s">
        <v>83</v>
      </c>
      <c r="C62" s="423">
        <f t="shared" si="8"/>
        <v>1</v>
      </c>
      <c r="D62" s="269"/>
      <c r="E62" s="269"/>
      <c r="F62" s="325"/>
      <c r="G62" s="269"/>
      <c r="H62" s="326"/>
      <c r="I62" s="269"/>
      <c r="J62" s="327"/>
      <c r="K62" s="269"/>
      <c r="L62" s="326"/>
      <c r="M62" s="412"/>
      <c r="N62" s="325"/>
      <c r="O62" s="269"/>
      <c r="P62" s="326"/>
      <c r="Q62" s="269"/>
      <c r="R62" s="269"/>
    </row>
    <row r="63" spans="2:18" ht="16.5" customHeight="1">
      <c r="B63" s="421" t="s">
        <v>82</v>
      </c>
      <c r="C63" s="423">
        <f t="shared" si="8"/>
        <v>1</v>
      </c>
      <c r="D63" s="269"/>
      <c r="E63" s="269" t="s">
        <v>81</v>
      </c>
      <c r="F63" s="325"/>
      <c r="G63" s="269"/>
      <c r="H63" s="326"/>
      <c r="I63" s="269"/>
      <c r="J63" s="327"/>
      <c r="K63" s="269"/>
      <c r="L63" s="326"/>
      <c r="M63" s="412"/>
      <c r="N63" s="325"/>
      <c r="O63" s="269"/>
      <c r="P63" s="326"/>
      <c r="Q63" s="269"/>
      <c r="R63" s="269"/>
    </row>
    <row r="64" spans="2:18" ht="16.5" customHeight="1">
      <c r="B64" s="421" t="s">
        <v>80</v>
      </c>
      <c r="C64" s="423">
        <f t="shared" si="8"/>
        <v>1</v>
      </c>
      <c r="D64" s="269"/>
      <c r="E64" s="269"/>
      <c r="F64" s="325"/>
      <c r="G64" s="269"/>
      <c r="H64" s="326"/>
      <c r="I64" s="269"/>
      <c r="J64" s="327"/>
      <c r="K64" s="269"/>
      <c r="L64" s="326"/>
      <c r="M64" s="412"/>
      <c r="N64" s="325"/>
      <c r="O64" s="269"/>
      <c r="P64" s="326"/>
      <c r="Q64" s="269"/>
      <c r="R64" s="269"/>
    </row>
    <row r="65" spans="2:18" ht="16.5" customHeight="1">
      <c r="B65" s="421" t="s">
        <v>79</v>
      </c>
      <c r="C65" s="423">
        <f t="shared" si="8"/>
        <v>1</v>
      </c>
      <c r="D65" s="269"/>
      <c r="E65" s="413" t="s">
        <v>291</v>
      </c>
      <c r="F65" s="414"/>
      <c r="G65" s="415"/>
      <c r="H65" s="416"/>
      <c r="I65" s="413"/>
      <c r="J65" s="417"/>
      <c r="K65" s="413"/>
      <c r="L65" s="417"/>
      <c r="M65" s="413"/>
      <c r="N65" s="417"/>
      <c r="O65" s="413"/>
      <c r="P65" s="326"/>
      <c r="Q65" s="269"/>
      <c r="R65" s="269"/>
    </row>
    <row r="66" spans="2:18" ht="16.5" customHeight="1">
      <c r="B66" s="421" t="s">
        <v>78</v>
      </c>
      <c r="C66" s="423">
        <f t="shared" si="8"/>
        <v>1</v>
      </c>
      <c r="D66" s="269"/>
      <c r="E66" s="418" t="s">
        <v>292</v>
      </c>
      <c r="F66" s="419"/>
      <c r="G66" s="418"/>
      <c r="H66" s="420"/>
      <c r="I66" s="269"/>
      <c r="J66" s="326"/>
      <c r="K66" s="269"/>
      <c r="L66" s="326"/>
      <c r="M66" s="269"/>
      <c r="N66" s="326"/>
      <c r="O66" s="269"/>
      <c r="P66" s="326"/>
      <c r="Q66" s="269"/>
      <c r="R66" s="269"/>
    </row>
    <row r="67" spans="2:18" ht="16.5" customHeight="1">
      <c r="B67" s="421" t="s">
        <v>77</v>
      </c>
      <c r="C67" s="423">
        <f t="shared" si="8"/>
        <v>1</v>
      </c>
      <c r="D67" s="269"/>
      <c r="E67" s="269"/>
      <c r="F67" s="325"/>
      <c r="G67" s="269"/>
      <c r="H67" s="326"/>
      <c r="I67" s="269"/>
      <c r="J67" s="327"/>
      <c r="K67" s="269"/>
      <c r="L67" s="326"/>
      <c r="M67" s="412"/>
      <c r="N67" s="325"/>
      <c r="O67" s="269"/>
      <c r="P67" s="326"/>
      <c r="Q67" s="269"/>
      <c r="R67" s="269"/>
    </row>
    <row r="68" spans="2:18" ht="16.5" customHeight="1">
      <c r="B68" s="421" t="s">
        <v>76</v>
      </c>
      <c r="C68" s="423">
        <f t="shared" si="8"/>
        <v>1</v>
      </c>
      <c r="D68" s="269"/>
      <c r="E68" s="269"/>
      <c r="F68" s="325"/>
      <c r="G68" s="269"/>
      <c r="H68" s="326"/>
      <c r="I68" s="269"/>
      <c r="J68" s="327"/>
      <c r="K68" s="269"/>
      <c r="L68" s="326"/>
      <c r="M68" s="412"/>
      <c r="N68" s="325"/>
      <c r="O68" s="269"/>
      <c r="P68" s="326"/>
      <c r="Q68" s="269"/>
      <c r="R68" s="269"/>
    </row>
    <row r="69" spans="2:18" ht="16.5" customHeight="1">
      <c r="B69" s="421" t="s">
        <v>75</v>
      </c>
      <c r="C69" s="423">
        <f t="shared" si="8"/>
        <v>1</v>
      </c>
      <c r="D69" s="269"/>
      <c r="E69" s="269"/>
      <c r="F69" s="325"/>
      <c r="G69" s="269"/>
      <c r="H69" s="326"/>
      <c r="I69" s="269"/>
      <c r="J69" s="327"/>
      <c r="K69" s="269"/>
      <c r="L69" s="326"/>
      <c r="M69" s="412"/>
      <c r="N69" s="325"/>
      <c r="O69" s="269"/>
      <c r="P69" s="326"/>
      <c r="Q69" s="269"/>
      <c r="R69" s="269"/>
    </row>
    <row r="70" spans="2:18" ht="16.5" customHeight="1">
      <c r="B70" s="421" t="s">
        <v>74</v>
      </c>
      <c r="C70" s="423">
        <f t="shared" si="8"/>
        <v>1</v>
      </c>
      <c r="D70" s="269"/>
      <c r="E70" s="269"/>
      <c r="F70" s="325"/>
      <c r="G70" s="269"/>
      <c r="H70" s="326"/>
      <c r="I70" s="269"/>
      <c r="J70" s="327"/>
      <c r="K70" s="269"/>
      <c r="L70" s="326"/>
      <c r="M70" s="412"/>
      <c r="N70" s="325"/>
      <c r="O70" s="269"/>
      <c r="P70" s="326"/>
      <c r="Q70" s="269"/>
      <c r="R70" s="269"/>
    </row>
    <row r="72" spans="2:18" ht="16.5" customHeight="1">
      <c r="B72" s="268"/>
      <c r="C72" s="268"/>
      <c r="D72" s="269"/>
      <c r="E72" s="270" t="s">
        <v>118</v>
      </c>
      <c r="F72" s="270"/>
      <c r="G72" s="270"/>
      <c r="H72" s="270"/>
      <c r="I72" s="270"/>
      <c r="J72" s="270"/>
      <c r="K72" s="270"/>
      <c r="L72" s="270"/>
      <c r="M72" s="270"/>
      <c r="N72" s="270"/>
      <c r="O72" s="270"/>
      <c r="P72" s="270"/>
      <c r="Q72" s="270"/>
      <c r="R72" s="270"/>
    </row>
    <row r="73" spans="2:18" ht="16.5" customHeight="1">
      <c r="B73" s="271" t="s">
        <v>496</v>
      </c>
      <c r="C73" s="272" t="s">
        <v>497</v>
      </c>
      <c r="D73" s="269"/>
      <c r="E73" s="273" t="s">
        <v>1781</v>
      </c>
      <c r="F73" s="273"/>
      <c r="G73" s="273"/>
      <c r="H73" s="273"/>
      <c r="I73" s="273"/>
      <c r="J73" s="273"/>
      <c r="K73" s="273"/>
      <c r="L73" s="273"/>
      <c r="M73" s="273"/>
      <c r="N73" s="273"/>
      <c r="O73" s="273"/>
      <c r="P73" s="273"/>
      <c r="Q73" s="273"/>
      <c r="R73" s="273"/>
    </row>
    <row r="74" spans="2:18" ht="16.5" customHeight="1">
      <c r="B74" s="274" t="s">
        <v>115</v>
      </c>
      <c r="C74" s="275">
        <v>7</v>
      </c>
      <c r="D74" s="269"/>
      <c r="E74" s="270" t="s">
        <v>1785</v>
      </c>
      <c r="F74" s="270"/>
      <c r="G74" s="270"/>
      <c r="H74" s="270"/>
      <c r="I74" s="270"/>
      <c r="J74" s="270"/>
      <c r="K74" s="270"/>
      <c r="L74" s="270"/>
      <c r="M74" s="270"/>
      <c r="N74" s="270"/>
      <c r="O74" s="270"/>
      <c r="P74" s="270"/>
      <c r="Q74" s="270"/>
      <c r="R74" s="270"/>
    </row>
    <row r="75" spans="2:18" ht="16.5" customHeight="1" thickBot="1">
      <c r="B75" s="274" t="s">
        <v>112</v>
      </c>
      <c r="C75" s="276">
        <v>93175</v>
      </c>
      <c r="D75" s="268"/>
      <c r="E75" s="330" t="s">
        <v>499</v>
      </c>
      <c r="F75" s="330"/>
      <c r="G75" s="330"/>
      <c r="H75" s="330"/>
      <c r="I75" s="330"/>
      <c r="J75" s="330"/>
      <c r="K75" s="330"/>
      <c r="L75" s="330"/>
      <c r="M75" s="330"/>
      <c r="N75" s="330"/>
      <c r="O75" s="330"/>
      <c r="P75" s="330"/>
      <c r="Q75" s="330"/>
      <c r="R75" s="330"/>
    </row>
    <row r="76" spans="2:18" ht="16.5" customHeight="1">
      <c r="B76" s="274" t="s">
        <v>110</v>
      </c>
      <c r="C76" s="277"/>
      <c r="D76" s="260"/>
      <c r="E76" s="278" t="s">
        <v>109</v>
      </c>
      <c r="F76" s="279" t="s">
        <v>108</v>
      </c>
      <c r="G76" s="280"/>
      <c r="H76" s="279" t="s">
        <v>107</v>
      </c>
      <c r="I76" s="280"/>
      <c r="J76" s="279" t="s">
        <v>106</v>
      </c>
      <c r="K76" s="280"/>
      <c r="L76" s="279" t="s">
        <v>105</v>
      </c>
      <c r="M76" s="280"/>
      <c r="N76" s="279" t="s">
        <v>96</v>
      </c>
      <c r="O76" s="280"/>
      <c r="P76" s="279" t="s">
        <v>104</v>
      </c>
      <c r="Q76" s="280"/>
      <c r="R76" s="281" t="s">
        <v>103</v>
      </c>
    </row>
    <row r="77" spans="2:18" ht="16.5" customHeight="1">
      <c r="B77" s="274" t="s">
        <v>102</v>
      </c>
      <c r="C77" s="283">
        <v>125</v>
      </c>
      <c r="D77" s="260"/>
      <c r="E77" s="289"/>
      <c r="F77" s="285" t="s">
        <v>101</v>
      </c>
      <c r="G77" s="331" t="s">
        <v>100</v>
      </c>
      <c r="H77" s="287" t="s">
        <v>364</v>
      </c>
      <c r="I77" s="331" t="s">
        <v>100</v>
      </c>
      <c r="J77" s="287" t="s">
        <v>364</v>
      </c>
      <c r="K77" s="331" t="s">
        <v>100</v>
      </c>
      <c r="L77" s="285" t="s">
        <v>101</v>
      </c>
      <c r="M77" s="331" t="s">
        <v>100</v>
      </c>
      <c r="N77" s="285" t="s">
        <v>101</v>
      </c>
      <c r="O77" s="331" t="s">
        <v>100</v>
      </c>
      <c r="P77" s="287" t="s">
        <v>101</v>
      </c>
      <c r="Q77" s="331" t="s">
        <v>100</v>
      </c>
      <c r="R77" s="289"/>
    </row>
    <row r="78" spans="2:18" ht="16.5" customHeight="1">
      <c r="B78" s="274" t="s">
        <v>107</v>
      </c>
      <c r="C78" s="288">
        <v>6867</v>
      </c>
      <c r="D78" s="260"/>
      <c r="E78" s="289" t="s">
        <v>87</v>
      </c>
      <c r="F78" s="290">
        <v>8</v>
      </c>
      <c r="G78" s="291">
        <f t="shared" ref="G78:G89" si="9">SUM($B$6*F78)*C90</f>
        <v>0</v>
      </c>
      <c r="H78" s="469">
        <v>0</v>
      </c>
      <c r="I78" s="291">
        <v>0</v>
      </c>
      <c r="J78" s="293">
        <v>0</v>
      </c>
      <c r="K78" s="291">
        <f t="shared" ref="K78:K89" si="10">IF(J78&gt;0,($B$8*C90),0)</f>
        <v>0</v>
      </c>
      <c r="L78" s="468">
        <v>2</v>
      </c>
      <c r="M78" s="406">
        <f t="shared" ref="M78:M89" si="11">IF(L78&gt;0,($B$9*L78),0)</f>
        <v>0</v>
      </c>
      <c r="N78" s="294">
        <v>1</v>
      </c>
      <c r="O78" s="291">
        <f t="shared" ref="O78:O89" si="12">IF(N78&gt;0,($B$10*N78),0)</f>
        <v>0</v>
      </c>
      <c r="P78" s="295"/>
      <c r="Q78" s="291">
        <f t="shared" ref="Q78:Q89" si="13">SUM(P78*$B$17)*C90</f>
        <v>0</v>
      </c>
      <c r="R78" s="296">
        <f t="shared" ref="R78:R89" si="14">SUM(Q78+O78+M78+K78+I78+G78)</f>
        <v>0</v>
      </c>
    </row>
    <row r="79" spans="2:18" ht="16.5" customHeight="1">
      <c r="B79" s="274" t="s">
        <v>121</v>
      </c>
      <c r="C79" s="288">
        <v>5460</v>
      </c>
      <c r="D79" s="260"/>
      <c r="E79" s="289" t="s">
        <v>86</v>
      </c>
      <c r="F79" s="290">
        <v>8</v>
      </c>
      <c r="G79" s="291">
        <f t="shared" si="9"/>
        <v>0</v>
      </c>
      <c r="H79" s="469"/>
      <c r="I79" s="291">
        <f t="shared" ref="I79:I89" si="15">IF(H79&gt;0,($B$7*C91),0)</f>
        <v>0</v>
      </c>
      <c r="J79" s="293"/>
      <c r="K79" s="291">
        <f t="shared" si="10"/>
        <v>0</v>
      </c>
      <c r="L79" s="469">
        <v>3</v>
      </c>
      <c r="M79" s="406">
        <f t="shared" si="11"/>
        <v>0</v>
      </c>
      <c r="N79" s="294">
        <v>2</v>
      </c>
      <c r="O79" s="291">
        <f t="shared" si="12"/>
        <v>0</v>
      </c>
      <c r="P79" s="295"/>
      <c r="Q79" s="291">
        <f t="shared" si="13"/>
        <v>0</v>
      </c>
      <c r="R79" s="296">
        <f t="shared" si="14"/>
        <v>0</v>
      </c>
    </row>
    <row r="80" spans="2:18" ht="16.5" customHeight="1">
      <c r="B80" s="407" t="s">
        <v>365</v>
      </c>
      <c r="C80" s="288">
        <v>324</v>
      </c>
      <c r="D80" s="260"/>
      <c r="E80" s="289" t="s">
        <v>84</v>
      </c>
      <c r="F80" s="290">
        <v>9</v>
      </c>
      <c r="G80" s="291">
        <f t="shared" si="9"/>
        <v>0</v>
      </c>
      <c r="H80" s="469"/>
      <c r="I80" s="291">
        <f t="shared" si="15"/>
        <v>0</v>
      </c>
      <c r="J80" s="293"/>
      <c r="K80" s="291">
        <f t="shared" si="10"/>
        <v>0</v>
      </c>
      <c r="L80" s="469"/>
      <c r="M80" s="406">
        <f t="shared" si="11"/>
        <v>0</v>
      </c>
      <c r="N80" s="294"/>
      <c r="O80" s="291">
        <f t="shared" si="12"/>
        <v>0</v>
      </c>
      <c r="P80" s="295"/>
      <c r="Q80" s="291">
        <f t="shared" si="13"/>
        <v>0</v>
      </c>
      <c r="R80" s="296">
        <f t="shared" si="14"/>
        <v>0</v>
      </c>
    </row>
    <row r="81" spans="2:18" ht="16.5" customHeight="1">
      <c r="B81" s="470" t="s">
        <v>366</v>
      </c>
      <c r="C81" s="288">
        <v>1050</v>
      </c>
      <c r="D81" s="260"/>
      <c r="E81" s="289" t="s">
        <v>83</v>
      </c>
      <c r="F81" s="290">
        <v>8</v>
      </c>
      <c r="G81" s="291">
        <f t="shared" si="9"/>
        <v>0</v>
      </c>
      <c r="H81" s="469"/>
      <c r="I81" s="291">
        <f t="shared" si="15"/>
        <v>0</v>
      </c>
      <c r="J81" s="293">
        <v>1</v>
      </c>
      <c r="K81" s="291">
        <f t="shared" si="10"/>
        <v>0</v>
      </c>
      <c r="L81" s="469">
        <v>2</v>
      </c>
      <c r="M81" s="406">
        <f t="shared" si="11"/>
        <v>0</v>
      </c>
      <c r="N81" s="294">
        <v>1.5</v>
      </c>
      <c r="O81" s="291">
        <f t="shared" si="12"/>
        <v>0</v>
      </c>
      <c r="P81" s="295"/>
      <c r="Q81" s="291">
        <f t="shared" si="13"/>
        <v>0</v>
      </c>
      <c r="R81" s="296">
        <f t="shared" si="14"/>
        <v>0</v>
      </c>
    </row>
    <row r="82" spans="2:18" ht="16.5" customHeight="1">
      <c r="B82" s="274" t="s">
        <v>95</v>
      </c>
      <c r="C82" s="141">
        <v>35000</v>
      </c>
      <c r="D82" s="260"/>
      <c r="E82" s="289" t="s">
        <v>82</v>
      </c>
      <c r="F82" s="290">
        <v>6</v>
      </c>
      <c r="G82" s="291">
        <f t="shared" si="9"/>
        <v>0</v>
      </c>
      <c r="H82" s="469"/>
      <c r="I82" s="291">
        <f t="shared" si="15"/>
        <v>0</v>
      </c>
      <c r="J82" s="293"/>
      <c r="K82" s="291">
        <f t="shared" si="10"/>
        <v>0</v>
      </c>
      <c r="L82" s="469">
        <v>3</v>
      </c>
      <c r="M82" s="406">
        <f t="shared" si="11"/>
        <v>0</v>
      </c>
      <c r="N82" s="294">
        <v>1</v>
      </c>
      <c r="O82" s="291">
        <f t="shared" si="12"/>
        <v>0</v>
      </c>
      <c r="P82" s="295">
        <v>1</v>
      </c>
      <c r="Q82" s="291">
        <f t="shared" si="13"/>
        <v>0</v>
      </c>
      <c r="R82" s="296">
        <f t="shared" si="14"/>
        <v>0</v>
      </c>
    </row>
    <row r="83" spans="2:18" ht="16.5" customHeight="1">
      <c r="B83" s="274" t="s">
        <v>94</v>
      </c>
      <c r="C83" s="141">
        <v>5000</v>
      </c>
      <c r="D83" s="260"/>
      <c r="E83" s="289" t="s">
        <v>80</v>
      </c>
      <c r="F83" s="290">
        <v>7</v>
      </c>
      <c r="G83" s="291">
        <f t="shared" si="9"/>
        <v>0</v>
      </c>
      <c r="H83" s="469"/>
      <c r="I83" s="291">
        <f t="shared" si="15"/>
        <v>0</v>
      </c>
      <c r="J83" s="293"/>
      <c r="K83" s="291">
        <f t="shared" si="10"/>
        <v>0</v>
      </c>
      <c r="L83" s="469">
        <v>2</v>
      </c>
      <c r="M83" s="406">
        <f t="shared" si="11"/>
        <v>0</v>
      </c>
      <c r="N83" s="294">
        <v>1</v>
      </c>
      <c r="O83" s="291">
        <f t="shared" si="12"/>
        <v>0</v>
      </c>
      <c r="P83" s="295"/>
      <c r="Q83" s="291">
        <f t="shared" si="13"/>
        <v>0</v>
      </c>
      <c r="R83" s="296">
        <f t="shared" si="14"/>
        <v>0</v>
      </c>
    </row>
    <row r="84" spans="2:18" ht="16.5" customHeight="1">
      <c r="B84" s="274" t="s">
        <v>93</v>
      </c>
      <c r="C84" s="141">
        <v>175000</v>
      </c>
      <c r="D84" s="260"/>
      <c r="E84" s="289" t="s">
        <v>79</v>
      </c>
      <c r="F84" s="290"/>
      <c r="G84" s="291">
        <f t="shared" si="9"/>
        <v>0</v>
      </c>
      <c r="H84" s="469"/>
      <c r="I84" s="291">
        <f t="shared" si="15"/>
        <v>0</v>
      </c>
      <c r="J84" s="293"/>
      <c r="K84" s="291">
        <f t="shared" si="10"/>
        <v>0</v>
      </c>
      <c r="L84" s="469"/>
      <c r="M84" s="406">
        <f t="shared" si="11"/>
        <v>0</v>
      </c>
      <c r="N84" s="294"/>
      <c r="O84" s="291">
        <f t="shared" si="12"/>
        <v>0</v>
      </c>
      <c r="P84" s="295"/>
      <c r="Q84" s="291">
        <f t="shared" si="13"/>
        <v>0</v>
      </c>
      <c r="R84" s="296">
        <f t="shared" si="14"/>
        <v>0</v>
      </c>
    </row>
    <row r="85" spans="2:18" ht="16.5" customHeight="1">
      <c r="B85" s="274" t="s">
        <v>92</v>
      </c>
      <c r="C85" s="141">
        <v>175000</v>
      </c>
      <c r="D85" s="260"/>
      <c r="E85" s="289" t="s">
        <v>78</v>
      </c>
      <c r="F85" s="290"/>
      <c r="G85" s="291">
        <f t="shared" si="9"/>
        <v>0</v>
      </c>
      <c r="H85" s="469"/>
      <c r="I85" s="291">
        <f t="shared" si="15"/>
        <v>0</v>
      </c>
      <c r="J85" s="293"/>
      <c r="K85" s="291">
        <f t="shared" si="10"/>
        <v>0</v>
      </c>
      <c r="L85" s="469"/>
      <c r="M85" s="406">
        <f t="shared" si="11"/>
        <v>0</v>
      </c>
      <c r="N85" s="294"/>
      <c r="O85" s="291">
        <f t="shared" si="12"/>
        <v>0</v>
      </c>
      <c r="P85" s="295"/>
      <c r="Q85" s="291">
        <f t="shared" si="13"/>
        <v>0</v>
      </c>
      <c r="R85" s="296">
        <f t="shared" si="14"/>
        <v>0</v>
      </c>
    </row>
    <row r="86" spans="2:18" ht="16.5" customHeight="1">
      <c r="B86" s="274" t="s">
        <v>91</v>
      </c>
      <c r="C86" s="141">
        <v>12000</v>
      </c>
      <c r="D86" s="260"/>
      <c r="E86" s="289" t="s">
        <v>77</v>
      </c>
      <c r="F86" s="290"/>
      <c r="G86" s="291">
        <f t="shared" si="9"/>
        <v>0</v>
      </c>
      <c r="H86" s="469"/>
      <c r="I86" s="291">
        <f t="shared" si="15"/>
        <v>0</v>
      </c>
      <c r="J86" s="293"/>
      <c r="K86" s="291">
        <f t="shared" si="10"/>
        <v>0</v>
      </c>
      <c r="L86" s="469"/>
      <c r="M86" s="406">
        <f t="shared" si="11"/>
        <v>0</v>
      </c>
      <c r="N86" s="294"/>
      <c r="O86" s="291">
        <f t="shared" si="12"/>
        <v>0</v>
      </c>
      <c r="P86" s="295"/>
      <c r="Q86" s="291">
        <f t="shared" si="13"/>
        <v>0</v>
      </c>
      <c r="R86" s="296">
        <f t="shared" si="14"/>
        <v>0</v>
      </c>
    </row>
    <row r="87" spans="2:18" ht="16.5" customHeight="1">
      <c r="B87" s="274" t="s">
        <v>90</v>
      </c>
      <c r="C87" s="141">
        <v>25000</v>
      </c>
      <c r="D87" s="260"/>
      <c r="E87" s="289" t="s">
        <v>76</v>
      </c>
      <c r="F87" s="290"/>
      <c r="G87" s="291">
        <f t="shared" si="9"/>
        <v>0</v>
      </c>
      <c r="H87" s="469"/>
      <c r="I87" s="291">
        <f t="shared" si="15"/>
        <v>0</v>
      </c>
      <c r="J87" s="293"/>
      <c r="K87" s="291">
        <f t="shared" si="10"/>
        <v>0</v>
      </c>
      <c r="L87" s="469"/>
      <c r="M87" s="406">
        <f t="shared" si="11"/>
        <v>0</v>
      </c>
      <c r="N87" s="294"/>
      <c r="O87" s="291">
        <f t="shared" si="12"/>
        <v>0</v>
      </c>
      <c r="P87" s="295"/>
      <c r="Q87" s="291">
        <f t="shared" si="13"/>
        <v>0</v>
      </c>
      <c r="R87" s="296">
        <f t="shared" si="14"/>
        <v>0</v>
      </c>
    </row>
    <row r="88" spans="2:18" ht="16.5" customHeight="1">
      <c r="B88" s="297" t="s">
        <v>89</v>
      </c>
      <c r="C88" s="298">
        <v>92</v>
      </c>
      <c r="D88" s="260"/>
      <c r="E88" s="289" t="s">
        <v>75</v>
      </c>
      <c r="F88" s="290"/>
      <c r="G88" s="291">
        <f t="shared" si="9"/>
        <v>0</v>
      </c>
      <c r="H88" s="469"/>
      <c r="I88" s="291">
        <f t="shared" si="15"/>
        <v>0</v>
      </c>
      <c r="J88" s="293"/>
      <c r="K88" s="291">
        <f t="shared" si="10"/>
        <v>0</v>
      </c>
      <c r="L88" s="469"/>
      <c r="M88" s="406">
        <f t="shared" si="11"/>
        <v>0</v>
      </c>
      <c r="N88" s="294"/>
      <c r="O88" s="291">
        <f t="shared" si="12"/>
        <v>0</v>
      </c>
      <c r="P88" s="295"/>
      <c r="Q88" s="291">
        <f t="shared" si="13"/>
        <v>0</v>
      </c>
      <c r="R88" s="296">
        <f t="shared" si="14"/>
        <v>0</v>
      </c>
    </row>
    <row r="89" spans="2:18" ht="16.5" customHeight="1">
      <c r="B89" s="299" t="s">
        <v>88</v>
      </c>
      <c r="C89" s="300"/>
      <c r="D89" s="260"/>
      <c r="E89" s="289" t="s">
        <v>74</v>
      </c>
      <c r="F89" s="290"/>
      <c r="G89" s="291">
        <f t="shared" si="9"/>
        <v>0</v>
      </c>
      <c r="H89" s="469"/>
      <c r="I89" s="291">
        <f t="shared" si="15"/>
        <v>0</v>
      </c>
      <c r="J89" s="293"/>
      <c r="K89" s="291">
        <f t="shared" si="10"/>
        <v>0</v>
      </c>
      <c r="L89" s="469"/>
      <c r="M89" s="406">
        <f t="shared" si="11"/>
        <v>0</v>
      </c>
      <c r="N89" s="294"/>
      <c r="O89" s="291">
        <f t="shared" si="12"/>
        <v>0</v>
      </c>
      <c r="P89" s="295"/>
      <c r="Q89" s="291">
        <f t="shared" si="13"/>
        <v>0</v>
      </c>
      <c r="R89" s="296">
        <f t="shared" si="14"/>
        <v>0</v>
      </c>
    </row>
    <row r="90" spans="2:18" ht="16.5" customHeight="1">
      <c r="B90" s="421" t="s">
        <v>87</v>
      </c>
      <c r="C90" s="422">
        <v>1</v>
      </c>
      <c r="D90" s="260"/>
      <c r="E90" s="303"/>
      <c r="F90" s="304"/>
      <c r="G90" s="305"/>
      <c r="H90" s="471"/>
      <c r="I90" s="307"/>
      <c r="J90" s="308"/>
      <c r="K90" s="307"/>
      <c r="L90" s="306"/>
      <c r="M90" s="307"/>
      <c r="N90" s="304"/>
      <c r="O90" s="307"/>
      <c r="P90" s="306"/>
      <c r="Q90" s="307"/>
      <c r="R90" s="309"/>
    </row>
    <row r="91" spans="2:18" ht="16.5" customHeight="1" thickBot="1">
      <c r="B91" s="421" t="s">
        <v>86</v>
      </c>
      <c r="C91" s="421">
        <f t="shared" ref="C91:C101" si="16">SUM(C90+(C90*$B$5))</f>
        <v>1</v>
      </c>
      <c r="D91" s="260"/>
      <c r="E91" s="310" t="s">
        <v>85</v>
      </c>
      <c r="F91" s="311"/>
      <c r="G91" s="312">
        <f>SUM(G78:G89)</f>
        <v>0</v>
      </c>
      <c r="H91" s="313"/>
      <c r="I91" s="312">
        <f>SUM(I78:I89)</f>
        <v>0</v>
      </c>
      <c r="J91" s="314"/>
      <c r="K91" s="312">
        <f>SUM(K78:K89)</f>
        <v>0</v>
      </c>
      <c r="L91" s="313"/>
      <c r="M91" s="312">
        <f>SUM(M78:M89)</f>
        <v>0</v>
      </c>
      <c r="N91" s="315"/>
      <c r="O91" s="312">
        <f>SUM(O78:O89)</f>
        <v>0</v>
      </c>
      <c r="P91" s="313"/>
      <c r="Q91" s="312">
        <f>SUM(Q78:Q89)</f>
        <v>0</v>
      </c>
      <c r="R91" s="316">
        <f>SUM(R78:R89)</f>
        <v>0</v>
      </c>
    </row>
    <row r="92" spans="2:18" ht="16.5" customHeight="1" thickTop="1" thickBot="1">
      <c r="B92" s="421" t="s">
        <v>84</v>
      </c>
      <c r="C92" s="421">
        <f t="shared" si="16"/>
        <v>1</v>
      </c>
      <c r="D92" s="269"/>
      <c r="E92" s="317"/>
      <c r="F92" s="318"/>
      <c r="G92" s="319"/>
      <c r="H92" s="320"/>
      <c r="I92" s="319"/>
      <c r="J92" s="321"/>
      <c r="K92" s="319"/>
      <c r="L92" s="320"/>
      <c r="M92" s="319"/>
      <c r="N92" s="318"/>
      <c r="O92" s="319"/>
      <c r="P92" s="320"/>
      <c r="Q92" s="319"/>
      <c r="R92" s="323"/>
    </row>
    <row r="93" spans="2:18" ht="16.5" customHeight="1">
      <c r="B93" s="421" t="s">
        <v>83</v>
      </c>
      <c r="C93" s="423">
        <f t="shared" si="16"/>
        <v>1</v>
      </c>
      <c r="D93" s="269"/>
      <c r="E93" s="269"/>
      <c r="F93" s="335"/>
      <c r="G93" s="269"/>
      <c r="H93" s="326"/>
      <c r="I93" s="269"/>
      <c r="J93" s="326"/>
      <c r="K93" s="269"/>
      <c r="L93" s="326"/>
      <c r="M93" s="269"/>
      <c r="N93" s="326"/>
      <c r="O93" s="269"/>
      <c r="P93" s="326"/>
      <c r="Q93" s="269"/>
      <c r="R93" s="269"/>
    </row>
    <row r="94" spans="2:18" ht="16.5" customHeight="1">
      <c r="B94" s="421" t="s">
        <v>82</v>
      </c>
      <c r="C94" s="423">
        <f t="shared" si="16"/>
        <v>1</v>
      </c>
      <c r="D94" s="269"/>
      <c r="E94" s="269" t="s">
        <v>124</v>
      </c>
      <c r="F94" s="335"/>
      <c r="G94" s="269"/>
      <c r="H94" s="326"/>
      <c r="I94" s="269"/>
      <c r="J94" s="326"/>
      <c r="K94" s="269"/>
      <c r="L94" s="326"/>
      <c r="M94" s="269"/>
      <c r="N94" s="326"/>
      <c r="O94" s="269"/>
      <c r="P94" s="326"/>
      <c r="Q94" s="269"/>
      <c r="R94" s="269"/>
    </row>
    <row r="95" spans="2:18" ht="16.5" customHeight="1">
      <c r="B95" s="421" t="s">
        <v>80</v>
      </c>
      <c r="C95" s="423">
        <f t="shared" si="16"/>
        <v>1</v>
      </c>
      <c r="D95" s="269"/>
      <c r="E95" s="269"/>
      <c r="F95" s="335"/>
      <c r="G95" s="269"/>
      <c r="H95" s="326"/>
      <c r="I95" s="269"/>
      <c r="J95" s="326"/>
      <c r="K95" s="269"/>
      <c r="L95" s="326"/>
      <c r="M95" s="269"/>
      <c r="N95" s="326"/>
      <c r="O95" s="269"/>
      <c r="P95" s="326"/>
      <c r="Q95" s="269"/>
      <c r="R95" s="269"/>
    </row>
    <row r="96" spans="2:18" ht="16.5" customHeight="1">
      <c r="B96" s="421" t="s">
        <v>79</v>
      </c>
      <c r="C96" s="423">
        <f t="shared" si="16"/>
        <v>1</v>
      </c>
      <c r="D96" s="269"/>
      <c r="E96" s="413" t="s">
        <v>291</v>
      </c>
      <c r="F96" s="414"/>
      <c r="G96" s="415"/>
      <c r="H96" s="416"/>
      <c r="I96" s="413"/>
      <c r="J96" s="417"/>
      <c r="K96" s="413"/>
      <c r="L96" s="417"/>
      <c r="M96" s="413"/>
      <c r="N96" s="417"/>
      <c r="O96" s="413"/>
      <c r="P96" s="326"/>
      <c r="Q96" s="269"/>
      <c r="R96" s="269"/>
    </row>
    <row r="97" spans="2:18" ht="16.5" customHeight="1">
      <c r="B97" s="421" t="s">
        <v>78</v>
      </c>
      <c r="C97" s="423">
        <f t="shared" si="16"/>
        <v>1</v>
      </c>
      <c r="D97" s="269"/>
      <c r="E97" s="418" t="s">
        <v>292</v>
      </c>
      <c r="F97" s="419"/>
      <c r="G97" s="418"/>
      <c r="H97" s="420"/>
      <c r="I97" s="269"/>
      <c r="J97" s="326"/>
      <c r="K97" s="269"/>
      <c r="L97" s="326"/>
      <c r="M97" s="269"/>
      <c r="N97" s="326"/>
      <c r="O97" s="269"/>
      <c r="P97" s="326"/>
      <c r="Q97" s="269"/>
      <c r="R97" s="269"/>
    </row>
    <row r="98" spans="2:18" ht="16.5" customHeight="1">
      <c r="B98" s="421" t="s">
        <v>77</v>
      </c>
      <c r="C98" s="423">
        <f t="shared" si="16"/>
        <v>1</v>
      </c>
      <c r="D98" s="269"/>
      <c r="E98" s="269"/>
      <c r="F98" s="335"/>
      <c r="G98" s="269"/>
      <c r="H98" s="326"/>
      <c r="I98" s="269"/>
      <c r="J98" s="326"/>
      <c r="K98" s="269"/>
      <c r="L98" s="326"/>
      <c r="M98" s="269"/>
      <c r="N98" s="326"/>
      <c r="O98" s="269"/>
      <c r="P98" s="326"/>
      <c r="Q98" s="269"/>
      <c r="R98" s="269"/>
    </row>
    <row r="99" spans="2:18" ht="16.5" customHeight="1">
      <c r="B99" s="421" t="s">
        <v>76</v>
      </c>
      <c r="C99" s="423">
        <f t="shared" si="16"/>
        <v>1</v>
      </c>
      <c r="D99" s="269"/>
      <c r="E99" s="424" t="s">
        <v>500</v>
      </c>
      <c r="F99" s="425"/>
      <c r="G99" s="424"/>
      <c r="H99" s="426"/>
      <c r="I99" s="424"/>
      <c r="J99" s="426"/>
      <c r="K99" s="269"/>
      <c r="L99" s="326"/>
      <c r="M99" s="269"/>
      <c r="N99" s="326"/>
      <c r="O99" s="269"/>
      <c r="P99" s="326"/>
      <c r="Q99" s="269"/>
      <c r="R99" s="269"/>
    </row>
    <row r="100" spans="2:18" ht="16.5" customHeight="1">
      <c r="B100" s="421" t="s">
        <v>75</v>
      </c>
      <c r="C100" s="423">
        <f t="shared" si="16"/>
        <v>1</v>
      </c>
      <c r="D100" s="269"/>
      <c r="E100" s="424" t="s">
        <v>501</v>
      </c>
      <c r="F100" s="425"/>
      <c r="G100" s="424"/>
      <c r="H100" s="426"/>
      <c r="I100" s="424"/>
      <c r="J100" s="426"/>
      <c r="K100" s="269"/>
      <c r="L100" s="326"/>
      <c r="M100" s="269"/>
      <c r="N100" s="326"/>
      <c r="O100" s="269"/>
      <c r="P100" s="326"/>
      <c r="Q100" s="269"/>
      <c r="R100" s="269"/>
    </row>
    <row r="101" spans="2:18" ht="16.5" customHeight="1">
      <c r="B101" s="421" t="s">
        <v>74</v>
      </c>
      <c r="C101" s="423">
        <f t="shared" si="16"/>
        <v>1</v>
      </c>
      <c r="D101" s="269"/>
      <c r="E101" s="269"/>
      <c r="F101" s="335"/>
      <c r="G101" s="269"/>
      <c r="H101" s="326"/>
      <c r="I101" s="269"/>
      <c r="J101" s="326"/>
      <c r="K101" s="269"/>
      <c r="L101" s="326"/>
      <c r="M101" s="269"/>
      <c r="N101" s="326"/>
      <c r="O101" s="269"/>
      <c r="P101" s="326"/>
      <c r="Q101" s="269"/>
      <c r="R101" s="269"/>
    </row>
  </sheetData>
  <mergeCells count="20">
    <mergeCell ref="E41:R41"/>
    <mergeCell ref="E42:R42"/>
    <mergeCell ref="E43:R43"/>
    <mergeCell ref="E44:R44"/>
    <mergeCell ref="F45:G45"/>
    <mergeCell ref="H45:I45"/>
    <mergeCell ref="J45:K45"/>
    <mergeCell ref="L45:M45"/>
    <mergeCell ref="N45:O45"/>
    <mergeCell ref="P45:Q45"/>
    <mergeCell ref="E72:R72"/>
    <mergeCell ref="E73:R73"/>
    <mergeCell ref="E74:R74"/>
    <mergeCell ref="E75:R75"/>
    <mergeCell ref="F76:G76"/>
    <mergeCell ref="H76:I76"/>
    <mergeCell ref="J76:K76"/>
    <mergeCell ref="L76:M76"/>
    <mergeCell ref="N76:O76"/>
    <mergeCell ref="P76:Q76"/>
  </mergeCells>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manualMax="0" manualMin="0"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303 summary'!C39:N39</xm:f>
              <xm:sqref>P39</xm:sqref>
            </x14:sparkline>
          </x14:sparklines>
        </x14:sparklineGroup>
        <x14:sparklineGroup manualMax="0" manualMin="0" displayEmptyCellsAs="gap" markers="1" last="1">
          <x14:colorSeries rgb="FF323232"/>
          <x14:colorNegative rgb="FFD00000"/>
          <x14:colorAxis rgb="FF000000"/>
          <x14:colorMarkers rgb="FFD00000"/>
          <x14:colorFirst rgb="FFD00000"/>
          <x14:colorLast rgb="FFD00000"/>
          <x14:colorHigh rgb="FFD00000"/>
          <x14:colorLow rgb="FFD00000"/>
          <x14:sparklines>
            <x14:sparkline>
              <xm:f>'Bus 303 summary'!C19:N19</xm:f>
              <xm:sqref>P19</xm:sqref>
            </x14:sparkline>
            <x14:sparkline>
              <xm:f>'Bus 303 summary'!C20:N20</xm:f>
              <xm:sqref>P20</xm:sqref>
            </x14:sparkline>
            <x14:sparkline>
              <xm:f>'Bus 303 summary'!C21:N21</xm:f>
              <xm:sqref>P21</xm:sqref>
            </x14:sparkline>
            <x14:sparkline>
              <xm:f>'Bus 303 summary'!C22:N22</xm:f>
              <xm:sqref>P22</xm:sqref>
            </x14:sparkline>
            <x14:sparkline>
              <xm:f>'Bus 303 summary'!C23:N23</xm:f>
              <xm:sqref>P23</xm:sqref>
            </x14:sparkline>
            <x14:sparkline>
              <xm:f>'Bus 303 summary'!C24:N24</xm:f>
              <xm:sqref>P24</xm:sqref>
            </x14:sparkline>
            <x14:sparkline>
              <xm:f>'Bus 303 summary'!C25:N25</xm:f>
              <xm:sqref>P25</xm:sqref>
            </x14:sparkline>
            <x14:sparkline>
              <xm:f>'Bus 303 summary'!C26:N26</xm:f>
              <xm:sqref>P26</xm:sqref>
            </x14:sparkline>
            <x14:sparkline>
              <xm:f>'Bus 303 summary'!C27:N27</xm:f>
              <xm:sqref>P27</xm:sqref>
            </x14:sparkline>
            <x14:sparkline>
              <xm:f>'Bus 303 summary'!C28:N28</xm:f>
              <xm:sqref>P28</xm:sqref>
            </x14:sparkline>
            <x14:sparkline>
              <xm:f>'Bus 303 summary'!C29:N29</xm:f>
              <xm:sqref>P29</xm:sqref>
            </x14:sparkline>
            <x14:sparkline>
              <xm:f>'Bus 303 summary'!C30:N30</xm:f>
              <xm:sqref>P30</xm:sqref>
            </x14:sparkline>
            <x14:sparkline>
              <xm:f>'Bus 303 summary'!C31:N31</xm:f>
              <xm:sqref>P31</xm:sqref>
            </x14:sparkline>
            <x14:sparkline>
              <xm:f>'Bus 303 summary'!C32:N32</xm:f>
              <xm:sqref>P32</xm:sqref>
            </x14:sparkline>
            <x14:sparkline>
              <xm:f>'Bus 303 summary'!C33:N33</xm:f>
              <xm:sqref>P33</xm:sqref>
            </x14:sparkline>
            <x14:sparkline>
              <xm:f>'Bus 303 summary'!C34:N34</xm:f>
              <xm:sqref>P34</xm:sqref>
            </x14:sparkline>
            <x14:sparkline>
              <xm:f>'Bus 303 summary'!C35:N35</xm:f>
              <xm:sqref>P35</xm:sqref>
            </x14:sparkline>
            <x14:sparkline>
              <xm:f>'Bus 303 summary'!C36:N36</xm:f>
              <xm:sqref>P36</xm:sqref>
            </x14:sparkline>
            <x14:sparkline>
              <xm:f>'Bus 303 summary'!C37:N37</xm:f>
              <xm:sqref>P37</xm:sqref>
            </x14:sparkline>
            <x14:sparkline>
              <xm:f>'Bus 303 summary'!C38:N38</xm:f>
              <xm:sqref>P38</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218"/>
  <sheetViews>
    <sheetView showGridLines="0" topLeftCell="A70" zoomScale="115" zoomScaleNormal="115" workbookViewId="0">
      <selection activeCell="F84" sqref="A1:XFD1048576"/>
    </sheetView>
  </sheetViews>
  <sheetFormatPr defaultColWidth="9.140625" defaultRowHeight="16.5" customHeight="1"/>
  <cols>
    <col min="1" max="1" width="3.140625" style="1" customWidth="1"/>
    <col min="2" max="4" width="12.28515625" style="1" customWidth="1"/>
    <col min="5" max="5" width="15.7109375" style="1" customWidth="1"/>
    <col min="6" max="6" width="41.42578125"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535</v>
      </c>
      <c r="G4" s="185" t="s">
        <v>534</v>
      </c>
    </row>
    <row r="5" spans="2:8" s="1" customFormat="1" ht="16.5" customHeight="1">
      <c r="B5" s="187">
        <v>42919</v>
      </c>
      <c r="C5" s="188">
        <v>10614</v>
      </c>
      <c r="D5" s="8">
        <v>2.87</v>
      </c>
      <c r="E5" s="188" t="s">
        <v>17</v>
      </c>
      <c r="F5" s="188" t="s">
        <v>533</v>
      </c>
      <c r="G5" s="188" t="s">
        <v>532</v>
      </c>
    </row>
    <row r="6" spans="2:8" s="1" customFormat="1" ht="16.5" customHeight="1">
      <c r="B6" s="187">
        <v>42919</v>
      </c>
      <c r="C6" s="188">
        <v>10614</v>
      </c>
      <c r="D6" s="8">
        <v>48.09</v>
      </c>
      <c r="E6" s="188" t="s">
        <v>17</v>
      </c>
      <c r="F6" s="188" t="s">
        <v>531</v>
      </c>
      <c r="G6" s="188" t="s">
        <v>530</v>
      </c>
    </row>
    <row r="7" spans="2:8" s="1" customFormat="1" ht="16.5" customHeight="1">
      <c r="B7" s="187">
        <v>42919</v>
      </c>
      <c r="C7" s="188">
        <v>10614</v>
      </c>
      <c r="D7" s="8">
        <v>45.64</v>
      </c>
      <c r="E7" s="188" t="s">
        <v>17</v>
      </c>
      <c r="F7" s="188" t="s">
        <v>529</v>
      </c>
      <c r="G7" s="188" t="s">
        <v>528</v>
      </c>
    </row>
    <row r="8" spans="2:8" s="1" customFormat="1" ht="16.5" customHeight="1">
      <c r="B8" s="187">
        <v>42919</v>
      </c>
      <c r="C8" s="188">
        <v>10614</v>
      </c>
      <c r="D8" s="8">
        <v>25.19</v>
      </c>
      <c r="E8" s="188" t="s">
        <v>17</v>
      </c>
      <c r="F8" s="188" t="s">
        <v>527</v>
      </c>
      <c r="G8" s="188" t="s">
        <v>526</v>
      </c>
    </row>
    <row r="9" spans="2:8" s="1" customFormat="1" ht="16.5" customHeight="1">
      <c r="B9" s="187">
        <v>42919</v>
      </c>
      <c r="C9" s="188">
        <v>10614</v>
      </c>
      <c r="D9" s="8">
        <v>502.06</v>
      </c>
      <c r="E9" s="188" t="s">
        <v>17</v>
      </c>
      <c r="F9" s="188" t="s">
        <v>525</v>
      </c>
      <c r="G9" s="188" t="s">
        <v>524</v>
      </c>
    </row>
    <row r="10" spans="2:8" s="1" customFormat="1" ht="16.5" customHeight="1">
      <c r="B10" s="187">
        <v>42919</v>
      </c>
      <c r="C10" s="188">
        <v>10614</v>
      </c>
      <c r="D10" s="8">
        <v>14</v>
      </c>
      <c r="E10" s="188" t="s">
        <v>17</v>
      </c>
      <c r="F10" s="188" t="s">
        <v>523</v>
      </c>
      <c r="G10" s="188" t="s">
        <v>522</v>
      </c>
    </row>
    <row r="11" spans="2:8" s="1" customFormat="1" ht="16.5" customHeight="1">
      <c r="B11" s="187">
        <v>42919</v>
      </c>
      <c r="C11" s="188">
        <v>10614</v>
      </c>
      <c r="D11" s="8">
        <v>7.91</v>
      </c>
      <c r="E11" s="188" t="s">
        <v>17</v>
      </c>
      <c r="F11" s="188" t="s">
        <v>521</v>
      </c>
      <c r="G11" s="188" t="s">
        <v>520</v>
      </c>
    </row>
    <row r="12" spans="2:8" s="1" customFormat="1" ht="16.5" customHeight="1">
      <c r="B12" s="187">
        <v>42919</v>
      </c>
      <c r="C12" s="188">
        <v>10614</v>
      </c>
      <c r="D12" s="8">
        <v>180</v>
      </c>
      <c r="E12" s="188" t="s">
        <v>17</v>
      </c>
      <c r="F12" s="188" t="s">
        <v>519</v>
      </c>
      <c r="G12" s="188"/>
    </row>
    <row r="13" spans="2:8" s="1" customFormat="1" ht="16.5" customHeight="1">
      <c r="B13" s="189">
        <v>42924</v>
      </c>
      <c r="C13" s="190">
        <v>10622</v>
      </c>
      <c r="D13" s="52">
        <v>48.09</v>
      </c>
      <c r="E13" s="190" t="s">
        <v>15</v>
      </c>
      <c r="F13" s="190" t="s">
        <v>518</v>
      </c>
      <c r="G13" s="191" t="s">
        <v>517</v>
      </c>
    </row>
    <row r="14" spans="2:8" s="1" customFormat="1" ht="16.5" customHeight="1">
      <c r="B14" s="189">
        <v>42924</v>
      </c>
      <c r="C14" s="190">
        <v>10622</v>
      </c>
      <c r="D14" s="52">
        <v>418.8</v>
      </c>
      <c r="E14" s="190" t="s">
        <v>16</v>
      </c>
      <c r="F14" s="190" t="s">
        <v>516</v>
      </c>
      <c r="G14" s="191" t="s">
        <v>515</v>
      </c>
    </row>
    <row r="15" spans="2:8" s="1" customFormat="1" ht="16.5" customHeight="1">
      <c r="B15" s="189">
        <v>42924</v>
      </c>
      <c r="C15" s="190">
        <v>10622</v>
      </c>
      <c r="D15" s="52">
        <v>60</v>
      </c>
      <c r="E15" s="190" t="s">
        <v>2</v>
      </c>
      <c r="F15" s="190" t="s">
        <v>514</v>
      </c>
      <c r="G15" s="191"/>
    </row>
    <row r="16" spans="2:8" s="1" customFormat="1" ht="16.5" customHeight="1">
      <c r="B16" s="189">
        <v>42930</v>
      </c>
      <c r="C16" s="190">
        <v>10634</v>
      </c>
      <c r="D16" s="52">
        <v>134.66</v>
      </c>
      <c r="E16" s="190" t="s">
        <v>3</v>
      </c>
      <c r="F16" s="190" t="s">
        <v>513</v>
      </c>
      <c r="G16" s="191" t="s">
        <v>512</v>
      </c>
    </row>
    <row r="17" spans="2:7" s="1" customFormat="1" ht="16.5" customHeight="1">
      <c r="B17" s="189">
        <v>42930</v>
      </c>
      <c r="C17" s="190">
        <v>10634</v>
      </c>
      <c r="D17" s="52">
        <v>3.05</v>
      </c>
      <c r="E17" s="190" t="s">
        <v>12</v>
      </c>
      <c r="F17" s="190" t="s">
        <v>511</v>
      </c>
      <c r="G17" s="191" t="s">
        <v>510</v>
      </c>
    </row>
    <row r="18" spans="2:7" s="1" customFormat="1" ht="16.5" customHeight="1">
      <c r="B18" s="189">
        <v>42930</v>
      </c>
      <c r="C18" s="190">
        <v>10634</v>
      </c>
      <c r="D18" s="52">
        <v>2.79</v>
      </c>
      <c r="E18" s="190" t="s">
        <v>3</v>
      </c>
      <c r="F18" s="190" t="s">
        <v>509</v>
      </c>
      <c r="G18" s="191" t="s">
        <v>508</v>
      </c>
    </row>
    <row r="19" spans="2:7" s="1" customFormat="1" ht="16.5" customHeight="1">
      <c r="B19" s="189">
        <v>42930</v>
      </c>
      <c r="C19" s="190">
        <v>10634</v>
      </c>
      <c r="D19" s="52">
        <v>160</v>
      </c>
      <c r="E19" s="190" t="s">
        <v>2</v>
      </c>
      <c r="F19" s="190" t="s">
        <v>507</v>
      </c>
      <c r="G19" s="191"/>
    </row>
    <row r="20" spans="2:7" s="1" customFormat="1" ht="16.5" customHeight="1">
      <c r="B20" s="189">
        <v>42931</v>
      </c>
      <c r="C20" s="190">
        <v>10638</v>
      </c>
      <c r="D20" s="52">
        <v>157.13999999999999</v>
      </c>
      <c r="E20" s="190" t="s">
        <v>12</v>
      </c>
      <c r="F20" s="190" t="s">
        <v>506</v>
      </c>
      <c r="G20" s="191" t="s">
        <v>505</v>
      </c>
    </row>
    <row r="21" spans="2:7" s="1" customFormat="1" ht="16.5" customHeight="1">
      <c r="B21" s="189">
        <v>42931</v>
      </c>
      <c r="C21" s="190">
        <v>10638</v>
      </c>
      <c r="D21" s="52">
        <v>20</v>
      </c>
      <c r="E21" s="190" t="s">
        <v>2</v>
      </c>
      <c r="F21" s="190" t="s">
        <v>399</v>
      </c>
      <c r="G21" s="191"/>
    </row>
    <row r="22" spans="2:7" s="1" customFormat="1" ht="16.5" customHeight="1">
      <c r="B22" s="189">
        <v>42947</v>
      </c>
      <c r="C22" s="190">
        <v>10671</v>
      </c>
      <c r="D22" s="52">
        <v>3.66</v>
      </c>
      <c r="E22" s="190" t="s">
        <v>12</v>
      </c>
      <c r="F22" s="190" t="s">
        <v>504</v>
      </c>
      <c r="G22" s="191" t="s">
        <v>503</v>
      </c>
    </row>
    <row r="23" spans="2:7" s="1" customFormat="1" ht="16.5" customHeight="1">
      <c r="B23" s="189">
        <v>42947</v>
      </c>
      <c r="C23" s="190">
        <v>10671</v>
      </c>
      <c r="D23" s="52">
        <v>40</v>
      </c>
      <c r="E23" s="190" t="s">
        <v>2</v>
      </c>
      <c r="F23" s="190" t="s">
        <v>502</v>
      </c>
      <c r="G23" s="191"/>
    </row>
    <row r="24" spans="2:7" s="1" customFormat="1" ht="16.5" customHeight="1">
      <c r="B24" s="189"/>
      <c r="C24" s="190"/>
      <c r="D24" s="52"/>
      <c r="E24" s="190"/>
      <c r="F24" s="190"/>
      <c r="G24" s="191"/>
    </row>
    <row r="25" spans="2:7" s="1" customFormat="1" ht="16.5" customHeight="1">
      <c r="B25" s="192" t="s">
        <v>1</v>
      </c>
      <c r="C25" s="193"/>
      <c r="D25" s="194">
        <f>SUBTOTAL(109,ExpJul69[Amount])</f>
        <v>1873.95</v>
      </c>
      <c r="E25" s="193"/>
      <c r="F25" s="193"/>
      <c r="G25" s="192"/>
    </row>
    <row r="26" spans="2:7" s="1" customFormat="1" ht="16.5" customHeight="1">
      <c r="B26" s="195"/>
      <c r="C26" s="196"/>
      <c r="D26" s="197"/>
      <c r="E26" s="196"/>
      <c r="F26" s="196"/>
      <c r="G26" s="196"/>
    </row>
    <row r="27" spans="2:7" s="1" customFormat="1" ht="27.75" customHeight="1">
      <c r="B27" s="205" t="s">
        <v>52</v>
      </c>
      <c r="C27" s="36"/>
      <c r="D27" s="36"/>
      <c r="E27" s="36"/>
      <c r="F27" s="36"/>
      <c r="G27" s="36"/>
    </row>
    <row r="28" spans="2:7" s="1" customFormat="1" ht="16.5" customHeight="1">
      <c r="B28" s="36"/>
      <c r="C28" s="36"/>
      <c r="D28" s="36"/>
      <c r="E28" s="36"/>
      <c r="F28" s="36"/>
      <c r="G28" s="36"/>
    </row>
    <row r="29" spans="2:7" s="1" customFormat="1" ht="16.5" customHeight="1">
      <c r="B29" s="206" t="s">
        <v>50</v>
      </c>
      <c r="C29" s="207" t="s">
        <v>53</v>
      </c>
      <c r="D29" s="206" t="s">
        <v>48</v>
      </c>
      <c r="E29" s="207" t="s">
        <v>47</v>
      </c>
      <c r="F29" s="207" t="s">
        <v>535</v>
      </c>
      <c r="G29" s="206" t="s">
        <v>534</v>
      </c>
    </row>
    <row r="30" spans="2:7" s="1" customFormat="1" ht="16.5" customHeight="1">
      <c r="B30" s="208">
        <v>42961</v>
      </c>
      <c r="C30" s="209">
        <v>10713</v>
      </c>
      <c r="D30" s="210">
        <v>48.09</v>
      </c>
      <c r="E30" s="209" t="s">
        <v>17</v>
      </c>
      <c r="F30" s="209" t="s">
        <v>536</v>
      </c>
      <c r="G30" s="209" t="s">
        <v>537</v>
      </c>
    </row>
    <row r="31" spans="2:7" s="1" customFormat="1" ht="16.5" customHeight="1">
      <c r="B31" s="208">
        <v>42961</v>
      </c>
      <c r="C31" s="209">
        <v>10713</v>
      </c>
      <c r="D31" s="210">
        <v>39.54</v>
      </c>
      <c r="E31" s="209" t="s">
        <v>17</v>
      </c>
      <c r="F31" s="209" t="s">
        <v>538</v>
      </c>
      <c r="G31" s="209" t="s">
        <v>539</v>
      </c>
    </row>
    <row r="32" spans="2:7" s="1" customFormat="1" ht="16.5" customHeight="1">
      <c r="B32" s="208">
        <v>42961</v>
      </c>
      <c r="C32" s="209">
        <v>10713</v>
      </c>
      <c r="D32" s="210">
        <v>73.77</v>
      </c>
      <c r="E32" s="209" t="s">
        <v>17</v>
      </c>
      <c r="F32" s="209" t="s">
        <v>540</v>
      </c>
      <c r="G32" s="209" t="s">
        <v>541</v>
      </c>
    </row>
    <row r="33" spans="2:7" s="1" customFormat="1" ht="16.5" customHeight="1">
      <c r="B33" s="208">
        <v>42961</v>
      </c>
      <c r="C33" s="209">
        <v>10713</v>
      </c>
      <c r="D33" s="210">
        <v>42.89</v>
      </c>
      <c r="E33" s="209" t="s">
        <v>17</v>
      </c>
      <c r="F33" s="209" t="s">
        <v>542</v>
      </c>
      <c r="G33" s="209" t="s">
        <v>543</v>
      </c>
    </row>
    <row r="34" spans="2:7" s="1" customFormat="1" ht="16.5" customHeight="1">
      <c r="B34" s="208">
        <v>42961</v>
      </c>
      <c r="C34" s="209">
        <v>10713</v>
      </c>
      <c r="D34" s="210">
        <v>5</v>
      </c>
      <c r="E34" s="209" t="s">
        <v>17</v>
      </c>
      <c r="F34" s="209" t="s">
        <v>544</v>
      </c>
      <c r="G34" s="209" t="s">
        <v>545</v>
      </c>
    </row>
    <row r="35" spans="2:7" s="1" customFormat="1" ht="16.5" customHeight="1">
      <c r="B35" s="208">
        <v>42961</v>
      </c>
      <c r="C35" s="209">
        <v>10713</v>
      </c>
      <c r="D35" s="210">
        <v>2.87</v>
      </c>
      <c r="E35" s="209" t="s">
        <v>17</v>
      </c>
      <c r="F35" s="209" t="s">
        <v>257</v>
      </c>
      <c r="G35" s="209" t="s">
        <v>546</v>
      </c>
    </row>
    <row r="36" spans="2:7" s="1" customFormat="1" ht="16.5" customHeight="1">
      <c r="B36" s="208">
        <v>42961</v>
      </c>
      <c r="C36" s="209">
        <v>10713</v>
      </c>
      <c r="D36" s="210">
        <v>14</v>
      </c>
      <c r="E36" s="209" t="s">
        <v>17</v>
      </c>
      <c r="F36" s="209" t="s">
        <v>547</v>
      </c>
      <c r="G36" s="209" t="s">
        <v>548</v>
      </c>
    </row>
    <row r="37" spans="2:7" s="1" customFormat="1" ht="16.5" customHeight="1">
      <c r="B37" s="208">
        <v>42961</v>
      </c>
      <c r="C37" s="209">
        <v>10713</v>
      </c>
      <c r="D37" s="210">
        <v>200</v>
      </c>
      <c r="E37" s="209" t="s">
        <v>17</v>
      </c>
      <c r="F37" s="209" t="s">
        <v>549</v>
      </c>
      <c r="G37" s="209"/>
    </row>
    <row r="38" spans="2:7" s="1" customFormat="1" ht="16.5" customHeight="1">
      <c r="B38" s="25">
        <v>42966</v>
      </c>
      <c r="C38" s="51">
        <v>10722</v>
      </c>
      <c r="D38" s="211">
        <v>8</v>
      </c>
      <c r="E38" s="51" t="s">
        <v>3</v>
      </c>
      <c r="F38" s="51" t="s">
        <v>550</v>
      </c>
      <c r="G38" s="27" t="s">
        <v>551</v>
      </c>
    </row>
    <row r="39" spans="2:7" s="1" customFormat="1" ht="16.5" customHeight="1">
      <c r="B39" s="25">
        <v>42966</v>
      </c>
      <c r="C39" s="51">
        <v>10722</v>
      </c>
      <c r="D39" s="211">
        <v>40</v>
      </c>
      <c r="E39" s="51" t="s">
        <v>2</v>
      </c>
      <c r="F39" s="51" t="s">
        <v>552</v>
      </c>
      <c r="G39" s="27"/>
    </row>
    <row r="40" spans="2:7" s="1" customFormat="1" ht="16.5" customHeight="1">
      <c r="B40" s="25">
        <v>42969</v>
      </c>
      <c r="C40" s="51">
        <v>10726</v>
      </c>
      <c r="D40" s="211">
        <v>7.83</v>
      </c>
      <c r="E40" s="51" t="s">
        <v>5</v>
      </c>
      <c r="F40" s="51" t="s">
        <v>553</v>
      </c>
      <c r="G40" s="27" t="s">
        <v>554</v>
      </c>
    </row>
    <row r="41" spans="2:7" s="1" customFormat="1" ht="16.5" customHeight="1">
      <c r="B41" s="337">
        <v>42969</v>
      </c>
      <c r="C41" s="338">
        <v>10726</v>
      </c>
      <c r="D41" s="339">
        <v>10</v>
      </c>
      <c r="E41" s="338" t="s">
        <v>2</v>
      </c>
      <c r="F41" s="338" t="s">
        <v>555</v>
      </c>
      <c r="G41" s="340"/>
    </row>
    <row r="42" spans="2:7" s="1" customFormat="1" ht="16.5" customHeight="1">
      <c r="B42" s="337">
        <v>42976</v>
      </c>
      <c r="C42" s="338">
        <v>10752</v>
      </c>
      <c r="D42" s="339">
        <v>1.8</v>
      </c>
      <c r="E42" s="338" t="s">
        <v>12</v>
      </c>
      <c r="F42" s="338" t="s">
        <v>556</v>
      </c>
      <c r="G42" s="340" t="s">
        <v>557</v>
      </c>
    </row>
    <row r="43" spans="2:7" s="1" customFormat="1" ht="16.5" customHeight="1">
      <c r="B43" s="337">
        <v>42976</v>
      </c>
      <c r="C43" s="338">
        <v>10752</v>
      </c>
      <c r="D43" s="339">
        <v>20</v>
      </c>
      <c r="E43" s="338" t="s">
        <v>2</v>
      </c>
      <c r="F43" s="338" t="s">
        <v>558</v>
      </c>
      <c r="G43" s="340"/>
    </row>
    <row r="44" spans="2:7" s="1" customFormat="1" ht="16.5" customHeight="1">
      <c r="B44" s="337">
        <v>42976</v>
      </c>
      <c r="C44" s="338">
        <v>10754</v>
      </c>
      <c r="D44" s="339">
        <v>7.83</v>
      </c>
      <c r="E44" s="338" t="s">
        <v>5</v>
      </c>
      <c r="F44" s="338" t="s">
        <v>559</v>
      </c>
      <c r="G44" s="340" t="s">
        <v>560</v>
      </c>
    </row>
    <row r="45" spans="2:7" s="1" customFormat="1" ht="16.5" customHeight="1">
      <c r="B45" s="337">
        <v>42976</v>
      </c>
      <c r="C45" s="338">
        <v>10754</v>
      </c>
      <c r="D45" s="339">
        <v>10</v>
      </c>
      <c r="E45" s="338" t="s">
        <v>2</v>
      </c>
      <c r="F45" s="338" t="s">
        <v>555</v>
      </c>
      <c r="G45" s="340"/>
    </row>
    <row r="46" spans="2:7" s="1" customFormat="1" ht="16.5" customHeight="1">
      <c r="B46" s="337">
        <v>42978</v>
      </c>
      <c r="C46" s="338">
        <v>10760</v>
      </c>
      <c r="D46" s="339">
        <v>15.66</v>
      </c>
      <c r="E46" s="338" t="s">
        <v>3</v>
      </c>
      <c r="F46" s="338" t="s">
        <v>561</v>
      </c>
      <c r="G46" s="340" t="s">
        <v>562</v>
      </c>
    </row>
    <row r="47" spans="2:7" s="1" customFormat="1" ht="16.5" customHeight="1">
      <c r="B47" s="337">
        <v>42978</v>
      </c>
      <c r="C47" s="338">
        <v>10760</v>
      </c>
      <c r="D47" s="339">
        <v>32.03</v>
      </c>
      <c r="E47" s="338" t="s">
        <v>3</v>
      </c>
      <c r="F47" s="338" t="s">
        <v>563</v>
      </c>
      <c r="G47" s="340" t="s">
        <v>564</v>
      </c>
    </row>
    <row r="48" spans="2:7" s="1" customFormat="1" ht="16.5" customHeight="1">
      <c r="B48" s="337">
        <v>42978</v>
      </c>
      <c r="C48" s="338">
        <v>10760</v>
      </c>
      <c r="D48" s="339">
        <v>20</v>
      </c>
      <c r="E48" s="338" t="s">
        <v>2</v>
      </c>
      <c r="F48" s="338" t="s">
        <v>178</v>
      </c>
      <c r="G48" s="340"/>
    </row>
    <row r="49" spans="2:7" s="1" customFormat="1" ht="16.5" customHeight="1">
      <c r="B49" s="337"/>
      <c r="C49" s="338"/>
      <c r="D49" s="339"/>
      <c r="E49" s="338"/>
      <c r="F49" s="338"/>
      <c r="G49" s="340"/>
    </row>
    <row r="50" spans="2:7" s="1" customFormat="1" ht="16.5" customHeight="1">
      <c r="B50" s="212" t="s">
        <v>1</v>
      </c>
      <c r="C50" s="213"/>
      <c r="D50" s="214">
        <f>SUBTOTAL(109,ExpAug70[Amount])</f>
        <v>599.30999999999995</v>
      </c>
      <c r="E50" s="213"/>
      <c r="F50" s="213"/>
      <c r="G50" s="212"/>
    </row>
    <row r="52" spans="2:7" s="1" customFormat="1" ht="27" customHeight="1">
      <c r="B52" s="205" t="s">
        <v>56</v>
      </c>
      <c r="C52" s="117"/>
      <c r="D52" s="117"/>
      <c r="E52" s="117"/>
      <c r="F52" s="117"/>
      <c r="G52" s="117"/>
    </row>
    <row r="53" spans="2:7" s="1" customFormat="1" ht="16.5" customHeight="1">
      <c r="B53" s="117"/>
      <c r="C53" s="117"/>
      <c r="D53" s="117"/>
      <c r="E53" s="117"/>
      <c r="F53" s="117"/>
      <c r="G53" s="117"/>
    </row>
    <row r="54" spans="2:7" s="1" customFormat="1" ht="16.5" customHeight="1">
      <c r="B54" s="206" t="s">
        <v>50</v>
      </c>
      <c r="C54" s="207" t="s">
        <v>53</v>
      </c>
      <c r="D54" s="206" t="s">
        <v>48</v>
      </c>
      <c r="E54" s="207" t="s">
        <v>47</v>
      </c>
      <c r="F54" s="207" t="s">
        <v>535</v>
      </c>
      <c r="G54" s="206" t="s">
        <v>534</v>
      </c>
    </row>
    <row r="55" spans="2:7" s="1" customFormat="1" ht="16.5" customHeight="1">
      <c r="B55" s="25">
        <v>42980</v>
      </c>
      <c r="C55" s="51">
        <v>10770</v>
      </c>
      <c r="D55" s="211">
        <v>33.950000000000003</v>
      </c>
      <c r="E55" s="51" t="s">
        <v>3</v>
      </c>
      <c r="F55" s="51" t="s">
        <v>565</v>
      </c>
      <c r="G55" s="27" t="s">
        <v>566</v>
      </c>
    </row>
    <row r="56" spans="2:7" s="1" customFormat="1" ht="16.5" customHeight="1">
      <c r="B56" s="25">
        <v>42980</v>
      </c>
      <c r="C56" s="51">
        <v>10770</v>
      </c>
      <c r="D56" s="211">
        <v>20</v>
      </c>
      <c r="E56" s="51" t="s">
        <v>2</v>
      </c>
      <c r="F56" s="51" t="s">
        <v>178</v>
      </c>
      <c r="G56" s="27"/>
    </row>
    <row r="57" spans="2:7" s="1" customFormat="1" ht="16.5" customHeight="1">
      <c r="B57" s="25">
        <v>42987</v>
      </c>
      <c r="C57" s="51">
        <v>10782</v>
      </c>
      <c r="D57" s="211">
        <v>6.08</v>
      </c>
      <c r="E57" s="51" t="s">
        <v>3</v>
      </c>
      <c r="F57" s="51" t="s">
        <v>567</v>
      </c>
      <c r="G57" s="27" t="s">
        <v>568</v>
      </c>
    </row>
    <row r="58" spans="2:7" s="1" customFormat="1" ht="16.5" customHeight="1">
      <c r="B58" s="25">
        <v>42987</v>
      </c>
      <c r="C58" s="51">
        <v>10782</v>
      </c>
      <c r="D58" s="211">
        <v>10</v>
      </c>
      <c r="E58" s="51" t="s">
        <v>2</v>
      </c>
      <c r="F58" s="51" t="s">
        <v>33</v>
      </c>
      <c r="G58" s="27"/>
    </row>
    <row r="59" spans="2:7" s="1" customFormat="1" ht="16.5" customHeight="1">
      <c r="B59" s="25">
        <v>42980</v>
      </c>
      <c r="C59" s="51">
        <v>10769</v>
      </c>
      <c r="D59" s="211">
        <v>7.83</v>
      </c>
      <c r="E59" s="51" t="s">
        <v>3</v>
      </c>
      <c r="F59" s="51" t="s">
        <v>569</v>
      </c>
      <c r="G59" s="27" t="s">
        <v>570</v>
      </c>
    </row>
    <row r="60" spans="2:7" s="1" customFormat="1" ht="16.5" customHeight="1">
      <c r="B60" s="25">
        <v>42980</v>
      </c>
      <c r="C60" s="51">
        <v>10769</v>
      </c>
      <c r="D60" s="211">
        <v>10</v>
      </c>
      <c r="E60" s="51" t="s">
        <v>2</v>
      </c>
      <c r="F60" s="51" t="s">
        <v>33</v>
      </c>
      <c r="G60" s="27"/>
    </row>
    <row r="61" spans="2:7" s="1" customFormat="1" ht="16.5" customHeight="1">
      <c r="B61" s="25">
        <v>42991</v>
      </c>
      <c r="C61" s="51">
        <v>10795</v>
      </c>
      <c r="D61" s="211">
        <v>3</v>
      </c>
      <c r="E61" s="51" t="s">
        <v>12</v>
      </c>
      <c r="F61" s="51" t="s">
        <v>571</v>
      </c>
      <c r="G61" s="27" t="s">
        <v>572</v>
      </c>
    </row>
    <row r="62" spans="2:7" s="1" customFormat="1" ht="16.5" customHeight="1">
      <c r="B62" s="25">
        <v>42991</v>
      </c>
      <c r="C62" s="51">
        <v>10795</v>
      </c>
      <c r="D62" s="211">
        <v>10</v>
      </c>
      <c r="E62" s="51" t="s">
        <v>2</v>
      </c>
      <c r="F62" s="51" t="s">
        <v>33</v>
      </c>
      <c r="G62" s="27"/>
    </row>
    <row r="63" spans="2:7" s="1" customFormat="1" ht="16.5" customHeight="1">
      <c r="B63" s="25">
        <v>42993</v>
      </c>
      <c r="C63" s="51">
        <v>10798</v>
      </c>
      <c r="D63" s="211">
        <v>7.82</v>
      </c>
      <c r="E63" s="51" t="s">
        <v>3</v>
      </c>
      <c r="F63" s="51" t="s">
        <v>573</v>
      </c>
      <c r="G63" s="27" t="s">
        <v>574</v>
      </c>
    </row>
    <row r="64" spans="2:7" s="1" customFormat="1" ht="16.5" customHeight="1">
      <c r="B64" s="337">
        <v>42993</v>
      </c>
      <c r="C64" s="338">
        <v>10798</v>
      </c>
      <c r="D64" s="339">
        <v>4.1900000000000004</v>
      </c>
      <c r="E64" s="338" t="s">
        <v>3</v>
      </c>
      <c r="F64" s="338" t="s">
        <v>575</v>
      </c>
      <c r="G64" s="340" t="s">
        <v>576</v>
      </c>
    </row>
    <row r="65" spans="2:7" s="1" customFormat="1" ht="16.5" customHeight="1">
      <c r="B65" s="337">
        <v>42993</v>
      </c>
      <c r="C65" s="338">
        <v>10798</v>
      </c>
      <c r="D65" s="339">
        <v>30</v>
      </c>
      <c r="E65" s="338" t="s">
        <v>2</v>
      </c>
      <c r="F65" s="338" t="s">
        <v>577</v>
      </c>
      <c r="G65" s="340"/>
    </row>
    <row r="66" spans="2:7" s="1" customFormat="1" ht="16.5" customHeight="1">
      <c r="B66" s="337">
        <v>42999</v>
      </c>
      <c r="C66" s="338">
        <v>10807</v>
      </c>
      <c r="D66" s="339">
        <v>7.83</v>
      </c>
      <c r="E66" s="338" t="s">
        <v>5</v>
      </c>
      <c r="F66" s="338" t="s">
        <v>578</v>
      </c>
      <c r="G66" s="340" t="s">
        <v>579</v>
      </c>
    </row>
    <row r="67" spans="2:7" s="1" customFormat="1" ht="16.5" customHeight="1">
      <c r="B67" s="337">
        <v>42999</v>
      </c>
      <c r="C67" s="338">
        <v>10807</v>
      </c>
      <c r="D67" s="339">
        <v>10</v>
      </c>
      <c r="E67" s="338" t="s">
        <v>2</v>
      </c>
      <c r="F67" s="338" t="s">
        <v>33</v>
      </c>
      <c r="G67" s="340"/>
    </row>
    <row r="68" spans="2:7" s="1" customFormat="1" ht="16.5" customHeight="1">
      <c r="B68" s="337">
        <v>42999</v>
      </c>
      <c r="C68" s="338">
        <v>10809</v>
      </c>
      <c r="D68" s="339">
        <v>312.94</v>
      </c>
      <c r="E68" s="338" t="s">
        <v>3</v>
      </c>
      <c r="F68" s="338" t="s">
        <v>580</v>
      </c>
      <c r="G68" s="340" t="s">
        <v>581</v>
      </c>
    </row>
    <row r="69" spans="2:7" s="1" customFormat="1" ht="16.5" customHeight="1">
      <c r="B69" s="337">
        <v>42999</v>
      </c>
      <c r="C69" s="338">
        <v>10809</v>
      </c>
      <c r="D69" s="339">
        <v>80</v>
      </c>
      <c r="E69" s="338" t="s">
        <v>2</v>
      </c>
      <c r="F69" s="338" t="s">
        <v>582</v>
      </c>
      <c r="G69" s="340"/>
    </row>
    <row r="70" spans="2:7" s="1" customFormat="1" ht="16.5" customHeight="1">
      <c r="B70" s="341">
        <v>43001</v>
      </c>
      <c r="C70" s="342">
        <v>10813</v>
      </c>
      <c r="D70" s="343">
        <v>2.87</v>
      </c>
      <c r="E70" s="342" t="s">
        <v>17</v>
      </c>
      <c r="F70" s="342" t="s">
        <v>583</v>
      </c>
      <c r="G70" s="342" t="s">
        <v>584</v>
      </c>
    </row>
    <row r="71" spans="2:7" s="1" customFormat="1" ht="16.5" customHeight="1">
      <c r="B71" s="341">
        <v>43001</v>
      </c>
      <c r="C71" s="342">
        <v>10813</v>
      </c>
      <c r="D71" s="343">
        <v>9.0299999999999994</v>
      </c>
      <c r="E71" s="342" t="s">
        <v>17</v>
      </c>
      <c r="F71" s="342" t="s">
        <v>585</v>
      </c>
      <c r="G71" s="342" t="s">
        <v>586</v>
      </c>
    </row>
    <row r="72" spans="2:7" s="1" customFormat="1" ht="16.5" customHeight="1">
      <c r="B72" s="341">
        <v>43001</v>
      </c>
      <c r="C72" s="342">
        <v>10813</v>
      </c>
      <c r="D72" s="343">
        <v>5.04</v>
      </c>
      <c r="E72" s="342" t="s">
        <v>17</v>
      </c>
      <c r="F72" s="342" t="s">
        <v>587</v>
      </c>
      <c r="G72" s="342" t="s">
        <v>588</v>
      </c>
    </row>
    <row r="73" spans="2:7" s="1" customFormat="1" ht="16.5" customHeight="1">
      <c r="B73" s="341">
        <v>43001</v>
      </c>
      <c r="C73" s="342">
        <v>10813</v>
      </c>
      <c r="D73" s="343">
        <v>14</v>
      </c>
      <c r="E73" s="342" t="s">
        <v>17</v>
      </c>
      <c r="F73" s="342" t="s">
        <v>589</v>
      </c>
      <c r="G73" s="342" t="s">
        <v>590</v>
      </c>
    </row>
    <row r="74" spans="2:7" s="1" customFormat="1" ht="16.5" customHeight="1">
      <c r="B74" s="341">
        <v>43001</v>
      </c>
      <c r="C74" s="342">
        <v>10813</v>
      </c>
      <c r="D74" s="343">
        <v>80</v>
      </c>
      <c r="E74" s="342" t="s">
        <v>17</v>
      </c>
      <c r="F74" s="342" t="s">
        <v>591</v>
      </c>
      <c r="G74" s="342"/>
    </row>
    <row r="75" spans="2:7" s="1" customFormat="1" ht="16.5" customHeight="1">
      <c r="B75" s="337">
        <v>43005</v>
      </c>
      <c r="C75" s="338">
        <v>10826</v>
      </c>
      <c r="D75" s="339">
        <v>7.52</v>
      </c>
      <c r="E75" s="338" t="s">
        <v>3</v>
      </c>
      <c r="F75" s="338" t="s">
        <v>592</v>
      </c>
      <c r="G75" s="340" t="s">
        <v>593</v>
      </c>
    </row>
    <row r="76" spans="2:7" s="1" customFormat="1" ht="16.5" customHeight="1">
      <c r="B76" s="337"/>
      <c r="C76" s="338"/>
      <c r="D76" s="339"/>
      <c r="E76" s="338"/>
      <c r="F76" s="338"/>
      <c r="G76" s="340"/>
    </row>
    <row r="77" spans="2:7" s="1" customFormat="1" ht="16.5" customHeight="1">
      <c r="B77" s="212" t="s">
        <v>1</v>
      </c>
      <c r="C77" s="213"/>
      <c r="D77" s="214">
        <f>SUBTOTAL(109,ExpSep71[Amount])</f>
        <v>672.09999999999991</v>
      </c>
      <c r="E77" s="213"/>
      <c r="F77" s="213"/>
      <c r="G77" s="212"/>
    </row>
    <row r="79" spans="2:7" s="1" customFormat="1" ht="29.25" customHeight="1">
      <c r="B79" s="205" t="s">
        <v>70</v>
      </c>
      <c r="C79" s="117"/>
      <c r="D79" s="117"/>
      <c r="E79" s="117"/>
      <c r="F79" s="117"/>
      <c r="G79" s="117"/>
    </row>
    <row r="80" spans="2:7" s="1" customFormat="1" ht="16.5" customHeight="1">
      <c r="B80" s="117"/>
      <c r="C80" s="117"/>
      <c r="D80" s="117"/>
      <c r="E80" s="117"/>
      <c r="F80" s="117"/>
      <c r="G80" s="117"/>
    </row>
    <row r="81" spans="2:7" s="1" customFormat="1" ht="16.5" customHeight="1">
      <c r="B81" s="206" t="s">
        <v>50</v>
      </c>
      <c r="C81" s="207" t="s">
        <v>71</v>
      </c>
      <c r="D81" s="206" t="s">
        <v>48</v>
      </c>
      <c r="E81" s="207" t="s">
        <v>47</v>
      </c>
      <c r="F81" s="207" t="s">
        <v>535</v>
      </c>
      <c r="G81" s="206" t="s">
        <v>534</v>
      </c>
    </row>
    <row r="82" spans="2:7" s="1" customFormat="1" ht="16.5" customHeight="1">
      <c r="B82" s="25">
        <v>43017</v>
      </c>
      <c r="C82" s="51">
        <v>10853</v>
      </c>
      <c r="D82" s="211">
        <v>7.83</v>
      </c>
      <c r="E82" s="51" t="s">
        <v>5</v>
      </c>
      <c r="F82" s="51" t="s">
        <v>594</v>
      </c>
      <c r="G82" s="27" t="s">
        <v>595</v>
      </c>
    </row>
    <row r="83" spans="2:7" s="1" customFormat="1" ht="16.5" customHeight="1">
      <c r="B83" s="25">
        <v>43017</v>
      </c>
      <c r="C83" s="51">
        <v>10853</v>
      </c>
      <c r="D83" s="211">
        <v>10</v>
      </c>
      <c r="E83" s="51" t="s">
        <v>2</v>
      </c>
      <c r="F83" s="51" t="s">
        <v>555</v>
      </c>
      <c r="G83" s="27"/>
    </row>
    <row r="84" spans="2:7" s="1" customFormat="1" ht="16.5" customHeight="1">
      <c r="B84" s="25">
        <v>43020</v>
      </c>
      <c r="C84" s="51" t="s">
        <v>1678</v>
      </c>
      <c r="D84" s="211">
        <v>12</v>
      </c>
      <c r="E84" s="51" t="s">
        <v>1679</v>
      </c>
      <c r="F84" s="51" t="s">
        <v>1680</v>
      </c>
      <c r="G84" s="27" t="s">
        <v>1681</v>
      </c>
    </row>
    <row r="85" spans="2:7" s="1" customFormat="1" ht="16.5" customHeight="1">
      <c r="B85" s="25">
        <v>43022</v>
      </c>
      <c r="C85" s="51">
        <v>10871</v>
      </c>
      <c r="D85" s="211">
        <v>3.64</v>
      </c>
      <c r="E85" s="51" t="s">
        <v>12</v>
      </c>
      <c r="F85" s="51" t="s">
        <v>1717</v>
      </c>
      <c r="G85" s="27" t="s">
        <v>1718</v>
      </c>
    </row>
    <row r="86" spans="2:7" s="1" customFormat="1" ht="16.5" customHeight="1">
      <c r="B86" s="25">
        <v>43022</v>
      </c>
      <c r="C86" s="51">
        <v>10871</v>
      </c>
      <c r="D86" s="211">
        <v>40</v>
      </c>
      <c r="E86" s="51" t="s">
        <v>2</v>
      </c>
      <c r="F86" s="51" t="s">
        <v>1719</v>
      </c>
      <c r="G86" s="27"/>
    </row>
    <row r="87" spans="2:7" s="1" customFormat="1" ht="16.5" customHeight="1">
      <c r="B87" s="25"/>
      <c r="C87" s="51"/>
      <c r="D87" s="211"/>
      <c r="E87" s="51"/>
      <c r="F87" s="51"/>
      <c r="G87" s="27"/>
    </row>
    <row r="88" spans="2:7" s="1" customFormat="1" ht="16.5" customHeight="1">
      <c r="B88" s="25"/>
      <c r="C88" s="51"/>
      <c r="D88" s="211"/>
      <c r="E88" s="51"/>
      <c r="F88" s="51"/>
      <c r="G88" s="27"/>
    </row>
    <row r="89" spans="2:7" s="1" customFormat="1" ht="16.5" customHeight="1">
      <c r="B89" s="25"/>
      <c r="C89" s="51"/>
      <c r="D89" s="211"/>
      <c r="E89" s="51"/>
      <c r="F89" s="51"/>
      <c r="G89" s="27"/>
    </row>
    <row r="90" spans="2:7" s="1" customFormat="1" ht="16.5" customHeight="1">
      <c r="B90" s="25"/>
      <c r="C90" s="51"/>
      <c r="D90" s="211"/>
      <c r="E90" s="51"/>
      <c r="F90" s="51"/>
      <c r="G90" s="27"/>
    </row>
    <row r="91" spans="2:7" s="1" customFormat="1" ht="16.5" customHeight="1">
      <c r="B91" s="25"/>
      <c r="C91" s="51"/>
      <c r="D91" s="211"/>
      <c r="E91" s="51"/>
      <c r="F91" s="51"/>
      <c r="G91" s="27"/>
    </row>
    <row r="92" spans="2:7" s="1" customFormat="1" ht="16.5" customHeight="1">
      <c r="B92" s="25"/>
      <c r="C92" s="51"/>
      <c r="D92" s="211"/>
      <c r="E92" s="51"/>
      <c r="F92" s="51"/>
      <c r="G92" s="27"/>
    </row>
    <row r="93" spans="2:7" s="1" customFormat="1" ht="16.5" customHeight="1">
      <c r="B93" s="212" t="s">
        <v>1</v>
      </c>
      <c r="C93" s="213"/>
      <c r="D93" s="214">
        <f>SUBTOTAL(109,ExpOct72[Amount])</f>
        <v>73.47</v>
      </c>
      <c r="E93" s="213"/>
      <c r="F93" s="213"/>
      <c r="G93" s="212"/>
    </row>
    <row r="95" spans="2:7" s="1" customFormat="1" ht="25.5" customHeight="1">
      <c r="B95" s="205" t="s">
        <v>159</v>
      </c>
      <c r="C95" s="117"/>
      <c r="D95" s="117"/>
      <c r="E95" s="117"/>
      <c r="F95" s="117"/>
      <c r="G95" s="117"/>
    </row>
    <row r="96" spans="2:7" s="1" customFormat="1" ht="16.5" customHeight="1">
      <c r="B96" s="117"/>
      <c r="C96" s="117"/>
      <c r="D96" s="117"/>
      <c r="E96" s="117"/>
      <c r="F96" s="117"/>
      <c r="G96" s="117"/>
    </row>
    <row r="97" spans="2:7" s="1" customFormat="1" ht="16.5" customHeight="1">
      <c r="B97" s="206" t="s">
        <v>50</v>
      </c>
      <c r="C97" s="207" t="s">
        <v>71</v>
      </c>
      <c r="D97" s="206" t="s">
        <v>48</v>
      </c>
      <c r="E97" s="207" t="s">
        <v>47</v>
      </c>
      <c r="F97" s="207" t="s">
        <v>161</v>
      </c>
      <c r="G97" s="206" t="s">
        <v>160</v>
      </c>
    </row>
    <row r="98" spans="2:7" s="1" customFormat="1" ht="16.5" customHeight="1">
      <c r="B98" s="25"/>
      <c r="C98" s="51"/>
      <c r="D98" s="211"/>
      <c r="E98" s="51"/>
      <c r="F98" s="51"/>
      <c r="G98" s="27"/>
    </row>
    <row r="99" spans="2:7" s="1" customFormat="1" ht="16.5" customHeight="1">
      <c r="B99" s="25"/>
      <c r="C99" s="51"/>
      <c r="D99" s="211"/>
      <c r="E99" s="51"/>
      <c r="F99" s="51"/>
      <c r="G99" s="27"/>
    </row>
    <row r="100" spans="2:7" s="1" customFormat="1" ht="16.5" customHeight="1">
      <c r="B100" s="25"/>
      <c r="C100" s="51"/>
      <c r="D100" s="211"/>
      <c r="E100" s="51"/>
      <c r="F100" s="51"/>
      <c r="G100" s="27"/>
    </row>
    <row r="101" spans="2:7" s="1" customFormat="1" ht="16.5" customHeight="1">
      <c r="B101" s="25"/>
      <c r="C101" s="51"/>
      <c r="D101" s="211"/>
      <c r="E101" s="51"/>
      <c r="F101" s="51"/>
      <c r="G101" s="27"/>
    </row>
    <row r="102" spans="2:7" s="1" customFormat="1" ht="16.5" customHeight="1">
      <c r="B102" s="25"/>
      <c r="C102" s="51"/>
      <c r="D102" s="211"/>
      <c r="E102" s="51"/>
      <c r="F102" s="51"/>
      <c r="G102" s="27"/>
    </row>
    <row r="103" spans="2:7" s="1" customFormat="1" ht="16.5" customHeight="1">
      <c r="B103" s="25"/>
      <c r="C103" s="51"/>
      <c r="D103" s="211"/>
      <c r="E103" s="51"/>
      <c r="F103" s="51"/>
      <c r="G103" s="27"/>
    </row>
    <row r="104" spans="2:7" s="1" customFormat="1" ht="16.5" customHeight="1">
      <c r="B104" s="25"/>
      <c r="C104" s="51"/>
      <c r="D104" s="211"/>
      <c r="E104" s="51"/>
      <c r="F104" s="51"/>
      <c r="G104" s="27"/>
    </row>
    <row r="105" spans="2:7" s="1" customFormat="1" ht="16.5" customHeight="1">
      <c r="B105" s="25"/>
      <c r="C105" s="51"/>
      <c r="D105" s="211"/>
      <c r="E105" s="51"/>
      <c r="F105" s="51"/>
      <c r="G105" s="27"/>
    </row>
    <row r="106" spans="2:7" s="1" customFormat="1" ht="16.5" customHeight="1">
      <c r="B106" s="25"/>
      <c r="C106" s="51"/>
      <c r="D106" s="211"/>
      <c r="E106" s="51"/>
      <c r="F106" s="51"/>
      <c r="G106" s="27"/>
    </row>
    <row r="107" spans="2:7" s="1" customFormat="1" ht="16.5" customHeight="1">
      <c r="B107" s="25"/>
      <c r="C107" s="51"/>
      <c r="D107" s="211"/>
      <c r="E107" s="51"/>
      <c r="F107" s="51"/>
      <c r="G107" s="27"/>
    </row>
    <row r="108" spans="2:7" s="1" customFormat="1" ht="16.5" customHeight="1">
      <c r="B108" s="212" t="s">
        <v>1</v>
      </c>
      <c r="C108" s="213"/>
      <c r="D108" s="214">
        <f>SUBTOTAL(109,ExpNov73[Amount])</f>
        <v>0</v>
      </c>
      <c r="E108" s="213"/>
      <c r="F108" s="213"/>
      <c r="G108" s="212"/>
    </row>
    <row r="110" spans="2:7" s="1" customFormat="1" ht="24" customHeight="1">
      <c r="B110" s="205" t="s">
        <v>162</v>
      </c>
      <c r="C110" s="117"/>
      <c r="D110" s="117"/>
      <c r="E110" s="117"/>
      <c r="F110" s="117"/>
      <c r="G110" s="117"/>
    </row>
    <row r="111" spans="2:7" s="1" customFormat="1" ht="16.5" customHeight="1">
      <c r="B111" s="117"/>
      <c r="C111" s="117"/>
      <c r="D111" s="117"/>
      <c r="E111" s="117"/>
      <c r="F111" s="117"/>
      <c r="G111" s="117"/>
    </row>
    <row r="112" spans="2:7" s="1" customFormat="1" ht="16.5" customHeight="1">
      <c r="B112" s="206" t="s">
        <v>50</v>
      </c>
      <c r="C112" s="207" t="s">
        <v>71</v>
      </c>
      <c r="D112" s="206" t="s">
        <v>48</v>
      </c>
      <c r="E112" s="207" t="s">
        <v>47</v>
      </c>
      <c r="F112" s="207" t="s">
        <v>161</v>
      </c>
      <c r="G112" s="206" t="s">
        <v>160</v>
      </c>
    </row>
    <row r="113" spans="2:7" s="1" customFormat="1" ht="16.5" customHeight="1">
      <c r="B113" s="25"/>
      <c r="C113" s="51"/>
      <c r="D113" s="211"/>
      <c r="E113" s="51"/>
      <c r="F113" s="51"/>
      <c r="G113" s="27"/>
    </row>
    <row r="114" spans="2:7" s="1" customFormat="1" ht="16.5" customHeight="1">
      <c r="B114" s="25"/>
      <c r="C114" s="51"/>
      <c r="D114" s="211"/>
      <c r="E114" s="51"/>
      <c r="F114" s="51"/>
      <c r="G114" s="27"/>
    </row>
    <row r="115" spans="2:7" s="1" customFormat="1" ht="16.5" customHeight="1">
      <c r="B115" s="25"/>
      <c r="C115" s="51"/>
      <c r="D115" s="211"/>
      <c r="E115" s="51"/>
      <c r="F115" s="51"/>
      <c r="G115" s="27"/>
    </row>
    <row r="116" spans="2:7" s="1" customFormat="1" ht="16.5" customHeight="1">
      <c r="B116" s="25"/>
      <c r="C116" s="51"/>
      <c r="D116" s="211"/>
      <c r="E116" s="51"/>
      <c r="F116" s="51"/>
      <c r="G116" s="27"/>
    </row>
    <row r="117" spans="2:7" s="1" customFormat="1" ht="16.5" customHeight="1">
      <c r="B117" s="25"/>
      <c r="C117" s="51"/>
      <c r="D117" s="211"/>
      <c r="E117" s="51"/>
      <c r="F117" s="51"/>
      <c r="G117" s="27"/>
    </row>
    <row r="118" spans="2:7" s="1" customFormat="1" ht="16.5" customHeight="1">
      <c r="B118" s="25"/>
      <c r="C118" s="51"/>
      <c r="D118" s="211"/>
      <c r="E118" s="51"/>
      <c r="F118" s="51"/>
      <c r="G118" s="27"/>
    </row>
    <row r="119" spans="2:7" s="1" customFormat="1" ht="16.5" customHeight="1">
      <c r="B119" s="212" t="s">
        <v>1</v>
      </c>
      <c r="C119" s="213"/>
      <c r="D119" s="214">
        <f>SUBTOTAL(109,ExpDec74[Amount])</f>
        <v>0</v>
      </c>
      <c r="E119" s="213"/>
      <c r="F119" s="213"/>
      <c r="G119" s="212"/>
    </row>
    <row r="121" spans="2:7" s="1" customFormat="1" ht="27.75" customHeight="1">
      <c r="B121" s="205" t="s">
        <v>163</v>
      </c>
      <c r="C121" s="117"/>
      <c r="D121" s="117"/>
      <c r="E121" s="117"/>
      <c r="F121" s="117"/>
      <c r="G121" s="117"/>
    </row>
    <row r="122" spans="2:7" s="1" customFormat="1" ht="16.5" customHeight="1">
      <c r="B122" s="117"/>
      <c r="C122" s="117"/>
      <c r="D122" s="117"/>
      <c r="E122" s="117"/>
      <c r="F122" s="117"/>
      <c r="G122" s="117"/>
    </row>
    <row r="123" spans="2:7" s="1" customFormat="1" ht="16.5" customHeight="1">
      <c r="B123" s="206" t="s">
        <v>50</v>
      </c>
      <c r="C123" s="207" t="s">
        <v>164</v>
      </c>
      <c r="D123" s="206" t="s">
        <v>48</v>
      </c>
      <c r="E123" s="207" t="s">
        <v>47</v>
      </c>
      <c r="F123" s="207" t="s">
        <v>161</v>
      </c>
      <c r="G123" s="206" t="s">
        <v>160</v>
      </c>
    </row>
    <row r="124" spans="2:7" s="1" customFormat="1" ht="16.5" customHeight="1">
      <c r="B124" s="25"/>
      <c r="C124" s="51"/>
      <c r="D124" s="211"/>
      <c r="E124" s="51"/>
      <c r="F124" s="51"/>
      <c r="G124" s="27"/>
    </row>
    <row r="125" spans="2:7" s="1" customFormat="1" ht="16.5" customHeight="1">
      <c r="B125" s="25"/>
      <c r="C125" s="51"/>
      <c r="D125" s="211"/>
      <c r="E125" s="51"/>
      <c r="F125" s="51"/>
      <c r="G125" s="27"/>
    </row>
    <row r="126" spans="2:7" s="1" customFormat="1" ht="16.5" customHeight="1">
      <c r="B126" s="25"/>
      <c r="C126" s="51"/>
      <c r="D126" s="211"/>
      <c r="E126" s="51"/>
      <c r="F126" s="51"/>
      <c r="G126" s="27"/>
    </row>
    <row r="127" spans="2:7" s="1" customFormat="1" ht="16.5" customHeight="1">
      <c r="B127" s="25"/>
      <c r="C127" s="51"/>
      <c r="D127" s="211"/>
      <c r="E127" s="51"/>
      <c r="F127" s="51"/>
      <c r="G127" s="27"/>
    </row>
    <row r="128" spans="2:7" s="1" customFormat="1" ht="16.5" customHeight="1">
      <c r="B128" s="25"/>
      <c r="C128" s="51"/>
      <c r="D128" s="211"/>
      <c r="E128" s="51"/>
      <c r="F128" s="51"/>
      <c r="G128" s="27"/>
    </row>
    <row r="129" spans="2:7" s="1" customFormat="1" ht="16.5" customHeight="1">
      <c r="B129" s="27"/>
      <c r="C129" s="26"/>
      <c r="D129" s="211"/>
      <c r="E129" s="26"/>
      <c r="F129" s="26"/>
      <c r="G129" s="27"/>
    </row>
    <row r="130" spans="2:7" s="1" customFormat="1" ht="16.5" customHeight="1">
      <c r="B130" s="27"/>
      <c r="C130" s="26"/>
      <c r="D130" s="211"/>
      <c r="E130" s="26"/>
      <c r="F130" s="26"/>
      <c r="G130" s="27"/>
    </row>
    <row r="131" spans="2:7" s="1" customFormat="1" ht="16.5" customHeight="1">
      <c r="B131" s="27"/>
      <c r="C131" s="26"/>
      <c r="D131" s="211"/>
      <c r="E131" s="26"/>
      <c r="F131" s="26"/>
      <c r="G131" s="27"/>
    </row>
    <row r="132" spans="2:7" s="1" customFormat="1" ht="16.5" customHeight="1">
      <c r="B132" s="27"/>
      <c r="C132" s="26"/>
      <c r="D132" s="211"/>
      <c r="E132" s="26"/>
      <c r="F132" s="26"/>
      <c r="G132" s="27"/>
    </row>
    <row r="133" spans="2:7" s="1" customFormat="1" ht="16.5" customHeight="1">
      <c r="B133" s="27"/>
      <c r="C133" s="26"/>
      <c r="D133" s="211"/>
      <c r="E133" s="26"/>
      <c r="F133" s="26"/>
      <c r="G133" s="27"/>
    </row>
    <row r="134" spans="2:7" s="1" customFormat="1" ht="16.5" customHeight="1">
      <c r="B134" s="27"/>
      <c r="C134" s="26"/>
      <c r="D134" s="211"/>
      <c r="E134" s="26"/>
      <c r="F134" s="26"/>
      <c r="G134" s="27"/>
    </row>
    <row r="135" spans="2:7" s="1" customFormat="1" ht="16.5" customHeight="1">
      <c r="B135" s="212" t="s">
        <v>1</v>
      </c>
      <c r="C135" s="213"/>
      <c r="D135" s="214">
        <f>SUBTOTAL(109,ExpJan75[Amount])</f>
        <v>0</v>
      </c>
      <c r="E135" s="213"/>
      <c r="F135" s="213"/>
      <c r="G135" s="212"/>
    </row>
    <row r="137" spans="2:7" s="1" customFormat="1" ht="26.25" customHeight="1">
      <c r="B137" s="205" t="s">
        <v>165</v>
      </c>
      <c r="C137" s="117"/>
      <c r="D137" s="117"/>
      <c r="E137" s="117"/>
      <c r="F137" s="117"/>
      <c r="G137" s="117"/>
    </row>
    <row r="138" spans="2:7" s="1" customFormat="1" ht="16.5" customHeight="1">
      <c r="B138" s="117"/>
      <c r="C138" s="117"/>
      <c r="D138" s="117"/>
      <c r="E138" s="117"/>
      <c r="F138" s="117"/>
      <c r="G138" s="117"/>
    </row>
    <row r="139" spans="2:7" s="1" customFormat="1" ht="16.5" customHeight="1">
      <c r="B139" s="206" t="s">
        <v>50</v>
      </c>
      <c r="C139" s="207" t="s">
        <v>71</v>
      </c>
      <c r="D139" s="206" t="s">
        <v>48</v>
      </c>
      <c r="E139" s="207" t="s">
        <v>47</v>
      </c>
      <c r="F139" s="206" t="s">
        <v>596</v>
      </c>
      <c r="G139" s="430" t="s">
        <v>45</v>
      </c>
    </row>
    <row r="140" spans="2:7" s="1" customFormat="1" ht="16.5" customHeight="1">
      <c r="B140" s="25"/>
      <c r="C140" s="51"/>
      <c r="D140" s="211"/>
      <c r="E140" s="51"/>
      <c r="F140" s="27"/>
      <c r="G140" s="27"/>
    </row>
    <row r="141" spans="2:7" s="1" customFormat="1" ht="16.5" customHeight="1">
      <c r="B141" s="25"/>
      <c r="C141" s="51"/>
      <c r="D141" s="211"/>
      <c r="E141" s="51"/>
      <c r="F141" s="27"/>
      <c r="G141" s="27"/>
    </row>
    <row r="142" spans="2:7" s="1" customFormat="1" ht="16.5" customHeight="1">
      <c r="B142" s="25"/>
      <c r="C142" s="51"/>
      <c r="D142" s="211"/>
      <c r="E142" s="51"/>
      <c r="F142" s="27"/>
      <c r="G142" s="27"/>
    </row>
    <row r="143" spans="2:7" s="1" customFormat="1" ht="16.5" customHeight="1">
      <c r="B143" s="25"/>
      <c r="C143" s="51"/>
      <c r="D143" s="211"/>
      <c r="E143" s="51"/>
      <c r="F143" s="27"/>
      <c r="G143" s="27"/>
    </row>
    <row r="144" spans="2:7" s="1" customFormat="1" ht="16.5" customHeight="1">
      <c r="B144" s="25"/>
      <c r="C144" s="51"/>
      <c r="D144" s="211"/>
      <c r="E144" s="51"/>
      <c r="F144" s="27"/>
      <c r="G144" s="27"/>
    </row>
    <row r="145" spans="2:7" s="1" customFormat="1" ht="16.5" customHeight="1">
      <c r="B145" s="25"/>
      <c r="C145" s="51"/>
      <c r="D145" s="211"/>
      <c r="E145" s="51"/>
      <c r="F145" s="27"/>
      <c r="G145" s="27"/>
    </row>
    <row r="146" spans="2:7" s="1" customFormat="1" ht="16.5" customHeight="1">
      <c r="B146" s="25"/>
      <c r="C146" s="51"/>
      <c r="D146" s="211"/>
      <c r="E146" s="51"/>
      <c r="F146" s="27"/>
      <c r="G146" s="27"/>
    </row>
    <row r="147" spans="2:7" s="1" customFormat="1" ht="16.5" customHeight="1">
      <c r="B147" s="25"/>
      <c r="C147" s="51"/>
      <c r="D147" s="211"/>
      <c r="E147" s="51"/>
      <c r="F147" s="27"/>
      <c r="G147" s="27"/>
    </row>
    <row r="148" spans="2:7" s="1" customFormat="1" ht="16.5" customHeight="1">
      <c r="B148" s="25"/>
      <c r="C148" s="51"/>
      <c r="D148" s="211"/>
      <c r="E148" s="51"/>
      <c r="F148" s="27"/>
      <c r="G148" s="27"/>
    </row>
    <row r="149" spans="2:7" s="1" customFormat="1" ht="16.5" customHeight="1">
      <c r="B149" s="224" t="s">
        <v>1</v>
      </c>
      <c r="C149" s="225"/>
      <c r="D149" s="226">
        <f>SUBTOTAL(109,ExpFeb76[Amount])</f>
        <v>0</v>
      </c>
      <c r="E149" s="225"/>
      <c r="F149" s="224"/>
      <c r="G149" s="395"/>
    </row>
    <row r="151" spans="2:7" s="1" customFormat="1" ht="24.75" customHeight="1">
      <c r="B151" s="205" t="s">
        <v>166</v>
      </c>
      <c r="C151" s="117"/>
      <c r="D151" s="117"/>
      <c r="E151" s="117"/>
      <c r="F151" s="117"/>
      <c r="G151" s="117"/>
    </row>
    <row r="152" spans="2:7" s="1" customFormat="1" ht="16.5" customHeight="1">
      <c r="B152" s="117"/>
      <c r="C152" s="117"/>
      <c r="D152" s="117"/>
      <c r="E152" s="117"/>
      <c r="F152" s="117"/>
      <c r="G152" s="117"/>
    </row>
    <row r="153" spans="2:7" s="1" customFormat="1" ht="16.5" customHeight="1">
      <c r="B153" s="206" t="s">
        <v>50</v>
      </c>
      <c r="C153" s="207" t="s">
        <v>71</v>
      </c>
      <c r="D153" s="206" t="s">
        <v>48</v>
      </c>
      <c r="E153" s="207" t="s">
        <v>47</v>
      </c>
      <c r="F153" s="207" t="s">
        <v>535</v>
      </c>
      <c r="G153" s="206" t="s">
        <v>534</v>
      </c>
    </row>
    <row r="154" spans="2:7" s="1" customFormat="1" ht="16.5" customHeight="1">
      <c r="B154" s="215"/>
      <c r="C154" s="51"/>
      <c r="D154" s="216"/>
      <c r="E154" s="51"/>
      <c r="F154" s="51"/>
      <c r="G154" s="51"/>
    </row>
    <row r="155" spans="2:7" s="1" customFormat="1" ht="16.5" customHeight="1">
      <c r="B155" s="215"/>
      <c r="C155" s="51"/>
      <c r="D155" s="216"/>
      <c r="E155" s="51"/>
      <c r="F155" s="51"/>
      <c r="G155" s="51"/>
    </row>
    <row r="156" spans="2:7" s="1" customFormat="1" ht="16.5" customHeight="1">
      <c r="B156" s="215"/>
      <c r="C156" s="51"/>
      <c r="D156" s="216"/>
      <c r="E156" s="51"/>
      <c r="F156" s="51"/>
      <c r="G156" s="51"/>
    </row>
    <row r="157" spans="2:7" s="1" customFormat="1" ht="16.5" customHeight="1">
      <c r="B157" s="215"/>
      <c r="C157" s="51"/>
      <c r="D157" s="216"/>
      <c r="E157" s="51"/>
      <c r="F157" s="51"/>
      <c r="G157" s="51"/>
    </row>
    <row r="158" spans="2:7" s="1" customFormat="1" ht="16.5" customHeight="1">
      <c r="B158" s="215"/>
      <c r="C158" s="51"/>
      <c r="D158" s="216"/>
      <c r="E158" s="51"/>
      <c r="F158" s="51"/>
      <c r="G158" s="51"/>
    </row>
    <row r="159" spans="2:7" s="1" customFormat="1" ht="16.5" customHeight="1">
      <c r="B159" s="215"/>
      <c r="C159" s="51"/>
      <c r="D159" s="216"/>
      <c r="E159" s="51"/>
      <c r="F159" s="51"/>
      <c r="G159" s="51"/>
    </row>
    <row r="160" spans="2:7" s="1" customFormat="1" ht="16.5" customHeight="1">
      <c r="B160" s="215"/>
      <c r="C160" s="51"/>
      <c r="D160" s="216"/>
      <c r="E160" s="51"/>
      <c r="F160" s="51"/>
      <c r="G160" s="51"/>
    </row>
    <row r="161" spans="2:7" s="1" customFormat="1" ht="16.5" customHeight="1">
      <c r="B161" s="215"/>
      <c r="C161" s="51"/>
      <c r="D161" s="216"/>
      <c r="E161" s="51"/>
      <c r="F161" s="51"/>
      <c r="G161" s="51"/>
    </row>
    <row r="162" spans="2:7" s="1" customFormat="1" ht="16.5" customHeight="1">
      <c r="B162" s="215"/>
      <c r="C162" s="51"/>
      <c r="D162" s="216"/>
      <c r="E162" s="51"/>
      <c r="F162" s="51"/>
      <c r="G162" s="51"/>
    </row>
    <row r="163" spans="2:7" s="1" customFormat="1" ht="16.5" customHeight="1">
      <c r="B163" s="215"/>
      <c r="C163" s="51"/>
      <c r="D163" s="216"/>
      <c r="E163" s="51"/>
      <c r="F163" s="51"/>
      <c r="G163" s="51"/>
    </row>
    <row r="164" spans="2:7" s="1" customFormat="1" ht="16.5" customHeight="1">
      <c r="B164" s="215"/>
      <c r="C164" s="51"/>
      <c r="D164" s="216"/>
      <c r="E164" s="51"/>
      <c r="F164" s="51"/>
      <c r="G164" s="51"/>
    </row>
    <row r="165" spans="2:7" s="1" customFormat="1" ht="16.5" customHeight="1">
      <c r="B165" s="215"/>
      <c r="C165" s="51"/>
      <c r="D165" s="216"/>
      <c r="E165" s="51"/>
      <c r="F165" s="51"/>
      <c r="G165" s="51"/>
    </row>
    <row r="166" spans="2:7" s="1" customFormat="1" ht="16.5" customHeight="1">
      <c r="B166" s="215"/>
      <c r="C166" s="51"/>
      <c r="D166" s="216"/>
      <c r="E166" s="51"/>
      <c r="F166" s="51"/>
      <c r="G166" s="51"/>
    </row>
    <row r="167" spans="2:7" s="1" customFormat="1" ht="16.5" customHeight="1">
      <c r="B167" s="215"/>
      <c r="C167" s="51"/>
      <c r="D167" s="216"/>
      <c r="E167" s="51"/>
      <c r="F167" s="51"/>
      <c r="G167" s="51"/>
    </row>
    <row r="168" spans="2:7" s="1" customFormat="1" ht="16.5" customHeight="1">
      <c r="B168" s="215"/>
      <c r="C168" s="51"/>
      <c r="D168" s="216"/>
      <c r="E168" s="51"/>
      <c r="F168" s="51"/>
      <c r="G168" s="51"/>
    </row>
    <row r="169" spans="2:7" s="1" customFormat="1" ht="16.5" customHeight="1">
      <c r="B169" s="212" t="s">
        <v>1</v>
      </c>
      <c r="C169" s="213"/>
      <c r="D169" s="214">
        <f>SUBTOTAL(109,ExpMar77[Amount])</f>
        <v>0</v>
      </c>
      <c r="E169" s="213"/>
      <c r="F169" s="213"/>
      <c r="G169" s="212"/>
    </row>
    <row r="171" spans="2:7" s="1" customFormat="1" ht="26.25" customHeight="1">
      <c r="B171" s="205" t="s">
        <v>167</v>
      </c>
      <c r="C171" s="117"/>
      <c r="D171" s="117"/>
      <c r="E171" s="117"/>
      <c r="F171" s="117"/>
      <c r="G171" s="117"/>
    </row>
    <row r="172" spans="2:7" s="1" customFormat="1" ht="16.5" customHeight="1">
      <c r="B172" s="117"/>
      <c r="C172" s="117"/>
      <c r="D172" s="117"/>
      <c r="E172" s="117"/>
      <c r="F172" s="117"/>
      <c r="G172" s="117"/>
    </row>
    <row r="173" spans="2:7" s="1" customFormat="1" ht="16.5" customHeight="1">
      <c r="B173" s="206" t="s">
        <v>50</v>
      </c>
      <c r="C173" s="207" t="s">
        <v>168</v>
      </c>
      <c r="D173" s="206" t="s">
        <v>48</v>
      </c>
      <c r="E173" s="207" t="s">
        <v>47</v>
      </c>
      <c r="F173" s="207" t="s">
        <v>535</v>
      </c>
      <c r="G173" s="206" t="s">
        <v>534</v>
      </c>
    </row>
    <row r="174" spans="2:7" s="1" customFormat="1" ht="16.5" customHeight="1">
      <c r="B174" s="215"/>
      <c r="C174" s="51"/>
      <c r="D174" s="216"/>
      <c r="E174" s="51"/>
      <c r="F174" s="51"/>
      <c r="G174" s="51"/>
    </row>
    <row r="175" spans="2:7" s="1" customFormat="1" ht="16.5" customHeight="1">
      <c r="B175" s="215"/>
      <c r="C175" s="51"/>
      <c r="D175" s="216"/>
      <c r="E175" s="51"/>
      <c r="F175" s="51"/>
      <c r="G175" s="51"/>
    </row>
    <row r="176" spans="2:7" s="1" customFormat="1" ht="16.5" customHeight="1">
      <c r="B176" s="215"/>
      <c r="C176" s="51"/>
      <c r="D176" s="216"/>
      <c r="E176" s="51"/>
      <c r="F176" s="51"/>
      <c r="G176" s="51"/>
    </row>
    <row r="177" spans="2:7" s="1" customFormat="1" ht="16.5" customHeight="1">
      <c r="B177" s="215"/>
      <c r="C177" s="51"/>
      <c r="D177" s="216"/>
      <c r="E177" s="51"/>
      <c r="F177" s="51"/>
      <c r="G177" s="51"/>
    </row>
    <row r="178" spans="2:7" s="1" customFormat="1" ht="16.5" customHeight="1">
      <c r="B178" s="215"/>
      <c r="C178" s="51"/>
      <c r="D178" s="216"/>
      <c r="E178" s="51"/>
      <c r="F178" s="51"/>
      <c r="G178" s="51"/>
    </row>
    <row r="179" spans="2:7" s="1" customFormat="1" ht="16.5" customHeight="1">
      <c r="B179" s="215"/>
      <c r="C179" s="51"/>
      <c r="D179" s="216"/>
      <c r="E179" s="51"/>
      <c r="F179" s="51"/>
      <c r="G179" s="51"/>
    </row>
    <row r="180" spans="2:7" s="1" customFormat="1" ht="16.5" customHeight="1">
      <c r="B180" s="215"/>
      <c r="C180" s="51"/>
      <c r="D180" s="216"/>
      <c r="E180" s="51"/>
      <c r="F180" s="51"/>
      <c r="G180" s="51"/>
    </row>
    <row r="181" spans="2:7" s="1" customFormat="1" ht="16.5" customHeight="1">
      <c r="B181" s="215"/>
      <c r="C181" s="51"/>
      <c r="D181" s="216"/>
      <c r="E181" s="51"/>
      <c r="F181" s="51"/>
      <c r="G181" s="51"/>
    </row>
    <row r="182" spans="2:7" s="1" customFormat="1" ht="16.5" customHeight="1">
      <c r="B182" s="215"/>
      <c r="C182" s="51"/>
      <c r="D182" s="216"/>
      <c r="E182" s="51"/>
      <c r="F182" s="51"/>
      <c r="G182" s="51"/>
    </row>
    <row r="183" spans="2:7" s="1" customFormat="1" ht="16.5" customHeight="1">
      <c r="B183" s="215"/>
      <c r="C183" s="51"/>
      <c r="D183" s="216"/>
      <c r="E183" s="51"/>
      <c r="F183" s="51"/>
      <c r="G183" s="51"/>
    </row>
    <row r="184" spans="2:7" s="1" customFormat="1" ht="16.5" customHeight="1">
      <c r="B184" s="215"/>
      <c r="C184" s="51"/>
      <c r="D184" s="216"/>
      <c r="E184" s="51"/>
      <c r="F184" s="51"/>
      <c r="G184" s="51"/>
    </row>
    <row r="185" spans="2:7" s="1" customFormat="1" ht="16.5" customHeight="1">
      <c r="B185" s="215"/>
      <c r="C185" s="51"/>
      <c r="D185" s="216"/>
      <c r="E185" s="51"/>
      <c r="F185" s="51"/>
      <c r="G185" s="51"/>
    </row>
    <row r="186" spans="2:7" s="1" customFormat="1" ht="16.5" customHeight="1">
      <c r="B186" s="215"/>
      <c r="C186" s="51"/>
      <c r="D186" s="216"/>
      <c r="E186" s="51"/>
      <c r="F186" s="51"/>
      <c r="G186" s="51"/>
    </row>
    <row r="187" spans="2:7" s="1" customFormat="1" ht="16.5" customHeight="1">
      <c r="B187" s="212" t="s">
        <v>1</v>
      </c>
      <c r="C187" s="213"/>
      <c r="D187" s="214">
        <f>SUBTOTAL(109,ExpApr78[Amount])</f>
        <v>0</v>
      </c>
      <c r="E187" s="213"/>
      <c r="F187" s="213"/>
      <c r="G187" s="212"/>
    </row>
    <row r="189" spans="2:7" s="1" customFormat="1" ht="25.5" customHeight="1">
      <c r="B189" s="205" t="s">
        <v>169</v>
      </c>
      <c r="C189" s="117"/>
      <c r="D189" s="117"/>
      <c r="E189" s="117"/>
      <c r="F189" s="117"/>
      <c r="G189" s="117"/>
    </row>
    <row r="190" spans="2:7" s="1" customFormat="1" ht="16.5" customHeight="1">
      <c r="B190" s="117"/>
      <c r="C190" s="117"/>
      <c r="D190" s="117"/>
      <c r="E190" s="117"/>
      <c r="F190" s="117"/>
      <c r="G190" s="117"/>
    </row>
    <row r="191" spans="2:7" s="1" customFormat="1" ht="16.5" customHeight="1">
      <c r="B191" s="206" t="s">
        <v>50</v>
      </c>
      <c r="C191" s="207" t="s">
        <v>71</v>
      </c>
      <c r="D191" s="206" t="s">
        <v>48</v>
      </c>
      <c r="E191" s="207" t="s">
        <v>47</v>
      </c>
      <c r="F191" s="207" t="s">
        <v>535</v>
      </c>
      <c r="G191" s="206" t="s">
        <v>534</v>
      </c>
    </row>
    <row r="192" spans="2:7" s="1" customFormat="1" ht="16.5" customHeight="1">
      <c r="B192" s="215"/>
      <c r="C192" s="51"/>
      <c r="D192" s="216"/>
      <c r="E192" s="51"/>
      <c r="F192" s="51"/>
      <c r="G192" s="51"/>
    </row>
    <row r="193" spans="2:7" s="1" customFormat="1" ht="16.5" customHeight="1">
      <c r="B193" s="215"/>
      <c r="C193" s="51"/>
      <c r="D193" s="216"/>
      <c r="E193" s="51"/>
      <c r="F193" s="51"/>
      <c r="G193" s="51"/>
    </row>
    <row r="194" spans="2:7" s="1" customFormat="1" ht="16.5" customHeight="1">
      <c r="B194" s="215"/>
      <c r="C194" s="51"/>
      <c r="D194" s="216"/>
      <c r="E194" s="51"/>
      <c r="F194" s="51"/>
      <c r="G194" s="51"/>
    </row>
    <row r="195" spans="2:7" s="1" customFormat="1" ht="16.5" customHeight="1">
      <c r="B195" s="215"/>
      <c r="C195" s="51"/>
      <c r="D195" s="216"/>
      <c r="E195" s="51"/>
      <c r="F195" s="51"/>
      <c r="G195" s="51"/>
    </row>
    <row r="196" spans="2:7" s="1" customFormat="1" ht="16.5" customHeight="1">
      <c r="B196" s="431"/>
      <c r="C196" s="338"/>
      <c r="D196" s="432"/>
      <c r="E196" s="338"/>
      <c r="F196" s="338"/>
      <c r="G196" s="338"/>
    </row>
    <row r="197" spans="2:7" s="1" customFormat="1" ht="16.5" customHeight="1">
      <c r="B197" s="431"/>
      <c r="C197" s="338"/>
      <c r="D197" s="432"/>
      <c r="E197" s="338"/>
      <c r="F197" s="338"/>
      <c r="G197" s="338"/>
    </row>
    <row r="198" spans="2:7" s="1" customFormat="1" ht="16.5" customHeight="1">
      <c r="B198" s="431"/>
      <c r="C198" s="338"/>
      <c r="D198" s="432"/>
      <c r="E198" s="338"/>
      <c r="F198" s="338"/>
      <c r="G198" s="338"/>
    </row>
    <row r="199" spans="2:7" s="1" customFormat="1" ht="16.5" customHeight="1">
      <c r="B199" s="431"/>
      <c r="C199" s="338"/>
      <c r="D199" s="432"/>
      <c r="E199" s="338"/>
      <c r="F199" s="338"/>
      <c r="G199" s="338"/>
    </row>
    <row r="200" spans="2:7" s="1" customFormat="1" ht="16.5" customHeight="1">
      <c r="B200" s="431"/>
      <c r="C200" s="338"/>
      <c r="D200" s="432"/>
      <c r="E200" s="338"/>
      <c r="F200" s="338"/>
      <c r="G200" s="338"/>
    </row>
    <row r="201" spans="2:7" s="1" customFormat="1" ht="16.5" customHeight="1">
      <c r="B201" s="431"/>
      <c r="C201" s="338"/>
      <c r="D201" s="432"/>
      <c r="E201" s="338"/>
      <c r="F201" s="338"/>
      <c r="G201" s="338"/>
    </row>
    <row r="202" spans="2:7" s="1" customFormat="1" ht="16.5" customHeight="1">
      <c r="B202" s="224" t="s">
        <v>1</v>
      </c>
      <c r="C202" s="225"/>
      <c r="D202" s="226" t="s">
        <v>597</v>
      </c>
      <c r="E202" s="225"/>
      <c r="F202" s="225"/>
      <c r="G202" s="224"/>
    </row>
    <row r="204" spans="2:7" s="1" customFormat="1" ht="26.25" customHeight="1">
      <c r="B204" s="205" t="s">
        <v>170</v>
      </c>
      <c r="C204" s="117"/>
      <c r="D204" s="117"/>
      <c r="E204" s="117"/>
      <c r="F204" s="117"/>
      <c r="G204" s="117"/>
    </row>
    <row r="205" spans="2:7" s="1" customFormat="1" ht="16.5" customHeight="1">
      <c r="B205" s="117"/>
      <c r="C205" s="117"/>
      <c r="D205" s="117"/>
      <c r="E205" s="117"/>
      <c r="F205" s="117"/>
      <c r="G205" s="117"/>
    </row>
    <row r="206" spans="2:7" s="1" customFormat="1" ht="16.5" customHeight="1">
      <c r="B206" s="206" t="s">
        <v>50</v>
      </c>
      <c r="C206" s="207" t="s">
        <v>155</v>
      </c>
      <c r="D206" s="206" t="s">
        <v>48</v>
      </c>
      <c r="E206" s="207" t="s">
        <v>47</v>
      </c>
      <c r="F206" s="207" t="s">
        <v>535</v>
      </c>
      <c r="G206" s="206" t="s">
        <v>534</v>
      </c>
    </row>
    <row r="207" spans="2:7" s="1" customFormat="1" ht="16.5" customHeight="1">
      <c r="B207" s="25"/>
      <c r="C207" s="51"/>
      <c r="D207" s="211"/>
      <c r="E207" s="51"/>
      <c r="F207" s="51"/>
      <c r="G207" s="27"/>
    </row>
    <row r="208" spans="2:7" s="1" customFormat="1" ht="16.5" customHeight="1">
      <c r="B208" s="25"/>
      <c r="C208" s="51"/>
      <c r="D208" s="211"/>
      <c r="E208" s="51"/>
      <c r="F208" s="51"/>
      <c r="G208" s="27"/>
    </row>
    <row r="209" spans="2:7" s="1" customFormat="1" ht="16.5" customHeight="1">
      <c r="B209" s="25"/>
      <c r="C209" s="51"/>
      <c r="D209" s="211"/>
      <c r="E209" s="51"/>
      <c r="F209" s="51"/>
      <c r="G209" s="27"/>
    </row>
    <row r="210" spans="2:7" s="1" customFormat="1" ht="16.5" customHeight="1">
      <c r="B210" s="25"/>
      <c r="C210" s="51"/>
      <c r="D210" s="211"/>
      <c r="E210" s="51"/>
      <c r="F210" s="51"/>
      <c r="G210" s="27"/>
    </row>
    <row r="211" spans="2:7" s="1" customFormat="1" ht="16.5" customHeight="1">
      <c r="B211" s="25"/>
      <c r="C211" s="51"/>
      <c r="D211" s="211"/>
      <c r="E211" s="51"/>
      <c r="F211" s="51"/>
      <c r="G211" s="27"/>
    </row>
    <row r="212" spans="2:7" s="1" customFormat="1" ht="16.5" customHeight="1">
      <c r="B212" s="25"/>
      <c r="C212" s="51"/>
      <c r="D212" s="211"/>
      <c r="E212" s="51"/>
      <c r="F212" s="51"/>
      <c r="G212" s="27"/>
    </row>
    <row r="213" spans="2:7" s="1" customFormat="1" ht="16.5" customHeight="1">
      <c r="B213" s="25"/>
      <c r="C213" s="51"/>
      <c r="D213" s="211"/>
      <c r="E213" s="51"/>
      <c r="F213" s="51"/>
      <c r="G213" s="27"/>
    </row>
    <row r="214" spans="2:7" s="1" customFormat="1" ht="16.5" customHeight="1">
      <c r="B214" s="25"/>
      <c r="C214" s="51"/>
      <c r="D214" s="211"/>
      <c r="E214" s="51"/>
      <c r="F214" s="51"/>
      <c r="G214" s="27"/>
    </row>
    <row r="215" spans="2:7" s="1" customFormat="1" ht="16.5" customHeight="1">
      <c r="B215" s="25"/>
      <c r="C215" s="51"/>
      <c r="D215" s="211"/>
      <c r="E215" s="51"/>
      <c r="F215" s="51"/>
      <c r="G215" s="27"/>
    </row>
    <row r="216" spans="2:7" s="1" customFormat="1" ht="16.5" customHeight="1">
      <c r="B216" s="25"/>
      <c r="C216" s="51"/>
      <c r="D216" s="211"/>
      <c r="E216" s="51"/>
      <c r="F216" s="51"/>
      <c r="G216" s="27"/>
    </row>
    <row r="217" spans="2:7" s="1" customFormat="1" ht="16.5" customHeight="1">
      <c r="B217" s="25"/>
      <c r="C217" s="51"/>
      <c r="D217" s="211"/>
      <c r="E217" s="51"/>
      <c r="F217" s="51"/>
      <c r="G217" s="27"/>
    </row>
    <row r="218" spans="2:7" s="1" customFormat="1" ht="16.5" customHeight="1">
      <c r="B218" s="224" t="s">
        <v>1</v>
      </c>
      <c r="C218" s="225"/>
      <c r="D218" s="226">
        <f>SUBTOTAL(109,ExpJun80[Amount])</f>
        <v>0</v>
      </c>
      <c r="E218" s="225"/>
      <c r="F218" s="225"/>
      <c r="G218" s="224"/>
    </row>
  </sheetData>
  <dataValidations count="14">
    <dataValidation type="custom" errorStyle="warning" allowBlank="1" showInputMessage="1" showErrorMessage="1" errorTitle="Amount Validation" error="Amount should be a number." sqref="D5:D24 D26 D30:D49 D55:D76 D82:D92 D98:D107 D113:D118 D124:D134 D140:D148 D154:D168 D174:D186 D192:D201 D207:D217">
      <formula1>ISNUMBER($D5)</formula1>
    </dataValidation>
    <dataValidation type="custom" errorStyle="warning" allowBlank="1" showInputMessage="1" showErrorMessage="1" errorTitle="Date Validation" error="A date in July needs be entered  in order for this expense to be added to the Summary sheet." sqref="B5:B24 B26">
      <formula1>MONTH($B5)=7</formula1>
    </dataValidation>
    <dataValidation type="list" errorStyle="warning" allowBlank="1" showInputMessage="1" showErrorMessage="1" errorTitle="Unknown Category" error="An expense from the drop down should be selected in order for it to be included on the Summary sheet." sqref="E5:F24 E26:F26 E30:F49 E55:F76 E82:F92 E98:F107 E113:F118 E124:F134 E140:E148 E154:F168 E174:F186 E192:F201 E207:F217">
      <formula1>ExpenseCategories</formula1>
    </dataValidation>
    <dataValidation type="custom" errorStyle="warning" allowBlank="1" showInputMessage="1" showErrorMessage="1" errorTitle="Date Validation" error="A date in August needs be entered  in order for this expense to be added to the Summary sheet." sqref="B30:B49">
      <formula1>MONTH($B30)=8</formula1>
    </dataValidation>
    <dataValidation type="custom" errorStyle="warning" allowBlank="1" showInputMessage="1" showErrorMessage="1" errorTitle="Date Validation" error="A date in September needs be entered  in order for this expense to be added to the Summary sheet." sqref="B55:B76">
      <formula1>MONTH($B55)=9</formula1>
    </dataValidation>
    <dataValidation type="custom" errorStyle="warning" allowBlank="1" showInputMessage="1" showErrorMessage="1" errorTitle="Date Validation" error="A date in October needs be entered  in order for this expense to be added to the Summary sheet." sqref="B82:B92">
      <formula1>MONTH($B82)=10</formula1>
    </dataValidation>
    <dataValidation type="custom" errorStyle="warning" allowBlank="1" showInputMessage="1" showErrorMessage="1" errorTitle="Date Validation" error="A date in November needs be entered  in order for this expense to be added to the Summary sheet." sqref="B98:B107">
      <formula1>MONTH($B98)=11</formula1>
    </dataValidation>
    <dataValidation type="custom" errorStyle="warning" allowBlank="1" showInputMessage="1" showErrorMessage="1" errorTitle="Date Validation" error="A date in December needs be entered  in order for this expense to be added to the Summary sheet." sqref="B113:B118">
      <formula1>MONTH($B113)=12</formula1>
    </dataValidation>
    <dataValidation type="custom" errorStyle="warning" allowBlank="1" showInputMessage="1" showErrorMessage="1" errorTitle="Date Validation" error="A date in January needs be entered in order for this expense to be added to the Summary sheet." sqref="B124:B134">
      <formula1>MONTH($B124)=1</formula1>
    </dataValidation>
    <dataValidation type="custom" errorStyle="warning" allowBlank="1" showInputMessage="1" showErrorMessage="1" errorTitle="Date Validation" error="A date in February needs be entered in order for this expense to be added to the Summary sheet." sqref="B140:B148">
      <formula1>MONTH($B140)=2</formula1>
    </dataValidation>
    <dataValidation type="custom" errorStyle="warning" allowBlank="1" showInputMessage="1" showErrorMessage="1" errorTitle="Date Validation" error="A date in March needs be entered in order for this expense to be added to the Summary sheet." sqref="B154:B168">
      <formula1>MONTH($B154)=3</formula1>
    </dataValidation>
    <dataValidation type="custom" errorStyle="warning" allowBlank="1" showInputMessage="1" showErrorMessage="1" errorTitle="Date Validation" error="A date in April needs be entered  in order for this expense to be added to the Summary sheet." sqref="B174:B186">
      <formula1>MONTH($B174)=4</formula1>
    </dataValidation>
    <dataValidation type="custom" errorStyle="warning" allowBlank="1" showInputMessage="1" showErrorMessage="1" errorTitle="Date Validation" error="A date in May needs be entered  in order for this expense to be added to the Summary sheet." sqref="B192:B201">
      <formula1>MONTH($B192)=5</formula1>
    </dataValidation>
    <dataValidation type="custom" errorStyle="warning" allowBlank="1" showInputMessage="1" showErrorMessage="1" errorTitle="Date Validation" error="A date in June needs be entered  in order for this expense to be added to the Summary sheet." sqref="B207:B217">
      <formula1>MONTH($B207)=6</formula1>
    </dataValidation>
  </dataValidations>
  <printOptions horizontalCentered="1"/>
  <pageMargins left="0.25" right="0.25" top="0.75" bottom="0.75" header="0.3" footer="0.3"/>
  <pageSetup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78"/>
  <sheetViews>
    <sheetView topLeftCell="A31" workbookViewId="0">
      <selection activeCell="J52" sqref="J52"/>
    </sheetView>
  </sheetViews>
  <sheetFormatPr defaultColWidth="9.140625" defaultRowHeight="12.75"/>
  <cols>
    <col min="1" max="1" width="15.42578125" style="260" customWidth="1"/>
    <col min="2" max="2" width="14" style="260" customWidth="1"/>
    <col min="3" max="3" width="13.28515625" style="260" customWidth="1"/>
    <col min="4" max="4" width="13.5703125" style="260" customWidth="1"/>
    <col min="5" max="5" width="13.7109375" style="260" customWidth="1"/>
    <col min="6" max="6" width="14.7109375" style="260" customWidth="1"/>
    <col min="7" max="7" width="17.7109375" style="260" customWidth="1"/>
    <col min="8" max="16384" width="9.140625" style="260"/>
  </cols>
  <sheetData>
    <row r="1" spans="1:7" ht="13.5" customHeight="1">
      <c r="A1" s="278" t="s">
        <v>155</v>
      </c>
      <c r="B1" s="279" t="s">
        <v>154</v>
      </c>
      <c r="C1" s="280"/>
      <c r="D1" s="279" t="s">
        <v>153</v>
      </c>
      <c r="E1" s="280"/>
      <c r="F1" s="279" t="s">
        <v>152</v>
      </c>
      <c r="G1" s="280"/>
    </row>
    <row r="2" spans="1:7">
      <c r="A2" s="483"/>
      <c r="B2" s="349"/>
      <c r="C2" s="350"/>
      <c r="D2" s="351" t="s">
        <v>630</v>
      </c>
      <c r="E2" s="352">
        <v>4935</v>
      </c>
      <c r="F2" s="285"/>
      <c r="G2" s="484"/>
    </row>
    <row r="3" spans="1:7">
      <c r="A3" s="348">
        <v>7429</v>
      </c>
      <c r="B3" s="354" t="str">
        <f t="shared" ref="B3:B17" si="0">D2</f>
        <v>1.14.13</v>
      </c>
      <c r="C3" s="355">
        <v>4935</v>
      </c>
      <c r="D3" s="356" t="s">
        <v>629</v>
      </c>
      <c r="E3" s="357">
        <v>10044</v>
      </c>
      <c r="F3" s="358">
        <f t="shared" ref="F3:F38" si="1">SUM(E3-E2)</f>
        <v>5109</v>
      </c>
      <c r="G3" s="485" t="b">
        <f t="shared" ref="G3:G38" si="2">IF(F3&gt;5250,"OVER")</f>
        <v>0</v>
      </c>
    </row>
    <row r="4" spans="1:7">
      <c r="A4" s="348">
        <v>7494</v>
      </c>
      <c r="B4" s="354" t="str">
        <f t="shared" si="0"/>
        <v>3.1.13</v>
      </c>
      <c r="C4" s="355">
        <v>10044</v>
      </c>
      <c r="D4" s="356" t="s">
        <v>628</v>
      </c>
      <c r="E4" s="357">
        <v>14883</v>
      </c>
      <c r="F4" s="358">
        <f t="shared" si="1"/>
        <v>4839</v>
      </c>
      <c r="G4" s="485" t="b">
        <f t="shared" si="2"/>
        <v>0</v>
      </c>
    </row>
    <row r="5" spans="1:7">
      <c r="A5" s="348">
        <v>7543</v>
      </c>
      <c r="B5" s="354" t="str">
        <f t="shared" si="0"/>
        <v>4.15.13</v>
      </c>
      <c r="C5" s="355">
        <v>14883</v>
      </c>
      <c r="D5" s="356" t="s">
        <v>627</v>
      </c>
      <c r="E5" s="357">
        <v>19915</v>
      </c>
      <c r="F5" s="358">
        <f t="shared" si="1"/>
        <v>5032</v>
      </c>
      <c r="G5" s="485" t="b">
        <f t="shared" si="2"/>
        <v>0</v>
      </c>
    </row>
    <row r="6" spans="1:7">
      <c r="A6" s="348">
        <v>7606</v>
      </c>
      <c r="B6" s="354" t="str">
        <f t="shared" si="0"/>
        <v>5.31.13</v>
      </c>
      <c r="C6" s="355">
        <v>19915</v>
      </c>
      <c r="D6" s="356" t="s">
        <v>626</v>
      </c>
      <c r="E6" s="357">
        <v>25055</v>
      </c>
      <c r="F6" s="358">
        <f t="shared" si="1"/>
        <v>5140</v>
      </c>
      <c r="G6" s="485" t="b">
        <f t="shared" si="2"/>
        <v>0</v>
      </c>
    </row>
    <row r="7" spans="1:7">
      <c r="A7" s="348">
        <v>7700</v>
      </c>
      <c r="B7" s="354" t="str">
        <f t="shared" si="0"/>
        <v>7.18.13</v>
      </c>
      <c r="C7" s="355">
        <v>25055</v>
      </c>
      <c r="D7" s="356" t="s">
        <v>149</v>
      </c>
      <c r="E7" s="357">
        <v>30292</v>
      </c>
      <c r="F7" s="358">
        <f t="shared" si="1"/>
        <v>5237</v>
      </c>
      <c r="G7" s="485" t="b">
        <f t="shared" si="2"/>
        <v>0</v>
      </c>
    </row>
    <row r="8" spans="1:7">
      <c r="A8" s="348">
        <v>7789</v>
      </c>
      <c r="B8" s="354" t="str">
        <f t="shared" si="0"/>
        <v>9.3.13</v>
      </c>
      <c r="C8" s="355">
        <v>30292</v>
      </c>
      <c r="D8" s="356" t="s">
        <v>625</v>
      </c>
      <c r="E8" s="357">
        <v>34900</v>
      </c>
      <c r="F8" s="358">
        <f t="shared" si="1"/>
        <v>4608</v>
      </c>
      <c r="G8" s="485" t="b">
        <f t="shared" si="2"/>
        <v>0</v>
      </c>
    </row>
    <row r="9" spans="1:7">
      <c r="A9" s="348">
        <v>7873</v>
      </c>
      <c r="B9" s="354" t="str">
        <f t="shared" si="0"/>
        <v>10.14.13</v>
      </c>
      <c r="C9" s="355">
        <v>34900</v>
      </c>
      <c r="D9" s="356" t="s">
        <v>624</v>
      </c>
      <c r="E9" s="357">
        <v>39993</v>
      </c>
      <c r="F9" s="358">
        <f t="shared" si="1"/>
        <v>5093</v>
      </c>
      <c r="G9" s="485" t="b">
        <f t="shared" si="2"/>
        <v>0</v>
      </c>
    </row>
    <row r="10" spans="1:7">
      <c r="A10" s="348">
        <v>7975</v>
      </c>
      <c r="B10" s="354" t="str">
        <f t="shared" si="0"/>
        <v>11.26.13</v>
      </c>
      <c r="C10" s="355">
        <v>39993</v>
      </c>
      <c r="D10" s="356" t="s">
        <v>623</v>
      </c>
      <c r="E10" s="357">
        <v>45131</v>
      </c>
      <c r="F10" s="358">
        <f t="shared" si="1"/>
        <v>5138</v>
      </c>
      <c r="G10" s="485" t="b">
        <f t="shared" si="2"/>
        <v>0</v>
      </c>
    </row>
    <row r="11" spans="1:7">
      <c r="A11" s="348">
        <v>8078</v>
      </c>
      <c r="B11" s="354" t="str">
        <f t="shared" si="0"/>
        <v>1.13.14</v>
      </c>
      <c r="C11" s="355">
        <v>45131</v>
      </c>
      <c r="D11" s="356" t="s">
        <v>223</v>
      </c>
      <c r="E11" s="357">
        <v>50068</v>
      </c>
      <c r="F11" s="358">
        <f t="shared" si="1"/>
        <v>4937</v>
      </c>
      <c r="G11" s="485" t="b">
        <f t="shared" si="2"/>
        <v>0</v>
      </c>
    </row>
    <row r="12" spans="1:7">
      <c r="A12" s="348">
        <v>8165</v>
      </c>
      <c r="B12" s="354" t="str">
        <f t="shared" si="0"/>
        <v>2.24.14</v>
      </c>
      <c r="C12" s="355">
        <v>50068</v>
      </c>
      <c r="D12" s="356" t="s">
        <v>622</v>
      </c>
      <c r="E12" s="357">
        <v>55103</v>
      </c>
      <c r="F12" s="358">
        <f t="shared" si="1"/>
        <v>5035</v>
      </c>
      <c r="G12" s="485" t="b">
        <f t="shared" si="2"/>
        <v>0</v>
      </c>
    </row>
    <row r="13" spans="1:7">
      <c r="A13" s="348">
        <v>8321</v>
      </c>
      <c r="B13" s="354" t="str">
        <f t="shared" si="0"/>
        <v>4.28.14</v>
      </c>
      <c r="C13" s="355">
        <v>55103</v>
      </c>
      <c r="D13" s="356" t="s">
        <v>621</v>
      </c>
      <c r="E13" s="357">
        <v>60016</v>
      </c>
      <c r="F13" s="358">
        <f t="shared" si="1"/>
        <v>4913</v>
      </c>
      <c r="G13" s="485" t="b">
        <f t="shared" si="2"/>
        <v>0</v>
      </c>
    </row>
    <row r="14" spans="1:7">
      <c r="A14" s="348">
        <v>8421</v>
      </c>
      <c r="B14" s="354" t="str">
        <f t="shared" si="0"/>
        <v>6.16.14</v>
      </c>
      <c r="C14" s="355">
        <v>60016</v>
      </c>
      <c r="D14" s="356" t="s">
        <v>620</v>
      </c>
      <c r="E14" s="357">
        <v>65023</v>
      </c>
      <c r="F14" s="358">
        <f t="shared" si="1"/>
        <v>5007</v>
      </c>
      <c r="G14" s="485" t="b">
        <f t="shared" si="2"/>
        <v>0</v>
      </c>
    </row>
    <row r="15" spans="1:7">
      <c r="A15" s="348">
        <v>8564</v>
      </c>
      <c r="B15" s="354" t="str">
        <f t="shared" si="0"/>
        <v>8.6.14</v>
      </c>
      <c r="C15" s="361">
        <v>65023</v>
      </c>
      <c r="D15" s="362" t="s">
        <v>619</v>
      </c>
      <c r="E15" s="363">
        <v>69927</v>
      </c>
      <c r="F15" s="358">
        <f t="shared" si="1"/>
        <v>4904</v>
      </c>
      <c r="G15" s="485" t="b">
        <f t="shared" si="2"/>
        <v>0</v>
      </c>
    </row>
    <row r="16" spans="1:7" ht="13.5" thickBot="1">
      <c r="A16" s="364">
        <v>8641</v>
      </c>
      <c r="B16" s="354" t="str">
        <f t="shared" si="0"/>
        <v>9.30.14</v>
      </c>
      <c r="C16" s="365">
        <v>69927</v>
      </c>
      <c r="D16" s="366" t="s">
        <v>618</v>
      </c>
      <c r="E16" s="367">
        <v>75008</v>
      </c>
      <c r="F16" s="358">
        <f t="shared" si="1"/>
        <v>5081</v>
      </c>
      <c r="G16" s="486" t="b">
        <f t="shared" si="2"/>
        <v>0</v>
      </c>
    </row>
    <row r="17" spans="1:7" ht="13.5" thickBot="1">
      <c r="A17" s="369">
        <v>8756</v>
      </c>
      <c r="B17" s="354" t="str">
        <f t="shared" si="0"/>
        <v>11.15.14</v>
      </c>
      <c r="C17" s="370">
        <v>75008</v>
      </c>
      <c r="D17" s="371" t="s">
        <v>617</v>
      </c>
      <c r="E17" s="372">
        <v>80029</v>
      </c>
      <c r="F17" s="358">
        <f t="shared" si="1"/>
        <v>5021</v>
      </c>
      <c r="G17" s="487" t="b">
        <f t="shared" si="2"/>
        <v>0</v>
      </c>
    </row>
    <row r="18" spans="1:7">
      <c r="A18" s="374">
        <v>8843</v>
      </c>
      <c r="B18" s="354" t="s">
        <v>617</v>
      </c>
      <c r="C18" s="375">
        <v>80029</v>
      </c>
      <c r="D18" s="403" t="s">
        <v>616</v>
      </c>
      <c r="E18" s="377">
        <v>84955</v>
      </c>
      <c r="F18" s="358">
        <f t="shared" si="1"/>
        <v>4926</v>
      </c>
      <c r="G18" s="488" t="b">
        <f t="shared" si="2"/>
        <v>0</v>
      </c>
    </row>
    <row r="19" spans="1:7">
      <c r="A19" s="348">
        <v>8936</v>
      </c>
      <c r="B19" s="354" t="str">
        <f t="shared" ref="B19:B38" si="3">D18</f>
        <v>2.12.15</v>
      </c>
      <c r="C19" s="355">
        <v>84955</v>
      </c>
      <c r="D19" s="356" t="s">
        <v>615</v>
      </c>
      <c r="E19" s="357">
        <v>90087</v>
      </c>
      <c r="F19" s="358">
        <f t="shared" si="1"/>
        <v>5132</v>
      </c>
      <c r="G19" s="485" t="b">
        <f t="shared" si="2"/>
        <v>0</v>
      </c>
    </row>
    <row r="20" spans="1:7">
      <c r="A20" s="348">
        <v>9043</v>
      </c>
      <c r="B20" s="354" t="str">
        <f t="shared" si="3"/>
        <v>3.31.15</v>
      </c>
      <c r="C20" s="355">
        <v>90087</v>
      </c>
      <c r="D20" s="356" t="s">
        <v>275</v>
      </c>
      <c r="E20" s="357">
        <v>94956</v>
      </c>
      <c r="F20" s="358">
        <f t="shared" si="1"/>
        <v>4869</v>
      </c>
      <c r="G20" s="485" t="b">
        <f t="shared" si="2"/>
        <v>0</v>
      </c>
    </row>
    <row r="21" spans="1:7">
      <c r="A21" s="348">
        <v>9105</v>
      </c>
      <c r="B21" s="354" t="str">
        <f t="shared" si="3"/>
        <v>5.6.15</v>
      </c>
      <c r="C21" s="355">
        <v>94956</v>
      </c>
      <c r="D21" s="356" t="s">
        <v>614</v>
      </c>
      <c r="E21" s="357">
        <v>99880</v>
      </c>
      <c r="F21" s="358">
        <f t="shared" si="1"/>
        <v>4924</v>
      </c>
      <c r="G21" s="485" t="b">
        <f t="shared" si="2"/>
        <v>0</v>
      </c>
    </row>
    <row r="22" spans="1:7">
      <c r="A22" s="348">
        <v>9178</v>
      </c>
      <c r="B22" s="354" t="str">
        <f t="shared" si="3"/>
        <v>6.17.15</v>
      </c>
      <c r="C22" s="355">
        <v>99880</v>
      </c>
      <c r="D22" s="356" t="s">
        <v>613</v>
      </c>
      <c r="E22" s="357">
        <v>104953</v>
      </c>
      <c r="F22" s="358">
        <f t="shared" si="1"/>
        <v>5073</v>
      </c>
      <c r="G22" s="489" t="b">
        <f t="shared" si="2"/>
        <v>0</v>
      </c>
    </row>
    <row r="23" spans="1:7">
      <c r="A23" s="348">
        <v>9418</v>
      </c>
      <c r="B23" s="354" t="str">
        <f t="shared" si="3"/>
        <v>8.4.15</v>
      </c>
      <c r="C23" s="355">
        <v>104953</v>
      </c>
      <c r="D23" s="356" t="s">
        <v>612</v>
      </c>
      <c r="E23" s="357">
        <v>109945</v>
      </c>
      <c r="F23" s="358">
        <f t="shared" si="1"/>
        <v>4992</v>
      </c>
      <c r="G23" s="485" t="b">
        <f t="shared" si="2"/>
        <v>0</v>
      </c>
    </row>
    <row r="24" spans="1:7">
      <c r="A24" s="348">
        <v>9355</v>
      </c>
      <c r="B24" s="354" t="str">
        <f t="shared" si="3"/>
        <v>9.18.15</v>
      </c>
      <c r="C24" s="355">
        <v>109945</v>
      </c>
      <c r="D24" s="356" t="s">
        <v>611</v>
      </c>
      <c r="E24" s="357">
        <v>115070</v>
      </c>
      <c r="F24" s="358">
        <f t="shared" si="1"/>
        <v>5125</v>
      </c>
      <c r="G24" s="485" t="b">
        <f t="shared" si="2"/>
        <v>0</v>
      </c>
    </row>
    <row r="25" spans="1:7">
      <c r="A25" s="348">
        <v>9471</v>
      </c>
      <c r="B25" s="354" t="str">
        <f t="shared" si="3"/>
        <v>11.12.15</v>
      </c>
      <c r="C25" s="355">
        <v>115070</v>
      </c>
      <c r="D25" s="356" t="s">
        <v>610</v>
      </c>
      <c r="E25" s="357">
        <v>120041</v>
      </c>
      <c r="F25" s="358">
        <f t="shared" si="1"/>
        <v>4971</v>
      </c>
      <c r="G25" s="485" t="b">
        <f t="shared" si="2"/>
        <v>0</v>
      </c>
    </row>
    <row r="26" spans="1:7">
      <c r="A26" s="348">
        <v>9548</v>
      </c>
      <c r="B26" s="354" t="str">
        <f t="shared" si="3"/>
        <v>12.22.15</v>
      </c>
      <c r="C26" s="355">
        <v>120041</v>
      </c>
      <c r="D26" s="356" t="s">
        <v>609</v>
      </c>
      <c r="E26" s="357">
        <v>124914</v>
      </c>
      <c r="F26" s="358">
        <f t="shared" si="1"/>
        <v>4873</v>
      </c>
      <c r="G26" s="485" t="b">
        <f t="shared" si="2"/>
        <v>0</v>
      </c>
    </row>
    <row r="27" spans="1:7">
      <c r="A27" s="348">
        <v>9622</v>
      </c>
      <c r="B27" s="354" t="str">
        <f t="shared" si="3"/>
        <v>1.30.16</v>
      </c>
      <c r="C27" s="355">
        <v>124914</v>
      </c>
      <c r="D27" s="356" t="s">
        <v>608</v>
      </c>
      <c r="E27" s="357">
        <v>129918</v>
      </c>
      <c r="F27" s="358">
        <f t="shared" si="1"/>
        <v>5004</v>
      </c>
      <c r="G27" s="485" t="b">
        <f t="shared" si="2"/>
        <v>0</v>
      </c>
    </row>
    <row r="28" spans="1:7">
      <c r="A28" s="348">
        <v>9710</v>
      </c>
      <c r="B28" s="354" t="str">
        <f t="shared" si="3"/>
        <v>3.19.16</v>
      </c>
      <c r="C28" s="355">
        <v>129918</v>
      </c>
      <c r="D28" s="356" t="s">
        <v>607</v>
      </c>
      <c r="E28" s="357">
        <v>134928</v>
      </c>
      <c r="F28" s="358">
        <f t="shared" si="1"/>
        <v>5010</v>
      </c>
      <c r="G28" s="485" t="b">
        <f t="shared" si="2"/>
        <v>0</v>
      </c>
    </row>
    <row r="29" spans="1:7">
      <c r="A29" s="348">
        <v>9791</v>
      </c>
      <c r="B29" s="354" t="str">
        <f t="shared" si="3"/>
        <v>4.30.16</v>
      </c>
      <c r="C29" s="355">
        <v>134928</v>
      </c>
      <c r="D29" s="356" t="s">
        <v>606</v>
      </c>
      <c r="E29" s="357">
        <v>139904</v>
      </c>
      <c r="F29" s="358">
        <f t="shared" si="1"/>
        <v>4976</v>
      </c>
      <c r="G29" s="485" t="b">
        <f t="shared" si="2"/>
        <v>0</v>
      </c>
    </row>
    <row r="30" spans="1:7">
      <c r="A30" s="348">
        <v>9875</v>
      </c>
      <c r="B30" s="354" t="str">
        <f t="shared" si="3"/>
        <v>6.27.16</v>
      </c>
      <c r="C30" s="355">
        <v>139904</v>
      </c>
      <c r="D30" s="356" t="s">
        <v>605</v>
      </c>
      <c r="E30" s="357">
        <v>144979</v>
      </c>
      <c r="F30" s="358">
        <f t="shared" si="1"/>
        <v>5075</v>
      </c>
      <c r="G30" s="485" t="b">
        <f t="shared" si="2"/>
        <v>0</v>
      </c>
    </row>
    <row r="31" spans="1:7">
      <c r="A31" s="348">
        <v>10117</v>
      </c>
      <c r="B31" s="354" t="str">
        <f t="shared" si="3"/>
        <v>8.27.16</v>
      </c>
      <c r="C31" s="355">
        <v>144979</v>
      </c>
      <c r="D31" s="356" t="s">
        <v>604</v>
      </c>
      <c r="E31" s="357">
        <v>149935</v>
      </c>
      <c r="F31" s="358">
        <f t="shared" si="1"/>
        <v>4956</v>
      </c>
      <c r="G31" s="485" t="b">
        <f t="shared" si="2"/>
        <v>0</v>
      </c>
    </row>
    <row r="32" spans="1:7">
      <c r="A32" s="348"/>
      <c r="B32" s="354" t="str">
        <f t="shared" si="3"/>
        <v>10.25.16</v>
      </c>
      <c r="C32" s="355">
        <v>149935</v>
      </c>
      <c r="D32" s="356" t="s">
        <v>603</v>
      </c>
      <c r="E32" s="357">
        <v>154929</v>
      </c>
      <c r="F32" s="358">
        <f t="shared" si="1"/>
        <v>4994</v>
      </c>
      <c r="G32" s="485" t="b">
        <f t="shared" si="2"/>
        <v>0</v>
      </c>
    </row>
    <row r="33" spans="1:7">
      <c r="A33" s="348">
        <v>10249</v>
      </c>
      <c r="B33" s="354" t="str">
        <f t="shared" si="3"/>
        <v>1.16.17</v>
      </c>
      <c r="C33" s="355">
        <v>154929</v>
      </c>
      <c r="D33" s="356" t="s">
        <v>602</v>
      </c>
      <c r="E33" s="357">
        <v>159816</v>
      </c>
      <c r="F33" s="358">
        <f t="shared" si="1"/>
        <v>4887</v>
      </c>
      <c r="G33" s="485" t="b">
        <f t="shared" si="2"/>
        <v>0</v>
      </c>
    </row>
    <row r="34" spans="1:7">
      <c r="A34" s="348">
        <v>10337</v>
      </c>
      <c r="B34" s="354" t="str">
        <f t="shared" si="3"/>
        <v>3.3.17</v>
      </c>
      <c r="C34" s="355">
        <v>159816</v>
      </c>
      <c r="D34" s="356" t="s">
        <v>601</v>
      </c>
      <c r="E34" s="357">
        <v>164807</v>
      </c>
      <c r="F34" s="358">
        <f t="shared" si="1"/>
        <v>4991</v>
      </c>
      <c r="G34" s="485" t="b">
        <f t="shared" si="2"/>
        <v>0</v>
      </c>
    </row>
    <row r="35" spans="1:7">
      <c r="A35" s="348">
        <v>10413</v>
      </c>
      <c r="B35" s="354" t="str">
        <f t="shared" si="3"/>
        <v>4.13.17</v>
      </c>
      <c r="C35" s="355">
        <v>164807</v>
      </c>
      <c r="D35" s="356" t="s">
        <v>600</v>
      </c>
      <c r="E35" s="357">
        <v>169846</v>
      </c>
      <c r="F35" s="358">
        <f t="shared" si="1"/>
        <v>5039</v>
      </c>
      <c r="G35" s="485" t="b">
        <f t="shared" si="2"/>
        <v>0</v>
      </c>
    </row>
    <row r="36" spans="1:7">
      <c r="A36" s="348">
        <v>10498</v>
      </c>
      <c r="B36" s="354" t="str">
        <f t="shared" si="3"/>
        <v>5.24.17</v>
      </c>
      <c r="C36" s="355">
        <v>169846</v>
      </c>
      <c r="D36" s="356" t="s">
        <v>599</v>
      </c>
      <c r="E36" s="357">
        <v>174917</v>
      </c>
      <c r="F36" s="358">
        <f t="shared" si="1"/>
        <v>5071</v>
      </c>
      <c r="G36" s="485" t="b">
        <f t="shared" si="2"/>
        <v>0</v>
      </c>
    </row>
    <row r="37" spans="1:7">
      <c r="A37" s="348">
        <v>10614</v>
      </c>
      <c r="B37" s="354" t="str">
        <f t="shared" si="3"/>
        <v>7.3.17</v>
      </c>
      <c r="C37" s="355">
        <v>174917</v>
      </c>
      <c r="D37" s="356" t="s">
        <v>598</v>
      </c>
      <c r="E37" s="357">
        <v>180078</v>
      </c>
      <c r="F37" s="358">
        <f t="shared" si="1"/>
        <v>5161</v>
      </c>
      <c r="G37" s="485" t="b">
        <f t="shared" si="2"/>
        <v>0</v>
      </c>
    </row>
    <row r="38" spans="1:7">
      <c r="A38" s="348">
        <v>10713</v>
      </c>
      <c r="B38" s="354" t="str">
        <f t="shared" si="3"/>
        <v>8.14.17</v>
      </c>
      <c r="C38" s="355">
        <v>180078</v>
      </c>
      <c r="D38" s="356"/>
      <c r="E38" s="357"/>
      <c r="F38" s="358">
        <f t="shared" si="1"/>
        <v>-180078</v>
      </c>
      <c r="G38" s="485" t="b">
        <f t="shared" si="2"/>
        <v>0</v>
      </c>
    </row>
    <row r="39" spans="1:7">
      <c r="G39" s="490"/>
    </row>
    <row r="40" spans="1:7" ht="13.5" thickBot="1">
      <c r="A40" s="491" t="s">
        <v>494</v>
      </c>
    </row>
    <row r="41" spans="1:7">
      <c r="A41" s="278" t="s">
        <v>155</v>
      </c>
      <c r="B41" s="279" t="s">
        <v>154</v>
      </c>
      <c r="C41" s="280"/>
      <c r="D41" s="279" t="s">
        <v>153</v>
      </c>
      <c r="E41" s="280"/>
      <c r="F41" s="279" t="s">
        <v>152</v>
      </c>
      <c r="G41" s="280"/>
    </row>
    <row r="42" spans="1:7">
      <c r="A42" s="483"/>
      <c r="B42" s="349"/>
      <c r="C42" s="350"/>
      <c r="D42" s="351" t="s">
        <v>598</v>
      </c>
      <c r="E42" s="352">
        <v>180078</v>
      </c>
      <c r="F42" s="285"/>
      <c r="G42" s="484"/>
    </row>
    <row r="43" spans="1:7">
      <c r="A43" s="348">
        <v>10713</v>
      </c>
      <c r="B43" s="354" t="str">
        <f t="shared" ref="B43:B78" si="4">D42</f>
        <v>8.14.17</v>
      </c>
      <c r="C43" s="355">
        <v>180078</v>
      </c>
      <c r="D43" s="356" t="s">
        <v>631</v>
      </c>
      <c r="E43" s="357">
        <v>184911</v>
      </c>
      <c r="F43" s="358">
        <f t="shared" ref="F43:F58" si="5">SUM(E43-E42)</f>
        <v>4833</v>
      </c>
      <c r="G43" s="485" t="b">
        <f t="shared" ref="G43:G78" si="6">IF(F43&gt;5250,"OVER")</f>
        <v>0</v>
      </c>
    </row>
    <row r="44" spans="1:7">
      <c r="A44" s="348">
        <v>10813</v>
      </c>
      <c r="B44" s="354" t="str">
        <f t="shared" si="4"/>
        <v>9.23.17</v>
      </c>
      <c r="C44" s="355">
        <v>184911</v>
      </c>
      <c r="D44" s="356"/>
      <c r="E44" s="357"/>
      <c r="F44" s="358">
        <f t="shared" si="5"/>
        <v>-184911</v>
      </c>
      <c r="G44" s="485" t="b">
        <f t="shared" si="6"/>
        <v>0</v>
      </c>
    </row>
    <row r="45" spans="1:7">
      <c r="A45" s="348"/>
      <c r="B45" s="354">
        <f t="shared" si="4"/>
        <v>0</v>
      </c>
      <c r="C45" s="355"/>
      <c r="D45" s="356"/>
      <c r="E45" s="357"/>
      <c r="F45" s="358">
        <f t="shared" si="5"/>
        <v>0</v>
      </c>
      <c r="G45" s="485" t="b">
        <f t="shared" si="6"/>
        <v>0</v>
      </c>
    </row>
    <row r="46" spans="1:7">
      <c r="A46" s="348"/>
      <c r="B46" s="354">
        <f t="shared" si="4"/>
        <v>0</v>
      </c>
      <c r="C46" s="355"/>
      <c r="D46" s="356"/>
      <c r="E46" s="357"/>
      <c r="F46" s="358">
        <f t="shared" si="5"/>
        <v>0</v>
      </c>
      <c r="G46" s="485" t="b">
        <f t="shared" si="6"/>
        <v>0</v>
      </c>
    </row>
    <row r="47" spans="1:7">
      <c r="A47" s="348"/>
      <c r="B47" s="354">
        <f t="shared" si="4"/>
        <v>0</v>
      </c>
      <c r="C47" s="355"/>
      <c r="D47" s="356"/>
      <c r="E47" s="357"/>
      <c r="F47" s="358">
        <f t="shared" si="5"/>
        <v>0</v>
      </c>
      <c r="G47" s="485" t="b">
        <f t="shared" si="6"/>
        <v>0</v>
      </c>
    </row>
    <row r="48" spans="1:7">
      <c r="A48" s="348"/>
      <c r="B48" s="354">
        <f t="shared" si="4"/>
        <v>0</v>
      </c>
      <c r="C48" s="355"/>
      <c r="D48" s="356"/>
      <c r="E48" s="357"/>
      <c r="F48" s="358">
        <f t="shared" si="5"/>
        <v>0</v>
      </c>
      <c r="G48" s="485" t="b">
        <f t="shared" si="6"/>
        <v>0</v>
      </c>
    </row>
    <row r="49" spans="1:7">
      <c r="A49" s="348"/>
      <c r="B49" s="354">
        <f t="shared" si="4"/>
        <v>0</v>
      </c>
      <c r="C49" s="355"/>
      <c r="D49" s="356"/>
      <c r="E49" s="357"/>
      <c r="F49" s="358">
        <f t="shared" si="5"/>
        <v>0</v>
      </c>
      <c r="G49" s="485" t="b">
        <f t="shared" si="6"/>
        <v>0</v>
      </c>
    </row>
    <row r="50" spans="1:7">
      <c r="A50" s="348"/>
      <c r="B50" s="354">
        <f t="shared" si="4"/>
        <v>0</v>
      </c>
      <c r="C50" s="355"/>
      <c r="D50" s="356"/>
      <c r="E50" s="357"/>
      <c r="F50" s="358">
        <f t="shared" si="5"/>
        <v>0</v>
      </c>
      <c r="G50" s="485" t="b">
        <f t="shared" si="6"/>
        <v>0</v>
      </c>
    </row>
    <row r="51" spans="1:7">
      <c r="A51" s="348"/>
      <c r="B51" s="354">
        <f t="shared" si="4"/>
        <v>0</v>
      </c>
      <c r="C51" s="355"/>
      <c r="D51" s="356"/>
      <c r="E51" s="357"/>
      <c r="F51" s="358">
        <f t="shared" si="5"/>
        <v>0</v>
      </c>
      <c r="G51" s="485" t="b">
        <f t="shared" si="6"/>
        <v>0</v>
      </c>
    </row>
    <row r="52" spans="1:7">
      <c r="A52" s="348"/>
      <c r="B52" s="354">
        <f t="shared" si="4"/>
        <v>0</v>
      </c>
      <c r="C52" s="355"/>
      <c r="D52" s="356"/>
      <c r="E52" s="357"/>
      <c r="F52" s="358">
        <f t="shared" si="5"/>
        <v>0</v>
      </c>
      <c r="G52" s="485" t="b">
        <f t="shared" si="6"/>
        <v>0</v>
      </c>
    </row>
    <row r="53" spans="1:7">
      <c r="A53" s="348"/>
      <c r="B53" s="354">
        <f t="shared" si="4"/>
        <v>0</v>
      </c>
      <c r="C53" s="355"/>
      <c r="D53" s="356"/>
      <c r="E53" s="357"/>
      <c r="F53" s="358">
        <f t="shared" si="5"/>
        <v>0</v>
      </c>
      <c r="G53" s="485" t="b">
        <f t="shared" si="6"/>
        <v>0</v>
      </c>
    </row>
    <row r="54" spans="1:7">
      <c r="A54" s="348"/>
      <c r="B54" s="354">
        <f t="shared" si="4"/>
        <v>0</v>
      </c>
      <c r="C54" s="355"/>
      <c r="D54" s="356"/>
      <c r="E54" s="357"/>
      <c r="F54" s="358">
        <f t="shared" si="5"/>
        <v>0</v>
      </c>
      <c r="G54" s="485" t="b">
        <f t="shared" si="6"/>
        <v>0</v>
      </c>
    </row>
    <row r="55" spans="1:7">
      <c r="A55" s="348"/>
      <c r="B55" s="354">
        <f t="shared" si="4"/>
        <v>0</v>
      </c>
      <c r="C55" s="361"/>
      <c r="D55" s="362"/>
      <c r="E55" s="363"/>
      <c r="F55" s="358">
        <f t="shared" si="5"/>
        <v>0</v>
      </c>
      <c r="G55" s="485" t="b">
        <f t="shared" si="6"/>
        <v>0</v>
      </c>
    </row>
    <row r="56" spans="1:7" ht="13.5" thickBot="1">
      <c r="A56" s="364"/>
      <c r="B56" s="354">
        <f t="shared" si="4"/>
        <v>0</v>
      </c>
      <c r="C56" s="365"/>
      <c r="D56" s="366"/>
      <c r="E56" s="367"/>
      <c r="F56" s="358">
        <f t="shared" si="5"/>
        <v>0</v>
      </c>
      <c r="G56" s="486" t="b">
        <f t="shared" si="6"/>
        <v>0</v>
      </c>
    </row>
    <row r="57" spans="1:7" ht="13.5" thickBot="1">
      <c r="A57" s="369"/>
      <c r="B57" s="354">
        <f t="shared" si="4"/>
        <v>0</v>
      </c>
      <c r="C57" s="370"/>
      <c r="D57" s="371"/>
      <c r="E57" s="372"/>
      <c r="F57" s="358">
        <f t="shared" si="5"/>
        <v>0</v>
      </c>
      <c r="G57" s="487" t="b">
        <f t="shared" si="6"/>
        <v>0</v>
      </c>
    </row>
    <row r="58" spans="1:7">
      <c r="A58" s="374"/>
      <c r="B58" s="354">
        <f t="shared" si="4"/>
        <v>0</v>
      </c>
      <c r="C58" s="375"/>
      <c r="D58" s="403"/>
      <c r="E58" s="377"/>
      <c r="F58" s="358">
        <f t="shared" si="5"/>
        <v>0</v>
      </c>
      <c r="G58" s="488" t="b">
        <f t="shared" si="6"/>
        <v>0</v>
      </c>
    </row>
    <row r="59" spans="1:7">
      <c r="A59" s="348"/>
      <c r="B59" s="354">
        <f t="shared" si="4"/>
        <v>0</v>
      </c>
      <c r="C59" s="355"/>
      <c r="D59" s="356"/>
      <c r="E59" s="357"/>
      <c r="F59" s="358">
        <f t="shared" ref="F59:F78" si="7">SUM(E59-E58)</f>
        <v>0</v>
      </c>
      <c r="G59" s="485" t="b">
        <f t="shared" si="6"/>
        <v>0</v>
      </c>
    </row>
    <row r="60" spans="1:7">
      <c r="A60" s="348"/>
      <c r="B60" s="354">
        <f t="shared" si="4"/>
        <v>0</v>
      </c>
      <c r="C60" s="355"/>
      <c r="D60" s="356"/>
      <c r="E60" s="357"/>
      <c r="F60" s="358">
        <f t="shared" si="7"/>
        <v>0</v>
      </c>
      <c r="G60" s="485" t="b">
        <f t="shared" si="6"/>
        <v>0</v>
      </c>
    </row>
    <row r="61" spans="1:7">
      <c r="A61" s="348"/>
      <c r="B61" s="354">
        <f t="shared" si="4"/>
        <v>0</v>
      </c>
      <c r="C61" s="355"/>
      <c r="D61" s="356"/>
      <c r="E61" s="357"/>
      <c r="F61" s="358">
        <f t="shared" si="7"/>
        <v>0</v>
      </c>
      <c r="G61" s="485" t="b">
        <f t="shared" si="6"/>
        <v>0</v>
      </c>
    </row>
    <row r="62" spans="1:7">
      <c r="A62" s="348"/>
      <c r="B62" s="354">
        <f t="shared" si="4"/>
        <v>0</v>
      </c>
      <c r="C62" s="355"/>
      <c r="D62" s="356"/>
      <c r="E62" s="357"/>
      <c r="F62" s="358">
        <f t="shared" si="7"/>
        <v>0</v>
      </c>
      <c r="G62" s="489" t="b">
        <f t="shared" si="6"/>
        <v>0</v>
      </c>
    </row>
    <row r="63" spans="1:7">
      <c r="A63" s="348"/>
      <c r="B63" s="354">
        <f t="shared" si="4"/>
        <v>0</v>
      </c>
      <c r="C63" s="355"/>
      <c r="D63" s="356"/>
      <c r="E63" s="357"/>
      <c r="F63" s="358">
        <f t="shared" si="7"/>
        <v>0</v>
      </c>
      <c r="G63" s="485" t="b">
        <f t="shared" si="6"/>
        <v>0</v>
      </c>
    </row>
    <row r="64" spans="1:7">
      <c r="A64" s="348"/>
      <c r="B64" s="354">
        <f t="shared" si="4"/>
        <v>0</v>
      </c>
      <c r="C64" s="355"/>
      <c r="D64" s="356"/>
      <c r="E64" s="357"/>
      <c r="F64" s="358">
        <f t="shared" si="7"/>
        <v>0</v>
      </c>
      <c r="G64" s="485" t="b">
        <f t="shared" si="6"/>
        <v>0</v>
      </c>
    </row>
    <row r="65" spans="1:7">
      <c r="A65" s="348"/>
      <c r="B65" s="354">
        <f t="shared" si="4"/>
        <v>0</v>
      </c>
      <c r="C65" s="355"/>
      <c r="D65" s="356"/>
      <c r="E65" s="357"/>
      <c r="F65" s="358">
        <f t="shared" si="7"/>
        <v>0</v>
      </c>
      <c r="G65" s="485" t="b">
        <f t="shared" si="6"/>
        <v>0</v>
      </c>
    </row>
    <row r="66" spans="1:7">
      <c r="A66" s="348"/>
      <c r="B66" s="354">
        <f t="shared" si="4"/>
        <v>0</v>
      </c>
      <c r="C66" s="355"/>
      <c r="D66" s="356"/>
      <c r="E66" s="357"/>
      <c r="F66" s="358">
        <f t="shared" si="7"/>
        <v>0</v>
      </c>
      <c r="G66" s="485" t="b">
        <f t="shared" si="6"/>
        <v>0</v>
      </c>
    </row>
    <row r="67" spans="1:7">
      <c r="A67" s="348"/>
      <c r="B67" s="354">
        <f t="shared" si="4"/>
        <v>0</v>
      </c>
      <c r="C67" s="355"/>
      <c r="D67" s="356"/>
      <c r="E67" s="357"/>
      <c r="F67" s="358">
        <f t="shared" si="7"/>
        <v>0</v>
      </c>
      <c r="G67" s="485" t="b">
        <f t="shared" si="6"/>
        <v>0</v>
      </c>
    </row>
    <row r="68" spans="1:7">
      <c r="A68" s="348"/>
      <c r="B68" s="354">
        <f t="shared" si="4"/>
        <v>0</v>
      </c>
      <c r="C68" s="355"/>
      <c r="D68" s="356"/>
      <c r="E68" s="357"/>
      <c r="F68" s="358">
        <f t="shared" si="7"/>
        <v>0</v>
      </c>
      <c r="G68" s="485" t="b">
        <f t="shared" si="6"/>
        <v>0</v>
      </c>
    </row>
    <row r="69" spans="1:7">
      <c r="A69" s="348"/>
      <c r="B69" s="354">
        <f t="shared" si="4"/>
        <v>0</v>
      </c>
      <c r="C69" s="355"/>
      <c r="D69" s="356"/>
      <c r="E69" s="357"/>
      <c r="F69" s="358">
        <f t="shared" si="7"/>
        <v>0</v>
      </c>
      <c r="G69" s="485" t="b">
        <f t="shared" si="6"/>
        <v>0</v>
      </c>
    </row>
    <row r="70" spans="1:7">
      <c r="A70" s="348"/>
      <c r="B70" s="354">
        <f t="shared" si="4"/>
        <v>0</v>
      </c>
      <c r="C70" s="355"/>
      <c r="D70" s="356"/>
      <c r="E70" s="357"/>
      <c r="F70" s="358">
        <f t="shared" si="7"/>
        <v>0</v>
      </c>
      <c r="G70" s="485" t="b">
        <f t="shared" si="6"/>
        <v>0</v>
      </c>
    </row>
    <row r="71" spans="1:7">
      <c r="A71" s="348"/>
      <c r="B71" s="354">
        <f t="shared" si="4"/>
        <v>0</v>
      </c>
      <c r="C71" s="355"/>
      <c r="D71" s="356"/>
      <c r="E71" s="357"/>
      <c r="F71" s="358">
        <f t="shared" si="7"/>
        <v>0</v>
      </c>
      <c r="G71" s="485" t="b">
        <f t="shared" si="6"/>
        <v>0</v>
      </c>
    </row>
    <row r="72" spans="1:7">
      <c r="A72" s="348"/>
      <c r="B72" s="354">
        <f t="shared" si="4"/>
        <v>0</v>
      </c>
      <c r="C72" s="355"/>
      <c r="D72" s="356"/>
      <c r="E72" s="357"/>
      <c r="F72" s="358">
        <f t="shared" si="7"/>
        <v>0</v>
      </c>
      <c r="G72" s="485" t="b">
        <f t="shared" si="6"/>
        <v>0</v>
      </c>
    </row>
    <row r="73" spans="1:7">
      <c r="A73" s="348"/>
      <c r="B73" s="354">
        <f t="shared" si="4"/>
        <v>0</v>
      </c>
      <c r="C73" s="355"/>
      <c r="D73" s="356"/>
      <c r="E73" s="357"/>
      <c r="F73" s="358">
        <f t="shared" si="7"/>
        <v>0</v>
      </c>
      <c r="G73" s="485" t="b">
        <f t="shared" si="6"/>
        <v>0</v>
      </c>
    </row>
    <row r="74" spans="1:7">
      <c r="A74" s="348"/>
      <c r="B74" s="354">
        <f t="shared" si="4"/>
        <v>0</v>
      </c>
      <c r="C74" s="355"/>
      <c r="D74" s="356"/>
      <c r="E74" s="357"/>
      <c r="F74" s="358">
        <f t="shared" si="7"/>
        <v>0</v>
      </c>
      <c r="G74" s="485" t="b">
        <f t="shared" si="6"/>
        <v>0</v>
      </c>
    </row>
    <row r="75" spans="1:7">
      <c r="A75" s="348"/>
      <c r="B75" s="354">
        <f t="shared" si="4"/>
        <v>0</v>
      </c>
      <c r="C75" s="355"/>
      <c r="D75" s="356"/>
      <c r="E75" s="357"/>
      <c r="F75" s="358">
        <f t="shared" si="7"/>
        <v>0</v>
      </c>
      <c r="G75" s="485" t="b">
        <f t="shared" si="6"/>
        <v>0</v>
      </c>
    </row>
    <row r="76" spans="1:7">
      <c r="A76" s="348"/>
      <c r="B76" s="354">
        <f t="shared" si="4"/>
        <v>0</v>
      </c>
      <c r="C76" s="355"/>
      <c r="D76" s="356"/>
      <c r="E76" s="357"/>
      <c r="F76" s="358">
        <f t="shared" si="7"/>
        <v>0</v>
      </c>
      <c r="G76" s="485" t="b">
        <f t="shared" si="6"/>
        <v>0</v>
      </c>
    </row>
    <row r="77" spans="1:7">
      <c r="A77" s="348"/>
      <c r="B77" s="354">
        <f t="shared" si="4"/>
        <v>0</v>
      </c>
      <c r="C77" s="355"/>
      <c r="D77" s="356"/>
      <c r="E77" s="357"/>
      <c r="F77" s="358">
        <f t="shared" si="7"/>
        <v>0</v>
      </c>
      <c r="G77" s="485" t="b">
        <f t="shared" si="6"/>
        <v>0</v>
      </c>
    </row>
    <row r="78" spans="1:7">
      <c r="A78" s="348"/>
      <c r="B78" s="354">
        <f t="shared" si="4"/>
        <v>0</v>
      </c>
      <c r="C78" s="355"/>
      <c r="D78" s="356"/>
      <c r="E78" s="357"/>
      <c r="F78" s="358">
        <f t="shared" si="7"/>
        <v>0</v>
      </c>
      <c r="G78" s="485" t="b">
        <f t="shared" si="6"/>
        <v>0</v>
      </c>
    </row>
  </sheetData>
  <mergeCells count="6">
    <mergeCell ref="B1:C1"/>
    <mergeCell ref="D1:E1"/>
    <mergeCell ref="F1:G1"/>
    <mergeCell ref="B41:C41"/>
    <mergeCell ref="D41:E41"/>
    <mergeCell ref="F41:G41"/>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P13"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'[12]Projected Maint Practices'!Q7</f>
        <v>5237</v>
      </c>
      <c r="D6" s="264">
        <f>'[12]True Maint Practices'!Q7</f>
        <v>2698</v>
      </c>
    </row>
    <row r="7" spans="1:6" ht="15">
      <c r="B7" s="263">
        <v>2</v>
      </c>
      <c r="C7" s="264">
        <f>'[12]Projected Maint Practices'!Q8</f>
        <v>5237</v>
      </c>
      <c r="D7" s="264">
        <f>'[12]True Maint Practices'!Q8</f>
        <v>4072</v>
      </c>
    </row>
    <row r="8" spans="1:6" ht="15">
      <c r="B8" s="263">
        <v>3</v>
      </c>
      <c r="C8" s="264">
        <f>'[12]Projected Maint Practices'!Q9</f>
        <v>5237</v>
      </c>
      <c r="D8" s="264">
        <f>'[12]True Maint Practices'!Q9</f>
        <v>1125</v>
      </c>
    </row>
    <row r="9" spans="1:6" ht="15">
      <c r="B9" s="263">
        <v>4</v>
      </c>
      <c r="C9" s="264">
        <f>'[12]Projected Maint Practices'!Q10</f>
        <v>5237</v>
      </c>
      <c r="D9" s="264">
        <f>'[12]True Maint Practices'!Q10</f>
        <v>8683</v>
      </c>
    </row>
    <row r="10" spans="1:6" ht="15">
      <c r="B10" s="263">
        <v>5</v>
      </c>
      <c r="C10" s="264">
        <f>'[12]Projected Maint Practices'!Q11</f>
        <v>17564</v>
      </c>
      <c r="D10" s="264">
        <f>'[12]True Maint Practices'!Q11</f>
        <v>2864</v>
      </c>
    </row>
    <row r="11" spans="1:6" ht="15">
      <c r="B11" s="263">
        <v>6</v>
      </c>
      <c r="C11" s="264">
        <f>'[12]Projected Maint Practices'!Q12</f>
        <v>5237</v>
      </c>
      <c r="D11" s="264">
        <f>'[12]True Maint Practices'!Q12</f>
        <v>2573</v>
      </c>
    </row>
    <row r="12" spans="1:6" ht="15">
      <c r="B12" s="263">
        <v>7</v>
      </c>
      <c r="C12" s="264">
        <f>'[12]Projected Maint Practices'!Q13</f>
        <v>5237</v>
      </c>
      <c r="D12" s="264">
        <f>'[12]True Maint Practices'!Q13</f>
        <v>0</v>
      </c>
    </row>
    <row r="13" spans="1:6" ht="15">
      <c r="B13" s="263">
        <v>8</v>
      </c>
      <c r="C13" s="264">
        <f>'[12]Projected Maint Practices'!Q14</f>
        <v>5237</v>
      </c>
      <c r="D13" s="264">
        <f>'[12]True Maint Practices'!Q14</f>
        <v>0</v>
      </c>
    </row>
    <row r="14" spans="1:6" ht="15">
      <c r="B14" s="263">
        <v>9</v>
      </c>
      <c r="C14" s="264">
        <f>'[12]Projected Maint Practices'!Q15</f>
        <v>5237</v>
      </c>
      <c r="D14" s="264">
        <f>'[12]True Maint Practices'!Q15</f>
        <v>0</v>
      </c>
    </row>
    <row r="15" spans="1:6" ht="15">
      <c r="B15" s="263">
        <v>10</v>
      </c>
      <c r="C15" s="264">
        <f>'[12]Projected Maint Practices'!Q16</f>
        <v>5237</v>
      </c>
      <c r="D15" s="264">
        <f>'[12]True Maint Practices'!Q16</f>
        <v>0</v>
      </c>
    </row>
    <row r="16" spans="1:6" ht="15">
      <c r="B16" s="263">
        <v>11</v>
      </c>
      <c r="C16" s="264">
        <f>'[12]Projected Maint Practices'!Q17</f>
        <v>5237</v>
      </c>
      <c r="D16" s="264">
        <f>'[12]True Maint Practices'!Q17</f>
        <v>0</v>
      </c>
    </row>
    <row r="17" spans="2:4" ht="15">
      <c r="B17" s="263">
        <v>12</v>
      </c>
      <c r="C17" s="264">
        <f>'[12]Projected Maint Practices'!Q18</f>
        <v>3256</v>
      </c>
      <c r="D17" s="264">
        <f>'[12]True Maint Practices'!Q18</f>
        <v>0</v>
      </c>
    </row>
    <row r="18" spans="2:4" ht="15">
      <c r="B18" s="260" t="s">
        <v>1</v>
      </c>
      <c r="C18" s="264">
        <f>SUM(C6:C17)</f>
        <v>73190</v>
      </c>
      <c r="D18" s="264">
        <f>SUM(D6:D17)</f>
        <v>22015</v>
      </c>
    </row>
  </sheetData>
  <printOptions horizontalCentered="1" verticalCentered="1"/>
  <pageMargins left="0.5" right="0.5" top="0.75" bottom="0.75" header="0.5" footer="0.5"/>
  <pageSetup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1"/>
  <sheetViews>
    <sheetView showGridLines="0" topLeftCell="A68" zoomScaleNormal="100" workbookViewId="0">
      <selection activeCell="M84" sqref="M84"/>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ht="16.5" customHeight="1">
      <c r="B1" s="43"/>
      <c r="C1" s="43"/>
      <c r="D1" s="43"/>
      <c r="E1" s="43"/>
      <c r="F1" s="43"/>
      <c r="G1" s="43"/>
      <c r="H1" s="43"/>
      <c r="I1" s="43"/>
      <c r="J1" s="43"/>
      <c r="K1" s="43"/>
      <c r="L1" s="43"/>
      <c r="M1" s="43"/>
      <c r="N1" s="43"/>
      <c r="O1" s="43"/>
      <c r="P1" s="43"/>
    </row>
    <row r="2" spans="2:22" ht="31.5" customHeight="1">
      <c r="B2" s="404" t="s">
        <v>1782</v>
      </c>
      <c r="C2" s="43"/>
      <c r="D2" s="43"/>
      <c r="E2" s="43"/>
      <c r="F2" s="43"/>
      <c r="G2" s="43"/>
      <c r="H2" s="43"/>
      <c r="I2" s="43"/>
      <c r="J2" s="43"/>
      <c r="K2" s="43"/>
      <c r="L2" s="43"/>
      <c r="M2" s="43"/>
      <c r="N2" s="43"/>
      <c r="O2" s="43" t="s">
        <v>233</v>
      </c>
      <c r="P2" s="43"/>
    </row>
    <row r="3" spans="2:22" ht="16.5" customHeight="1">
      <c r="B3" s="43"/>
      <c r="C3" s="43"/>
      <c r="D3" s="43"/>
      <c r="E3" s="43"/>
      <c r="F3" s="43"/>
      <c r="G3" s="43"/>
      <c r="H3" s="43"/>
      <c r="I3" s="43"/>
      <c r="J3" s="43"/>
      <c r="K3" s="43"/>
      <c r="L3" s="43"/>
      <c r="M3" s="43"/>
      <c r="N3" s="43"/>
      <c r="O3" s="43"/>
      <c r="P3" s="43"/>
    </row>
    <row r="12" spans="2:22" ht="16.5" customHeight="1">
      <c r="V12" s="1" t="s">
        <v>32</v>
      </c>
    </row>
    <row r="18" spans="2:16"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ht="16.5" customHeight="1">
      <c r="B19" s="101" t="s">
        <v>17</v>
      </c>
      <c r="C19" s="8"/>
      <c r="D19" s="8"/>
      <c r="E19" s="8"/>
      <c r="F19" s="8"/>
      <c r="G19" s="8"/>
      <c r="H19" s="8"/>
      <c r="I19" s="8">
        <v>1340.4</v>
      </c>
      <c r="J19" s="8"/>
      <c r="K19" s="8">
        <v>167.75</v>
      </c>
      <c r="L19" s="8"/>
      <c r="M19" s="30"/>
      <c r="N19" s="8"/>
      <c r="O19" s="4">
        <f t="shared" ref="O19:O38" si="0">SUM(C19:N19)</f>
        <v>1508.15</v>
      </c>
      <c r="P19" s="102"/>
    </row>
    <row r="20" spans="2:16" ht="16.5" customHeight="1">
      <c r="B20" s="101" t="s">
        <v>16</v>
      </c>
      <c r="C20" s="8"/>
      <c r="D20" s="8"/>
      <c r="E20" s="8"/>
      <c r="F20" s="8"/>
      <c r="G20" s="8"/>
      <c r="H20" s="8"/>
      <c r="I20" s="8"/>
      <c r="J20" s="8"/>
      <c r="K20" s="8"/>
      <c r="L20" s="8"/>
      <c r="M20" s="30"/>
      <c r="N20" s="8"/>
      <c r="O20" s="4">
        <f t="shared" si="0"/>
        <v>0</v>
      </c>
      <c r="P20" s="102"/>
    </row>
    <row r="21" spans="2:16" ht="16.5" customHeight="1">
      <c r="B21" s="101" t="s">
        <v>15</v>
      </c>
      <c r="C21" s="8"/>
      <c r="D21" s="8"/>
      <c r="E21" s="8"/>
      <c r="F21" s="8"/>
      <c r="G21" s="8"/>
      <c r="H21" s="8"/>
      <c r="I21" s="8"/>
      <c r="J21" s="8"/>
      <c r="K21" s="8">
        <v>48.09</v>
      </c>
      <c r="L21" s="8"/>
      <c r="M21" s="30"/>
      <c r="N21" s="8"/>
      <c r="O21" s="4">
        <f t="shared" si="0"/>
        <v>48.09</v>
      </c>
      <c r="P21" s="102"/>
    </row>
    <row r="22" spans="2:16" ht="16.5" customHeight="1">
      <c r="B22" s="101" t="s">
        <v>14</v>
      </c>
      <c r="C22" s="8"/>
      <c r="D22" s="8"/>
      <c r="E22" s="8"/>
      <c r="F22" s="8"/>
      <c r="G22" s="8"/>
      <c r="H22" s="8"/>
      <c r="I22" s="8"/>
      <c r="J22" s="8"/>
      <c r="K22" s="8"/>
      <c r="L22" s="8"/>
      <c r="M22" s="30"/>
      <c r="N22" s="8"/>
      <c r="O22" s="4">
        <f t="shared" si="0"/>
        <v>0</v>
      </c>
      <c r="P22" s="102"/>
    </row>
    <row r="23" spans="2:16" ht="16.5" customHeight="1">
      <c r="B23" s="101" t="s">
        <v>632</v>
      </c>
      <c r="C23" s="8"/>
      <c r="D23" s="8"/>
      <c r="E23" s="8"/>
      <c r="F23" s="8"/>
      <c r="G23" s="8"/>
      <c r="H23" s="8"/>
      <c r="I23" s="8"/>
      <c r="J23" s="8"/>
      <c r="K23" s="8"/>
      <c r="L23" s="8"/>
      <c r="M23" s="30"/>
      <c r="N23" s="8"/>
      <c r="O23" s="4">
        <f t="shared" si="0"/>
        <v>0</v>
      </c>
      <c r="P23" s="102"/>
    </row>
    <row r="24" spans="2:16" ht="16.5" customHeight="1">
      <c r="B24" s="103" t="s">
        <v>12</v>
      </c>
      <c r="C24" s="17"/>
      <c r="D24" s="17"/>
      <c r="E24" s="17"/>
      <c r="F24" s="17"/>
      <c r="G24" s="17"/>
      <c r="H24" s="17"/>
      <c r="I24" s="17"/>
      <c r="J24" s="17"/>
      <c r="K24" s="17"/>
      <c r="L24" s="17"/>
      <c r="M24" s="35"/>
      <c r="N24" s="17"/>
      <c r="O24" s="4">
        <f t="shared" si="0"/>
        <v>0</v>
      </c>
      <c r="P24" s="102"/>
    </row>
    <row r="25" spans="2:16" ht="16.5" customHeight="1">
      <c r="B25" s="103" t="s">
        <v>11</v>
      </c>
      <c r="C25" s="17"/>
      <c r="D25" s="17"/>
      <c r="E25" s="17"/>
      <c r="F25" s="17"/>
      <c r="G25" s="17"/>
      <c r="H25" s="17"/>
      <c r="I25" s="17"/>
      <c r="J25" s="17"/>
      <c r="K25" s="17"/>
      <c r="L25" s="17"/>
      <c r="M25" s="35"/>
      <c r="N25" s="17"/>
      <c r="O25" s="4">
        <f t="shared" si="0"/>
        <v>0</v>
      </c>
      <c r="P25" s="102"/>
    </row>
    <row r="26" spans="2:16" ht="16.5" customHeight="1">
      <c r="B26" s="103" t="s">
        <v>10</v>
      </c>
      <c r="C26" s="17"/>
      <c r="D26" s="17"/>
      <c r="E26" s="17"/>
      <c r="F26" s="17"/>
      <c r="G26" s="17"/>
      <c r="H26" s="17"/>
      <c r="I26" s="17"/>
      <c r="J26" s="17"/>
      <c r="K26" s="17"/>
      <c r="L26" s="17"/>
      <c r="M26" s="35"/>
      <c r="N26" s="17"/>
      <c r="O26" s="4">
        <f t="shared" si="0"/>
        <v>0</v>
      </c>
      <c r="P26" s="102"/>
    </row>
    <row r="27" spans="2:16" ht="16.5" customHeight="1">
      <c r="B27" s="103" t="s">
        <v>9</v>
      </c>
      <c r="C27" s="17"/>
      <c r="D27" s="17"/>
      <c r="E27" s="17"/>
      <c r="F27" s="17"/>
      <c r="G27" s="17"/>
      <c r="H27" s="17"/>
      <c r="I27" s="17"/>
      <c r="J27" s="17"/>
      <c r="K27" s="17"/>
      <c r="L27" s="17"/>
      <c r="M27" s="35"/>
      <c r="N27" s="17"/>
      <c r="O27" s="4">
        <f t="shared" si="0"/>
        <v>0</v>
      </c>
      <c r="P27" s="102"/>
    </row>
    <row r="28" spans="2:16" ht="16.5" hidden="1" customHeight="1">
      <c r="B28" s="103"/>
      <c r="C28" s="15"/>
      <c r="D28" s="15"/>
      <c r="E28" s="15"/>
      <c r="F28" s="15"/>
      <c r="G28" s="15"/>
      <c r="H28" s="15"/>
      <c r="I28" s="15"/>
      <c r="J28" s="15"/>
      <c r="K28" s="15"/>
      <c r="L28" s="15"/>
      <c r="M28" s="16"/>
      <c r="N28" s="15"/>
      <c r="O28" s="4">
        <f t="shared" si="0"/>
        <v>0</v>
      </c>
      <c r="P28" s="102"/>
    </row>
    <row r="29" spans="2:16" ht="16.5" hidden="1" customHeight="1">
      <c r="B29" s="103"/>
      <c r="C29" s="15"/>
      <c r="D29" s="15"/>
      <c r="E29" s="15"/>
      <c r="F29" s="15"/>
      <c r="G29" s="15"/>
      <c r="H29" s="15"/>
      <c r="I29" s="15"/>
      <c r="J29" s="15"/>
      <c r="K29" s="15"/>
      <c r="L29" s="15"/>
      <c r="M29" s="16"/>
      <c r="N29" s="15"/>
      <c r="O29" s="4">
        <f t="shared" si="0"/>
        <v>0</v>
      </c>
      <c r="P29" s="102"/>
    </row>
    <row r="30" spans="2:16" ht="16.5" hidden="1" customHeight="1">
      <c r="B30" s="103"/>
      <c r="C30" s="15"/>
      <c r="D30" s="15"/>
      <c r="E30" s="15"/>
      <c r="F30" s="15"/>
      <c r="G30" s="15"/>
      <c r="H30" s="15"/>
      <c r="I30" s="15"/>
      <c r="J30" s="15"/>
      <c r="K30" s="15"/>
      <c r="L30" s="15"/>
      <c r="M30" s="16"/>
      <c r="N30" s="15"/>
      <c r="O30" s="4">
        <f t="shared" si="0"/>
        <v>0</v>
      </c>
      <c r="P30" s="102"/>
    </row>
    <row r="31" spans="2:16" ht="16.5" hidden="1" customHeight="1">
      <c r="B31" s="103"/>
      <c r="C31" s="15"/>
      <c r="D31" s="15"/>
      <c r="E31" s="15"/>
      <c r="F31" s="15"/>
      <c r="G31" s="15"/>
      <c r="H31" s="15"/>
      <c r="I31" s="15"/>
      <c r="J31" s="15"/>
      <c r="K31" s="15"/>
      <c r="L31" s="15"/>
      <c r="M31" s="16"/>
      <c r="N31" s="15"/>
      <c r="O31" s="4">
        <f t="shared" si="0"/>
        <v>0</v>
      </c>
      <c r="P31" s="102"/>
    </row>
    <row r="32" spans="2:16" ht="16.5" customHeight="1">
      <c r="B32" s="103" t="s">
        <v>8</v>
      </c>
      <c r="C32" s="12"/>
      <c r="D32" s="12"/>
      <c r="E32" s="12"/>
      <c r="F32" s="12"/>
      <c r="G32" s="12"/>
      <c r="H32" s="12"/>
      <c r="I32" s="12"/>
      <c r="J32" s="12"/>
      <c r="K32" s="12"/>
      <c r="L32" s="12"/>
      <c r="M32" s="32"/>
      <c r="N32" s="12"/>
      <c r="O32" s="4">
        <f t="shared" si="0"/>
        <v>0</v>
      </c>
      <c r="P32" s="102"/>
    </row>
    <row r="33" spans="2:18" ht="16.5" customHeight="1">
      <c r="B33" s="103" t="s">
        <v>7</v>
      </c>
      <c r="C33" s="4"/>
      <c r="D33" s="4"/>
      <c r="E33" s="4"/>
      <c r="F33" s="4"/>
      <c r="G33" s="4"/>
      <c r="H33" s="4"/>
      <c r="I33" s="46"/>
      <c r="J33" s="4"/>
      <c r="K33" s="4"/>
      <c r="L33" s="4"/>
      <c r="M33" s="33"/>
      <c r="N33" s="4"/>
      <c r="O33" s="4">
        <f t="shared" si="0"/>
        <v>0</v>
      </c>
      <c r="P33" s="102"/>
    </row>
    <row r="34" spans="2:18" ht="16.5" customHeight="1">
      <c r="B34" s="103" t="s">
        <v>6</v>
      </c>
      <c r="C34" s="41"/>
      <c r="D34" s="41"/>
      <c r="E34" s="41"/>
      <c r="F34" s="41"/>
      <c r="G34" s="41"/>
      <c r="H34" s="41"/>
      <c r="I34" s="41">
        <v>498.52</v>
      </c>
      <c r="J34" s="41"/>
      <c r="K34" s="41"/>
      <c r="L34" s="41"/>
      <c r="M34" s="42"/>
      <c r="N34" s="41"/>
      <c r="O34" s="4">
        <f t="shared" si="0"/>
        <v>498.52</v>
      </c>
      <c r="P34" s="102"/>
    </row>
    <row r="35" spans="2:18" ht="16.5" customHeight="1">
      <c r="B35" s="103" t="s">
        <v>5</v>
      </c>
      <c r="C35" s="8"/>
      <c r="D35" s="8"/>
      <c r="E35" s="8"/>
      <c r="F35" s="8"/>
      <c r="G35" s="8"/>
      <c r="H35" s="8"/>
      <c r="I35" s="8"/>
      <c r="J35" s="8">
        <v>7.83</v>
      </c>
      <c r="K35" s="8">
        <v>15.66</v>
      </c>
      <c r="L35" s="8"/>
      <c r="M35" s="30"/>
      <c r="N35" s="8"/>
      <c r="O35" s="4">
        <f t="shared" si="0"/>
        <v>23.490000000000002</v>
      </c>
      <c r="P35" s="102"/>
    </row>
    <row r="36" spans="2:18" ht="16.5" customHeight="1">
      <c r="B36" s="103" t="s">
        <v>171</v>
      </c>
      <c r="C36" s="8"/>
      <c r="D36" s="8"/>
      <c r="E36" s="8"/>
      <c r="F36" s="8"/>
      <c r="G36" s="8"/>
      <c r="H36" s="8"/>
      <c r="I36" s="8"/>
      <c r="J36" s="8"/>
      <c r="K36" s="8"/>
      <c r="L36" s="8"/>
      <c r="M36" s="30"/>
      <c r="N36" s="8"/>
      <c r="O36" s="4">
        <f t="shared" si="0"/>
        <v>0</v>
      </c>
      <c r="P36" s="102"/>
    </row>
    <row r="37" spans="2:18" ht="16.5" customHeight="1">
      <c r="B37" s="103" t="s">
        <v>3</v>
      </c>
      <c r="C37" s="8"/>
      <c r="D37" s="8"/>
      <c r="E37" s="8"/>
      <c r="F37" s="8"/>
      <c r="G37" s="8"/>
      <c r="H37" s="8"/>
      <c r="I37" s="8"/>
      <c r="J37" s="8">
        <v>412.38</v>
      </c>
      <c r="K37" s="8"/>
      <c r="L37" s="8"/>
      <c r="M37" s="30"/>
      <c r="N37" s="8"/>
      <c r="O37" s="4">
        <f t="shared" si="0"/>
        <v>412.38</v>
      </c>
      <c r="P37" s="102"/>
    </row>
    <row r="38" spans="2:18" ht="16.5" customHeight="1">
      <c r="B38" s="103" t="s">
        <v>2</v>
      </c>
      <c r="C38" s="5"/>
      <c r="D38" s="5"/>
      <c r="E38" s="5"/>
      <c r="F38" s="5"/>
      <c r="G38" s="5"/>
      <c r="H38" s="5"/>
      <c r="I38" s="5"/>
      <c r="J38" s="5">
        <v>100</v>
      </c>
      <c r="K38" s="5">
        <v>40</v>
      </c>
      <c r="L38" s="5"/>
      <c r="M38" s="29"/>
      <c r="N38" s="5"/>
      <c r="O38" s="4">
        <f t="shared" si="0"/>
        <v>140</v>
      </c>
      <c r="P38" s="102"/>
    </row>
    <row r="39" spans="2:18" ht="16.5" customHeight="1">
      <c r="B39" s="101" t="s">
        <v>1</v>
      </c>
      <c r="C39" s="104">
        <f>SUBTOTAL(109,ExpenseSummary81[Jan])</f>
        <v>0</v>
      </c>
      <c r="D39" s="105">
        <f>SUBTOTAL(109,ExpenseSummary81[Feb])</f>
        <v>0</v>
      </c>
      <c r="E39" s="104">
        <f>SUBTOTAL(109,ExpenseSummary81[Mar])</f>
        <v>0</v>
      </c>
      <c r="F39" s="105">
        <f>SUBTOTAL(109,ExpenseSummary81[Apr])</f>
        <v>0</v>
      </c>
      <c r="G39" s="104">
        <f>SUBTOTAL(109,ExpenseSummary81[May])</f>
        <v>0</v>
      </c>
      <c r="H39" s="105">
        <f>SUBTOTAL(109,ExpenseSummary81[Jun])</f>
        <v>0</v>
      </c>
      <c r="I39" s="104">
        <f>SUBTOTAL(109,ExpenseSummary81[Jul])</f>
        <v>1838.92</v>
      </c>
      <c r="J39" s="105">
        <f>SUBTOTAL(109,ExpenseSummary81[Aug])</f>
        <v>520.21</v>
      </c>
      <c r="K39" s="104">
        <f>SUBTOTAL(109,ExpenseSummary81[Sep])</f>
        <v>271.5</v>
      </c>
      <c r="L39" s="105">
        <f>SUBTOTAL(109,ExpenseSummary81[Oct])</f>
        <v>0</v>
      </c>
      <c r="M39" s="267">
        <f>SUBTOTAL(109,ExpenseSummary81[Nov])</f>
        <v>0</v>
      </c>
      <c r="N39" s="105">
        <f>SUBTOTAL(109,ExpenseSummary81[Dec])</f>
        <v>0</v>
      </c>
      <c r="O39" s="106">
        <f>SUBTOTAL(109,ExpenseSummary81[Total])</f>
        <v>2630.63</v>
      </c>
      <c r="P39" s="102"/>
    </row>
    <row r="40" spans="2:18" ht="16.5" customHeight="1">
      <c r="B40" s="28"/>
      <c r="C40" s="28"/>
    </row>
    <row r="41" spans="2:18" ht="16.5" customHeight="1">
      <c r="B41" s="268"/>
      <c r="C41" s="268"/>
      <c r="D41" s="269"/>
      <c r="E41" s="270" t="s">
        <v>118</v>
      </c>
      <c r="F41" s="270"/>
      <c r="G41" s="270"/>
      <c r="H41" s="270"/>
      <c r="I41" s="270"/>
      <c r="J41" s="270"/>
      <c r="K41" s="270"/>
      <c r="L41" s="270"/>
      <c r="M41" s="270"/>
      <c r="N41" s="270"/>
      <c r="O41" s="270"/>
      <c r="P41" s="270"/>
      <c r="Q41" s="270"/>
      <c r="R41" s="270"/>
    </row>
    <row r="42" spans="2:18" ht="16.5" customHeight="1">
      <c r="B42" s="271" t="s">
        <v>633</v>
      </c>
      <c r="C42" s="272" t="s">
        <v>634</v>
      </c>
      <c r="D42" s="269"/>
      <c r="E42" s="273" t="s">
        <v>1783</v>
      </c>
      <c r="F42" s="273"/>
      <c r="G42" s="273"/>
      <c r="H42" s="273"/>
      <c r="I42" s="273"/>
      <c r="J42" s="273"/>
      <c r="K42" s="273"/>
      <c r="L42" s="273"/>
      <c r="M42" s="273"/>
      <c r="N42" s="273"/>
      <c r="O42" s="273"/>
      <c r="P42" s="273"/>
      <c r="Q42" s="273"/>
      <c r="R42" s="273"/>
    </row>
    <row r="43" spans="2:18" ht="16.5" customHeight="1">
      <c r="B43" s="274" t="s">
        <v>115</v>
      </c>
      <c r="C43" s="275" t="s">
        <v>289</v>
      </c>
      <c r="D43" s="269"/>
      <c r="E43" s="270" t="s">
        <v>113</v>
      </c>
      <c r="F43" s="270"/>
      <c r="G43" s="270"/>
      <c r="H43" s="270"/>
      <c r="I43" s="270"/>
      <c r="J43" s="270"/>
      <c r="K43" s="270"/>
      <c r="L43" s="270"/>
      <c r="M43" s="270"/>
      <c r="N43" s="270"/>
      <c r="O43" s="270"/>
      <c r="P43" s="270"/>
      <c r="Q43" s="270"/>
      <c r="R43" s="270"/>
    </row>
    <row r="44" spans="2:18" ht="16.5" customHeight="1" thickBot="1">
      <c r="B44" s="274" t="s">
        <v>112</v>
      </c>
      <c r="C44" s="276">
        <v>93175</v>
      </c>
      <c r="D44" s="268"/>
      <c r="E44" s="273" t="s">
        <v>635</v>
      </c>
      <c r="F44" s="273"/>
      <c r="G44" s="273"/>
      <c r="H44" s="273"/>
      <c r="I44" s="273"/>
      <c r="J44" s="273"/>
      <c r="K44" s="273"/>
      <c r="L44" s="273"/>
      <c r="M44" s="273"/>
      <c r="N44" s="273"/>
      <c r="O44" s="273"/>
      <c r="P44" s="273"/>
      <c r="Q44" s="273"/>
      <c r="R44" s="273"/>
    </row>
    <row r="45" spans="2:18" ht="16.5" customHeight="1">
      <c r="B45" s="274" t="s">
        <v>110</v>
      </c>
      <c r="C45" s="277"/>
      <c r="D45" s="260"/>
      <c r="E45" s="278" t="s">
        <v>109</v>
      </c>
      <c r="F45" s="279" t="s">
        <v>108</v>
      </c>
      <c r="G45" s="280"/>
      <c r="H45" s="279" t="s">
        <v>107</v>
      </c>
      <c r="I45" s="280"/>
      <c r="J45" s="279" t="s">
        <v>106</v>
      </c>
      <c r="K45" s="280"/>
      <c r="L45" s="279" t="s">
        <v>105</v>
      </c>
      <c r="M45" s="280"/>
      <c r="N45" s="279" t="s">
        <v>96</v>
      </c>
      <c r="O45" s="280"/>
      <c r="P45" s="279" t="s">
        <v>104</v>
      </c>
      <c r="Q45" s="280"/>
      <c r="R45" s="281" t="s">
        <v>103</v>
      </c>
    </row>
    <row r="46" spans="2:18" ht="16.5" customHeight="1">
      <c r="B46" s="282" t="s">
        <v>102</v>
      </c>
      <c r="C46" s="283">
        <v>283</v>
      </c>
      <c r="D46" s="262"/>
      <c r="E46" s="284"/>
      <c r="F46" s="285" t="s">
        <v>101</v>
      </c>
      <c r="G46" s="286" t="s">
        <v>100</v>
      </c>
      <c r="H46" s="287" t="s">
        <v>101</v>
      </c>
      <c r="I46" s="286" t="s">
        <v>100</v>
      </c>
      <c r="J46" s="287" t="s">
        <v>101</v>
      </c>
      <c r="K46" s="286" t="s">
        <v>100</v>
      </c>
      <c r="L46" s="287" t="s">
        <v>101</v>
      </c>
      <c r="M46" s="405" t="s">
        <v>100</v>
      </c>
      <c r="N46" s="287" t="s">
        <v>101</v>
      </c>
      <c r="O46" s="286" t="s">
        <v>100</v>
      </c>
      <c r="P46" s="287" t="s">
        <v>101</v>
      </c>
      <c r="Q46" s="286" t="s">
        <v>100</v>
      </c>
      <c r="R46" s="284"/>
    </row>
    <row r="47" spans="2:18" ht="16.5" customHeight="1">
      <c r="B47" s="274" t="s">
        <v>99</v>
      </c>
      <c r="C47" s="288">
        <v>5500.25</v>
      </c>
      <c r="D47" s="260"/>
      <c r="E47" s="289" t="s">
        <v>87</v>
      </c>
      <c r="F47" s="290">
        <v>7</v>
      </c>
      <c r="G47" s="406">
        <f t="shared" ref="G47:G58" si="1">IF(F47&gt;0,($B$6*F47),0)</f>
        <v>0</v>
      </c>
      <c r="H47" s="292"/>
      <c r="I47" s="291">
        <f t="shared" ref="I47:I58" si="2">IF(H47&gt;0,($B$7*C59),0)</f>
        <v>0</v>
      </c>
      <c r="J47" s="293"/>
      <c r="K47" s="291">
        <f t="shared" ref="K47:K58" si="3">IF(J47&gt;0,($B$8*C59),0)</f>
        <v>0</v>
      </c>
      <c r="L47" s="292">
        <v>3</v>
      </c>
      <c r="M47" s="406">
        <f t="shared" ref="M47:M58" si="4">IF(L47&gt;0,($B$9*L47),0)</f>
        <v>0</v>
      </c>
      <c r="N47" s="295">
        <v>2</v>
      </c>
      <c r="O47" s="291">
        <f t="shared" ref="O47:O58" si="5">IF(N47&gt;0,($B$10*N47),0)</f>
        <v>0</v>
      </c>
      <c r="P47" s="295">
        <v>2</v>
      </c>
      <c r="Q47" s="291">
        <f t="shared" ref="Q47:Q58" si="6">IF(P47&gt;0,($B$17*P47),0)</f>
        <v>0</v>
      </c>
      <c r="R47" s="296">
        <f t="shared" ref="R47:R58" si="7">SUM(Q47+O47+M47+K47+I47+G47)</f>
        <v>0</v>
      </c>
    </row>
    <row r="48" spans="2:18" ht="16.5" customHeight="1">
      <c r="B48" s="274" t="s">
        <v>98</v>
      </c>
      <c r="C48" s="288">
        <v>3354</v>
      </c>
      <c r="D48" s="260"/>
      <c r="E48" s="289" t="s">
        <v>86</v>
      </c>
      <c r="F48" s="290">
        <v>7</v>
      </c>
      <c r="G48" s="406">
        <f t="shared" si="1"/>
        <v>0</v>
      </c>
      <c r="H48" s="292"/>
      <c r="I48" s="291">
        <f t="shared" si="2"/>
        <v>0</v>
      </c>
      <c r="J48" s="293"/>
      <c r="K48" s="291">
        <f t="shared" si="3"/>
        <v>0</v>
      </c>
      <c r="L48" s="292">
        <v>3</v>
      </c>
      <c r="M48" s="406">
        <f t="shared" si="4"/>
        <v>0</v>
      </c>
      <c r="N48" s="295">
        <v>2</v>
      </c>
      <c r="O48" s="291">
        <f t="shared" si="5"/>
        <v>0</v>
      </c>
      <c r="P48" s="295">
        <v>2</v>
      </c>
      <c r="Q48" s="291">
        <f t="shared" si="6"/>
        <v>0</v>
      </c>
      <c r="R48" s="296">
        <f t="shared" si="7"/>
        <v>0</v>
      </c>
    </row>
    <row r="49" spans="2:18" ht="16.5" customHeight="1">
      <c r="B49" s="274" t="s">
        <v>361</v>
      </c>
      <c r="C49" s="288">
        <v>324</v>
      </c>
      <c r="D49" s="260"/>
      <c r="E49" s="289" t="s">
        <v>84</v>
      </c>
      <c r="F49" s="290">
        <v>7</v>
      </c>
      <c r="G49" s="406">
        <f t="shared" si="1"/>
        <v>0</v>
      </c>
      <c r="H49" s="292"/>
      <c r="I49" s="291">
        <f t="shared" si="2"/>
        <v>0</v>
      </c>
      <c r="J49" s="293"/>
      <c r="K49" s="291">
        <f t="shared" si="3"/>
        <v>0</v>
      </c>
      <c r="L49" s="292">
        <v>3</v>
      </c>
      <c r="M49" s="406">
        <f t="shared" si="4"/>
        <v>0</v>
      </c>
      <c r="N49" s="295">
        <v>2</v>
      </c>
      <c r="O49" s="291">
        <f t="shared" si="5"/>
        <v>0</v>
      </c>
      <c r="P49" s="295">
        <v>2</v>
      </c>
      <c r="Q49" s="291">
        <f t="shared" si="6"/>
        <v>0</v>
      </c>
      <c r="R49" s="296">
        <f t="shared" si="7"/>
        <v>0</v>
      </c>
    </row>
    <row r="50" spans="2:18" ht="16.5" customHeight="1">
      <c r="B50" s="274" t="s">
        <v>362</v>
      </c>
      <c r="C50" s="288">
        <v>1050</v>
      </c>
      <c r="D50" s="260"/>
      <c r="E50" s="289" t="s">
        <v>83</v>
      </c>
      <c r="F50" s="290">
        <v>7</v>
      </c>
      <c r="G50" s="406">
        <f t="shared" si="1"/>
        <v>0</v>
      </c>
      <c r="H50" s="292"/>
      <c r="I50" s="291">
        <f t="shared" si="2"/>
        <v>0</v>
      </c>
      <c r="J50" s="293"/>
      <c r="K50" s="291">
        <f t="shared" si="3"/>
        <v>0</v>
      </c>
      <c r="L50" s="292">
        <v>3</v>
      </c>
      <c r="M50" s="406">
        <f t="shared" si="4"/>
        <v>0</v>
      </c>
      <c r="N50" s="295">
        <v>2</v>
      </c>
      <c r="O50" s="291">
        <f t="shared" si="5"/>
        <v>0</v>
      </c>
      <c r="P50" s="295">
        <v>2</v>
      </c>
      <c r="Q50" s="291">
        <f t="shared" si="6"/>
        <v>0</v>
      </c>
      <c r="R50" s="296">
        <f t="shared" si="7"/>
        <v>0</v>
      </c>
    </row>
    <row r="51" spans="2:18" ht="16.5" customHeight="1">
      <c r="B51" s="274" t="s">
        <v>95</v>
      </c>
      <c r="C51" s="141">
        <v>35000</v>
      </c>
      <c r="D51" s="260"/>
      <c r="E51" s="289" t="s">
        <v>82</v>
      </c>
      <c r="F51" s="290">
        <v>7</v>
      </c>
      <c r="G51" s="406">
        <f t="shared" si="1"/>
        <v>0</v>
      </c>
      <c r="H51" s="292">
        <v>1</v>
      </c>
      <c r="I51" s="291">
        <f t="shared" si="2"/>
        <v>0</v>
      </c>
      <c r="J51" s="293">
        <v>1</v>
      </c>
      <c r="K51" s="291">
        <f t="shared" si="3"/>
        <v>0</v>
      </c>
      <c r="L51" s="292">
        <v>3</v>
      </c>
      <c r="M51" s="406">
        <f t="shared" si="4"/>
        <v>0</v>
      </c>
      <c r="N51" s="295">
        <v>2</v>
      </c>
      <c r="O51" s="291">
        <f t="shared" si="5"/>
        <v>0</v>
      </c>
      <c r="P51" s="295">
        <v>2</v>
      </c>
      <c r="Q51" s="291">
        <f t="shared" si="6"/>
        <v>0</v>
      </c>
      <c r="R51" s="296">
        <f t="shared" si="7"/>
        <v>0</v>
      </c>
    </row>
    <row r="52" spans="2:18" ht="16.5" customHeight="1">
      <c r="B52" s="274" t="s">
        <v>94</v>
      </c>
      <c r="C52" s="141">
        <v>5000</v>
      </c>
      <c r="D52" s="260"/>
      <c r="E52" s="289" t="s">
        <v>80</v>
      </c>
      <c r="F52" s="290">
        <v>7</v>
      </c>
      <c r="G52" s="406">
        <f t="shared" si="1"/>
        <v>0</v>
      </c>
      <c r="H52" s="292"/>
      <c r="I52" s="291">
        <f t="shared" si="2"/>
        <v>0</v>
      </c>
      <c r="J52" s="293"/>
      <c r="K52" s="291">
        <f t="shared" si="3"/>
        <v>0</v>
      </c>
      <c r="L52" s="292">
        <v>3</v>
      </c>
      <c r="M52" s="406">
        <f t="shared" si="4"/>
        <v>0</v>
      </c>
      <c r="N52" s="295">
        <v>2</v>
      </c>
      <c r="O52" s="291">
        <f t="shared" si="5"/>
        <v>0</v>
      </c>
      <c r="P52" s="295">
        <v>2</v>
      </c>
      <c r="Q52" s="291">
        <f t="shared" si="6"/>
        <v>0</v>
      </c>
      <c r="R52" s="296">
        <f t="shared" si="7"/>
        <v>0</v>
      </c>
    </row>
    <row r="53" spans="2:18" ht="16.5" customHeight="1">
      <c r="B53" s="274" t="s">
        <v>93</v>
      </c>
      <c r="C53" s="141">
        <v>175000</v>
      </c>
      <c r="D53" s="260"/>
      <c r="E53" s="289" t="s">
        <v>79</v>
      </c>
      <c r="F53" s="290">
        <v>7</v>
      </c>
      <c r="G53" s="406">
        <f t="shared" si="1"/>
        <v>0</v>
      </c>
      <c r="H53" s="292"/>
      <c r="I53" s="291">
        <f t="shared" si="2"/>
        <v>0</v>
      </c>
      <c r="J53" s="293"/>
      <c r="K53" s="291">
        <f t="shared" si="3"/>
        <v>0</v>
      </c>
      <c r="L53" s="292">
        <v>3</v>
      </c>
      <c r="M53" s="406">
        <f t="shared" si="4"/>
        <v>0</v>
      </c>
      <c r="N53" s="295">
        <v>2</v>
      </c>
      <c r="O53" s="291">
        <f t="shared" si="5"/>
        <v>0</v>
      </c>
      <c r="P53" s="295">
        <v>2</v>
      </c>
      <c r="Q53" s="291">
        <f t="shared" si="6"/>
        <v>0</v>
      </c>
      <c r="R53" s="296">
        <f t="shared" si="7"/>
        <v>0</v>
      </c>
    </row>
    <row r="54" spans="2:18" ht="16.5" customHeight="1">
      <c r="B54" s="274" t="s">
        <v>92</v>
      </c>
      <c r="C54" s="141">
        <v>175000</v>
      </c>
      <c r="D54" s="260"/>
      <c r="E54" s="289" t="s">
        <v>78</v>
      </c>
      <c r="F54" s="290">
        <v>7</v>
      </c>
      <c r="G54" s="406">
        <f t="shared" si="1"/>
        <v>0</v>
      </c>
      <c r="H54" s="292"/>
      <c r="I54" s="291">
        <f t="shared" si="2"/>
        <v>0</v>
      </c>
      <c r="J54" s="293"/>
      <c r="K54" s="291">
        <f t="shared" si="3"/>
        <v>0</v>
      </c>
      <c r="L54" s="292">
        <v>3</v>
      </c>
      <c r="M54" s="406">
        <f t="shared" si="4"/>
        <v>0</v>
      </c>
      <c r="N54" s="295">
        <v>2</v>
      </c>
      <c r="O54" s="291">
        <f t="shared" si="5"/>
        <v>0</v>
      </c>
      <c r="P54" s="295">
        <v>2</v>
      </c>
      <c r="Q54" s="291">
        <f t="shared" si="6"/>
        <v>0</v>
      </c>
      <c r="R54" s="296">
        <f t="shared" si="7"/>
        <v>0</v>
      </c>
    </row>
    <row r="55" spans="2:18" ht="16.5" customHeight="1">
      <c r="B55" s="274" t="s">
        <v>91</v>
      </c>
      <c r="C55" s="141">
        <v>12000</v>
      </c>
      <c r="D55" s="260"/>
      <c r="E55" s="289" t="s">
        <v>77</v>
      </c>
      <c r="F55" s="290">
        <v>7</v>
      </c>
      <c r="G55" s="406">
        <f t="shared" si="1"/>
        <v>0</v>
      </c>
      <c r="H55" s="292"/>
      <c r="I55" s="291">
        <f t="shared" si="2"/>
        <v>0</v>
      </c>
      <c r="J55" s="293"/>
      <c r="K55" s="291">
        <f t="shared" si="3"/>
        <v>0</v>
      </c>
      <c r="L55" s="292">
        <v>3</v>
      </c>
      <c r="M55" s="406">
        <f t="shared" si="4"/>
        <v>0</v>
      </c>
      <c r="N55" s="295">
        <v>2</v>
      </c>
      <c r="O55" s="291">
        <f t="shared" si="5"/>
        <v>0</v>
      </c>
      <c r="P55" s="295">
        <v>2</v>
      </c>
      <c r="Q55" s="291">
        <f t="shared" si="6"/>
        <v>0</v>
      </c>
      <c r="R55" s="296">
        <f t="shared" si="7"/>
        <v>0</v>
      </c>
    </row>
    <row r="56" spans="2:18" ht="16.5" customHeight="1">
      <c r="B56" s="274" t="s">
        <v>90</v>
      </c>
      <c r="C56" s="141">
        <v>25000</v>
      </c>
      <c r="D56" s="260"/>
      <c r="E56" s="289" t="s">
        <v>76</v>
      </c>
      <c r="F56" s="290">
        <v>7</v>
      </c>
      <c r="G56" s="406">
        <f t="shared" si="1"/>
        <v>0</v>
      </c>
      <c r="H56" s="292"/>
      <c r="I56" s="291">
        <f t="shared" si="2"/>
        <v>0</v>
      </c>
      <c r="J56" s="293"/>
      <c r="K56" s="291">
        <f t="shared" si="3"/>
        <v>0</v>
      </c>
      <c r="L56" s="292">
        <v>3</v>
      </c>
      <c r="M56" s="406">
        <f t="shared" si="4"/>
        <v>0</v>
      </c>
      <c r="N56" s="295">
        <v>2</v>
      </c>
      <c r="O56" s="291">
        <f t="shared" si="5"/>
        <v>0</v>
      </c>
      <c r="P56" s="295">
        <v>2</v>
      </c>
      <c r="Q56" s="291">
        <f t="shared" si="6"/>
        <v>0</v>
      </c>
      <c r="R56" s="296">
        <f t="shared" si="7"/>
        <v>0</v>
      </c>
    </row>
    <row r="57" spans="2:18" ht="16.5" customHeight="1">
      <c r="B57" s="297" t="s">
        <v>89</v>
      </c>
      <c r="C57" s="298">
        <v>92</v>
      </c>
      <c r="D57" s="260"/>
      <c r="E57" s="289" t="s">
        <v>75</v>
      </c>
      <c r="F57" s="290">
        <v>7</v>
      </c>
      <c r="G57" s="406">
        <f t="shared" si="1"/>
        <v>0</v>
      </c>
      <c r="H57" s="292"/>
      <c r="I57" s="291">
        <f t="shared" si="2"/>
        <v>0</v>
      </c>
      <c r="J57" s="293"/>
      <c r="K57" s="291">
        <f t="shared" si="3"/>
        <v>0</v>
      </c>
      <c r="L57" s="292">
        <v>3</v>
      </c>
      <c r="M57" s="406">
        <f t="shared" si="4"/>
        <v>0</v>
      </c>
      <c r="N57" s="295">
        <v>2</v>
      </c>
      <c r="O57" s="291">
        <f t="shared" si="5"/>
        <v>0</v>
      </c>
      <c r="P57" s="295">
        <v>2</v>
      </c>
      <c r="Q57" s="291">
        <f t="shared" si="6"/>
        <v>0</v>
      </c>
      <c r="R57" s="296">
        <f t="shared" si="7"/>
        <v>0</v>
      </c>
    </row>
    <row r="58" spans="2:18" ht="16.5" customHeight="1">
      <c r="B58" s="299" t="s">
        <v>88</v>
      </c>
      <c r="C58" s="300"/>
      <c r="D58" s="260"/>
      <c r="E58" s="289" t="s">
        <v>74</v>
      </c>
      <c r="F58" s="290">
        <v>7</v>
      </c>
      <c r="G58" s="406">
        <f t="shared" si="1"/>
        <v>0</v>
      </c>
      <c r="H58" s="292"/>
      <c r="I58" s="291">
        <f t="shared" si="2"/>
        <v>0</v>
      </c>
      <c r="J58" s="293"/>
      <c r="K58" s="291">
        <f t="shared" si="3"/>
        <v>0</v>
      </c>
      <c r="L58" s="292">
        <v>3</v>
      </c>
      <c r="M58" s="406">
        <f t="shared" si="4"/>
        <v>0</v>
      </c>
      <c r="N58" s="295">
        <v>2</v>
      </c>
      <c r="O58" s="291">
        <f t="shared" si="5"/>
        <v>0</v>
      </c>
      <c r="P58" s="295">
        <v>2</v>
      </c>
      <c r="Q58" s="291">
        <f t="shared" si="6"/>
        <v>0</v>
      </c>
      <c r="R58" s="296">
        <f t="shared" si="7"/>
        <v>0</v>
      </c>
    </row>
    <row r="59" spans="2:18" ht="16.5" customHeight="1">
      <c r="B59" s="421" t="s">
        <v>87</v>
      </c>
      <c r="C59" s="422">
        <v>1</v>
      </c>
      <c r="D59" s="260"/>
      <c r="E59" s="303"/>
      <c r="F59" s="304"/>
      <c r="G59" s="305"/>
      <c r="H59" s="306"/>
      <c r="I59" s="307"/>
      <c r="J59" s="308"/>
      <c r="K59" s="307"/>
      <c r="L59" s="306"/>
      <c r="M59" s="409"/>
      <c r="N59" s="304"/>
      <c r="O59" s="305"/>
      <c r="P59" s="306"/>
      <c r="Q59" s="307"/>
      <c r="R59" s="309"/>
    </row>
    <row r="60" spans="2:18" ht="16.5" customHeight="1" thickBot="1">
      <c r="B60" s="421" t="s">
        <v>86</v>
      </c>
      <c r="C60" s="421">
        <f t="shared" ref="C60:C70" si="8">SUM(C59+(C59*$B$5))</f>
        <v>1</v>
      </c>
      <c r="D60" s="260"/>
      <c r="E60" s="310" t="s">
        <v>85</v>
      </c>
      <c r="F60" s="311"/>
      <c r="G60" s="312">
        <f>SUM(G47:G58)</f>
        <v>0</v>
      </c>
      <c r="H60" s="313"/>
      <c r="I60" s="312">
        <f>SUM(I47:I58)</f>
        <v>0</v>
      </c>
      <c r="J60" s="314"/>
      <c r="K60" s="312">
        <f>SUM(K47:K58)</f>
        <v>0</v>
      </c>
      <c r="L60" s="313"/>
      <c r="M60" s="410">
        <f>SUM(M47:M58)</f>
        <v>0</v>
      </c>
      <c r="N60" s="315"/>
      <c r="O60" s="312">
        <f>SUM(O47:O58)</f>
        <v>0</v>
      </c>
      <c r="P60" s="313"/>
      <c r="Q60" s="312">
        <f>SUM(Q47:Q58)</f>
        <v>0</v>
      </c>
      <c r="R60" s="316">
        <f>SUM(R47:R58)</f>
        <v>0</v>
      </c>
    </row>
    <row r="61" spans="2:18" ht="16.5" customHeight="1" thickTop="1" thickBot="1">
      <c r="B61" s="421" t="s">
        <v>84</v>
      </c>
      <c r="C61" s="421">
        <f t="shared" si="8"/>
        <v>1</v>
      </c>
      <c r="D61" s="269"/>
      <c r="E61" s="317"/>
      <c r="F61" s="318"/>
      <c r="G61" s="319"/>
      <c r="H61" s="320"/>
      <c r="I61" s="319"/>
      <c r="J61" s="321"/>
      <c r="K61" s="319"/>
      <c r="L61" s="320"/>
      <c r="M61" s="411"/>
      <c r="N61" s="318"/>
      <c r="O61" s="322"/>
      <c r="P61" s="320"/>
      <c r="Q61" s="319"/>
      <c r="R61" s="323"/>
    </row>
    <row r="62" spans="2:18" ht="16.5" customHeight="1">
      <c r="B62" s="421" t="s">
        <v>83</v>
      </c>
      <c r="C62" s="423">
        <f t="shared" si="8"/>
        <v>1</v>
      </c>
      <c r="D62" s="269"/>
      <c r="E62" s="269"/>
      <c r="F62" s="325"/>
      <c r="G62" s="269"/>
      <c r="H62" s="326"/>
      <c r="I62" s="269"/>
      <c r="J62" s="327"/>
      <c r="K62" s="269"/>
      <c r="L62" s="326"/>
      <c r="M62" s="412"/>
      <c r="N62" s="325"/>
      <c r="O62" s="269"/>
      <c r="P62" s="326"/>
      <c r="Q62" s="269"/>
      <c r="R62" s="269"/>
    </row>
    <row r="63" spans="2:18" ht="16.5" customHeight="1">
      <c r="B63" s="421" t="s">
        <v>82</v>
      </c>
      <c r="C63" s="423">
        <f t="shared" si="8"/>
        <v>1</v>
      </c>
      <c r="D63" s="269"/>
      <c r="E63" s="269" t="s">
        <v>81</v>
      </c>
      <c r="F63" s="325"/>
      <c r="G63" s="269"/>
      <c r="H63" s="326"/>
      <c r="I63" s="269"/>
      <c r="J63" s="327"/>
      <c r="K63" s="269"/>
      <c r="L63" s="326"/>
      <c r="M63" s="412"/>
      <c r="N63" s="325"/>
      <c r="O63" s="269"/>
      <c r="P63" s="326"/>
      <c r="Q63" s="269"/>
      <c r="R63" s="269"/>
    </row>
    <row r="64" spans="2:18" ht="16.5" customHeight="1">
      <c r="B64" s="421" t="s">
        <v>80</v>
      </c>
      <c r="C64" s="423">
        <f t="shared" si="8"/>
        <v>1</v>
      </c>
      <c r="D64" s="269"/>
      <c r="E64" s="269"/>
      <c r="F64" s="325"/>
      <c r="G64" s="269"/>
      <c r="H64" s="326"/>
      <c r="I64" s="269"/>
      <c r="J64" s="327"/>
      <c r="K64" s="269"/>
      <c r="L64" s="326"/>
      <c r="M64" s="412"/>
      <c r="N64" s="325"/>
      <c r="O64" s="269"/>
      <c r="P64" s="326"/>
      <c r="Q64" s="269"/>
      <c r="R64" s="269"/>
    </row>
    <row r="65" spans="2:18" ht="16.5" customHeight="1">
      <c r="B65" s="421" t="s">
        <v>79</v>
      </c>
      <c r="C65" s="423">
        <f t="shared" si="8"/>
        <v>1</v>
      </c>
      <c r="D65" s="269"/>
      <c r="E65" s="413" t="s">
        <v>291</v>
      </c>
      <c r="F65" s="414"/>
      <c r="G65" s="415"/>
      <c r="H65" s="416"/>
      <c r="I65" s="413"/>
      <c r="J65" s="417"/>
      <c r="K65" s="413"/>
      <c r="L65" s="417"/>
      <c r="M65" s="413"/>
      <c r="N65" s="417"/>
      <c r="O65" s="413"/>
      <c r="P65" s="326"/>
      <c r="Q65" s="269"/>
      <c r="R65" s="269"/>
    </row>
    <row r="66" spans="2:18" ht="16.5" customHeight="1">
      <c r="B66" s="421" t="s">
        <v>78</v>
      </c>
      <c r="C66" s="423">
        <f t="shared" si="8"/>
        <v>1</v>
      </c>
      <c r="D66" s="269"/>
      <c r="E66" s="418" t="s">
        <v>292</v>
      </c>
      <c r="F66" s="419"/>
      <c r="G66" s="418"/>
      <c r="H66" s="420"/>
      <c r="I66" s="269"/>
      <c r="J66" s="326"/>
      <c r="K66" s="269"/>
      <c r="L66" s="326"/>
      <c r="M66" s="269"/>
      <c r="N66" s="326"/>
      <c r="O66" s="269"/>
      <c r="P66" s="326"/>
      <c r="Q66" s="269"/>
      <c r="R66" s="269"/>
    </row>
    <row r="67" spans="2:18" ht="16.5" customHeight="1">
      <c r="B67" s="421" t="s">
        <v>77</v>
      </c>
      <c r="C67" s="423">
        <f t="shared" si="8"/>
        <v>1</v>
      </c>
      <c r="D67" s="269"/>
      <c r="E67" s="269"/>
      <c r="F67" s="325"/>
      <c r="G67" s="269"/>
      <c r="H67" s="326"/>
      <c r="I67" s="269"/>
      <c r="J67" s="327"/>
      <c r="K67" s="269"/>
      <c r="L67" s="326"/>
      <c r="M67" s="412"/>
      <c r="N67" s="325"/>
      <c r="O67" s="269"/>
      <c r="P67" s="326"/>
      <c r="Q67" s="269"/>
      <c r="R67" s="269"/>
    </row>
    <row r="68" spans="2:18" ht="16.5" customHeight="1">
      <c r="B68" s="421" t="s">
        <v>76</v>
      </c>
      <c r="C68" s="423">
        <f t="shared" si="8"/>
        <v>1</v>
      </c>
      <c r="D68" s="269"/>
      <c r="E68" s="269"/>
      <c r="F68" s="325"/>
      <c r="G68" s="269"/>
      <c r="H68" s="326"/>
      <c r="I68" s="269"/>
      <c r="J68" s="327"/>
      <c r="K68" s="269"/>
      <c r="L68" s="326"/>
      <c r="M68" s="412"/>
      <c r="N68" s="325"/>
      <c r="O68" s="269"/>
      <c r="P68" s="326"/>
      <c r="Q68" s="269"/>
      <c r="R68" s="269"/>
    </row>
    <row r="69" spans="2:18" ht="16.5" customHeight="1">
      <c r="B69" s="421" t="s">
        <v>75</v>
      </c>
      <c r="C69" s="423">
        <f t="shared" si="8"/>
        <v>1</v>
      </c>
      <c r="D69" s="269"/>
      <c r="E69" s="269"/>
      <c r="F69" s="325"/>
      <c r="G69" s="269"/>
      <c r="H69" s="326"/>
      <c r="I69" s="269"/>
      <c r="J69" s="327"/>
      <c r="K69" s="269"/>
      <c r="L69" s="326"/>
      <c r="M69" s="412"/>
      <c r="N69" s="325"/>
      <c r="O69" s="269"/>
      <c r="P69" s="326"/>
      <c r="Q69" s="269"/>
      <c r="R69" s="269"/>
    </row>
    <row r="70" spans="2:18" ht="16.5" customHeight="1">
      <c r="B70" s="421" t="s">
        <v>74</v>
      </c>
      <c r="C70" s="423">
        <f t="shared" si="8"/>
        <v>1</v>
      </c>
      <c r="D70" s="269"/>
      <c r="E70" s="269"/>
      <c r="F70" s="325"/>
      <c r="G70" s="269"/>
      <c r="H70" s="326"/>
      <c r="I70" s="269"/>
      <c r="J70" s="327"/>
      <c r="K70" s="269"/>
      <c r="L70" s="326"/>
      <c r="M70" s="412"/>
      <c r="N70" s="325"/>
      <c r="O70" s="269"/>
      <c r="P70" s="326"/>
      <c r="Q70" s="269"/>
      <c r="R70" s="269"/>
    </row>
    <row r="72" spans="2:18" ht="16.5" customHeight="1">
      <c r="B72" s="268"/>
      <c r="C72" s="268"/>
      <c r="D72" s="269"/>
      <c r="E72" s="270" t="s">
        <v>118</v>
      </c>
      <c r="F72" s="270"/>
      <c r="G72" s="270"/>
      <c r="H72" s="270"/>
      <c r="I72" s="270"/>
      <c r="J72" s="270"/>
      <c r="K72" s="270"/>
      <c r="L72" s="270"/>
      <c r="M72" s="270"/>
      <c r="N72" s="270"/>
      <c r="O72" s="270"/>
      <c r="P72" s="270"/>
      <c r="Q72" s="270"/>
      <c r="R72" s="270"/>
    </row>
    <row r="73" spans="2:18" ht="16.5" customHeight="1">
      <c r="B73" s="271" t="s">
        <v>633</v>
      </c>
      <c r="C73" s="272" t="s">
        <v>634</v>
      </c>
      <c r="D73" s="269"/>
      <c r="E73" s="273" t="s">
        <v>1784</v>
      </c>
      <c r="F73" s="273"/>
      <c r="G73" s="273"/>
      <c r="H73" s="273"/>
      <c r="I73" s="273"/>
      <c r="J73" s="273"/>
      <c r="K73" s="273"/>
      <c r="L73" s="273"/>
      <c r="M73" s="273"/>
      <c r="N73" s="273"/>
      <c r="O73" s="273"/>
      <c r="P73" s="273"/>
      <c r="Q73" s="273"/>
      <c r="R73" s="273"/>
    </row>
    <row r="74" spans="2:18" ht="16.5" customHeight="1">
      <c r="B74" s="274" t="s">
        <v>115</v>
      </c>
      <c r="C74" s="275">
        <v>7</v>
      </c>
      <c r="D74" s="269"/>
      <c r="E74" s="270" t="s">
        <v>1785</v>
      </c>
      <c r="F74" s="270"/>
      <c r="G74" s="270"/>
      <c r="H74" s="270"/>
      <c r="I74" s="270"/>
      <c r="J74" s="270"/>
      <c r="K74" s="270"/>
      <c r="L74" s="270"/>
      <c r="M74" s="270"/>
      <c r="N74" s="270"/>
      <c r="O74" s="270"/>
      <c r="P74" s="270"/>
      <c r="Q74" s="270"/>
      <c r="R74" s="270"/>
    </row>
    <row r="75" spans="2:18" ht="16.5" customHeight="1" thickBot="1">
      <c r="B75" s="274" t="s">
        <v>112</v>
      </c>
      <c r="C75" s="276">
        <v>93175</v>
      </c>
      <c r="D75" s="268"/>
      <c r="E75" s="330" t="s">
        <v>636</v>
      </c>
      <c r="F75" s="330"/>
      <c r="G75" s="330"/>
      <c r="H75" s="330"/>
      <c r="I75" s="330"/>
      <c r="J75" s="330"/>
      <c r="K75" s="330"/>
      <c r="L75" s="330"/>
      <c r="M75" s="330"/>
      <c r="N75" s="330"/>
      <c r="O75" s="330"/>
      <c r="P75" s="330"/>
      <c r="Q75" s="330"/>
      <c r="R75" s="330"/>
    </row>
    <row r="76" spans="2:18" ht="16.5" customHeight="1">
      <c r="B76" s="274" t="s">
        <v>110</v>
      </c>
      <c r="C76" s="277"/>
      <c r="D76" s="260"/>
      <c r="E76" s="278" t="s">
        <v>109</v>
      </c>
      <c r="F76" s="279" t="s">
        <v>108</v>
      </c>
      <c r="G76" s="280"/>
      <c r="H76" s="279" t="s">
        <v>107</v>
      </c>
      <c r="I76" s="280"/>
      <c r="J76" s="279" t="s">
        <v>106</v>
      </c>
      <c r="K76" s="280"/>
      <c r="L76" s="279" t="s">
        <v>105</v>
      </c>
      <c r="M76" s="280"/>
      <c r="N76" s="279" t="s">
        <v>96</v>
      </c>
      <c r="O76" s="280"/>
      <c r="P76" s="279" t="s">
        <v>104</v>
      </c>
      <c r="Q76" s="280"/>
      <c r="R76" s="281" t="s">
        <v>103</v>
      </c>
    </row>
    <row r="77" spans="2:18" ht="16.5" customHeight="1">
      <c r="B77" s="274" t="s">
        <v>102</v>
      </c>
      <c r="C77" s="283">
        <v>125</v>
      </c>
      <c r="D77" s="260"/>
      <c r="E77" s="289"/>
      <c r="F77" s="285" t="s">
        <v>101</v>
      </c>
      <c r="G77" s="331" t="s">
        <v>100</v>
      </c>
      <c r="H77" s="287" t="s">
        <v>364</v>
      </c>
      <c r="I77" s="331" t="s">
        <v>100</v>
      </c>
      <c r="J77" s="287" t="s">
        <v>364</v>
      </c>
      <c r="K77" s="331" t="s">
        <v>100</v>
      </c>
      <c r="L77" s="285" t="s">
        <v>101</v>
      </c>
      <c r="M77" s="331" t="s">
        <v>100</v>
      </c>
      <c r="N77" s="285" t="s">
        <v>101</v>
      </c>
      <c r="O77" s="331" t="s">
        <v>100</v>
      </c>
      <c r="P77" s="287" t="s">
        <v>101</v>
      </c>
      <c r="Q77" s="331" t="s">
        <v>100</v>
      </c>
      <c r="R77" s="289"/>
    </row>
    <row r="78" spans="2:18" ht="16.5" customHeight="1">
      <c r="B78" s="274" t="s">
        <v>107</v>
      </c>
      <c r="C78" s="288">
        <v>5500.25</v>
      </c>
      <c r="D78" s="260"/>
      <c r="E78" s="289" t="s">
        <v>87</v>
      </c>
      <c r="F78" s="290">
        <v>8</v>
      </c>
      <c r="G78" s="291">
        <f t="shared" ref="G78:G89" si="9">SUM($B$6*F78)*C90</f>
        <v>0</v>
      </c>
      <c r="H78" s="292">
        <v>0</v>
      </c>
      <c r="I78" s="291">
        <v>0</v>
      </c>
      <c r="J78" s="293">
        <v>0</v>
      </c>
      <c r="K78" s="291">
        <f t="shared" ref="K78:K89" si="10">IF(J78&gt;0,($B$8*C90),0)</f>
        <v>0</v>
      </c>
      <c r="L78" s="468">
        <v>2</v>
      </c>
      <c r="M78" s="406">
        <f t="shared" ref="M78:M89" si="11">IF(L78&gt;0,($B$9*L78),0)</f>
        <v>0</v>
      </c>
      <c r="N78" s="290">
        <v>1</v>
      </c>
      <c r="O78" s="291">
        <f t="shared" ref="O78:O89" si="12">IF(N78&gt;0,($B$10*N78),0)</f>
        <v>0</v>
      </c>
      <c r="P78" s="295">
        <v>0</v>
      </c>
      <c r="Q78" s="291">
        <f t="shared" ref="Q78:Q89" si="13">SUM(P78*$B$17)*C90</f>
        <v>0</v>
      </c>
      <c r="R78" s="296">
        <f t="shared" ref="R78:R89" si="14">SUM(Q78+O78+M78+K78+I78+G78)</f>
        <v>0</v>
      </c>
    </row>
    <row r="79" spans="2:18" ht="16.5" customHeight="1">
      <c r="B79" s="274" t="s">
        <v>121</v>
      </c>
      <c r="C79" s="288">
        <v>3354</v>
      </c>
      <c r="D79" s="260"/>
      <c r="E79" s="289" t="s">
        <v>86</v>
      </c>
      <c r="F79" s="290">
        <v>7</v>
      </c>
      <c r="G79" s="291">
        <f t="shared" si="9"/>
        <v>0</v>
      </c>
      <c r="H79" s="292"/>
      <c r="I79" s="291">
        <f t="shared" ref="I79:I89" si="15">IF(H79&gt;0,($B$7*C91),0)</f>
        <v>0</v>
      </c>
      <c r="J79" s="293"/>
      <c r="K79" s="291">
        <f t="shared" si="10"/>
        <v>0</v>
      </c>
      <c r="L79" s="469">
        <v>3</v>
      </c>
      <c r="M79" s="406">
        <f t="shared" si="11"/>
        <v>0</v>
      </c>
      <c r="N79" s="469">
        <v>1</v>
      </c>
      <c r="O79" s="291">
        <f t="shared" si="12"/>
        <v>0</v>
      </c>
      <c r="P79" s="295"/>
      <c r="Q79" s="291">
        <f t="shared" si="13"/>
        <v>0</v>
      </c>
      <c r="R79" s="296">
        <f t="shared" si="14"/>
        <v>0</v>
      </c>
    </row>
    <row r="80" spans="2:18" ht="16.5" customHeight="1">
      <c r="B80" s="407" t="s">
        <v>365</v>
      </c>
      <c r="C80" s="288">
        <v>324</v>
      </c>
      <c r="D80" s="260"/>
      <c r="E80" s="289" t="s">
        <v>84</v>
      </c>
      <c r="F80" s="290">
        <v>8</v>
      </c>
      <c r="G80" s="291">
        <f t="shared" si="9"/>
        <v>0</v>
      </c>
      <c r="H80" s="292">
        <v>1</v>
      </c>
      <c r="I80" s="291">
        <f t="shared" si="15"/>
        <v>0</v>
      </c>
      <c r="J80" s="293"/>
      <c r="K80" s="291">
        <f t="shared" si="10"/>
        <v>0</v>
      </c>
      <c r="L80" s="469">
        <v>3</v>
      </c>
      <c r="M80" s="406">
        <f t="shared" si="11"/>
        <v>0</v>
      </c>
      <c r="N80" s="290">
        <v>1.5</v>
      </c>
      <c r="O80" s="291">
        <f t="shared" si="12"/>
        <v>0</v>
      </c>
      <c r="P80" s="295"/>
      <c r="Q80" s="291">
        <f t="shared" si="13"/>
        <v>0</v>
      </c>
      <c r="R80" s="296">
        <f t="shared" si="14"/>
        <v>0</v>
      </c>
    </row>
    <row r="81" spans="2:18" ht="16.5" customHeight="1">
      <c r="B81" s="470" t="s">
        <v>366</v>
      </c>
      <c r="C81" s="288">
        <v>1050</v>
      </c>
      <c r="D81" s="260"/>
      <c r="E81" s="289" t="s">
        <v>83</v>
      </c>
      <c r="F81" s="290">
        <v>9</v>
      </c>
      <c r="G81" s="291">
        <f t="shared" si="9"/>
        <v>0</v>
      </c>
      <c r="H81" s="292">
        <v>1</v>
      </c>
      <c r="I81" s="291">
        <f t="shared" si="15"/>
        <v>0</v>
      </c>
      <c r="J81" s="293">
        <v>1</v>
      </c>
      <c r="K81" s="291">
        <f t="shared" si="10"/>
        <v>0</v>
      </c>
      <c r="L81" s="469">
        <v>2</v>
      </c>
      <c r="M81" s="406">
        <f t="shared" si="11"/>
        <v>0</v>
      </c>
      <c r="N81" s="333">
        <v>2</v>
      </c>
      <c r="O81" s="291">
        <f t="shared" si="12"/>
        <v>0</v>
      </c>
      <c r="P81" s="295">
        <v>2</v>
      </c>
      <c r="Q81" s="291">
        <f t="shared" si="13"/>
        <v>0</v>
      </c>
      <c r="R81" s="296">
        <f t="shared" si="14"/>
        <v>0</v>
      </c>
    </row>
    <row r="82" spans="2:18" ht="16.5" customHeight="1">
      <c r="B82" s="274" t="s">
        <v>95</v>
      </c>
      <c r="C82" s="141">
        <v>35000</v>
      </c>
      <c r="D82" s="260"/>
      <c r="E82" s="289" t="s">
        <v>82</v>
      </c>
      <c r="F82" s="290">
        <v>7</v>
      </c>
      <c r="G82" s="291">
        <f t="shared" si="9"/>
        <v>0</v>
      </c>
      <c r="H82" s="292">
        <v>2</v>
      </c>
      <c r="I82" s="291">
        <f t="shared" si="15"/>
        <v>0</v>
      </c>
      <c r="J82" s="293"/>
      <c r="K82" s="291">
        <f t="shared" si="10"/>
        <v>0</v>
      </c>
      <c r="L82" s="469">
        <v>3.5</v>
      </c>
      <c r="M82" s="406">
        <f t="shared" si="11"/>
        <v>0</v>
      </c>
      <c r="N82" s="290">
        <v>1</v>
      </c>
      <c r="O82" s="291">
        <f t="shared" si="12"/>
        <v>0</v>
      </c>
      <c r="P82" s="295">
        <v>1</v>
      </c>
      <c r="Q82" s="291">
        <f t="shared" si="13"/>
        <v>0</v>
      </c>
      <c r="R82" s="296">
        <f t="shared" si="14"/>
        <v>0</v>
      </c>
    </row>
    <row r="83" spans="2:18" ht="16.5" customHeight="1">
      <c r="B83" s="274" t="s">
        <v>94</v>
      </c>
      <c r="C83" s="141">
        <v>5000</v>
      </c>
      <c r="D83" s="260"/>
      <c r="E83" s="289" t="s">
        <v>80</v>
      </c>
      <c r="F83" s="290"/>
      <c r="G83" s="291">
        <f t="shared" si="9"/>
        <v>0</v>
      </c>
      <c r="H83" s="292"/>
      <c r="I83" s="291">
        <f t="shared" si="15"/>
        <v>0</v>
      </c>
      <c r="J83" s="293"/>
      <c r="K83" s="291">
        <f t="shared" si="10"/>
        <v>0</v>
      </c>
      <c r="L83" s="469"/>
      <c r="M83" s="406">
        <f t="shared" si="11"/>
        <v>0</v>
      </c>
      <c r="N83" s="334"/>
      <c r="O83" s="291">
        <f t="shared" si="12"/>
        <v>0</v>
      </c>
      <c r="P83" s="295"/>
      <c r="Q83" s="291">
        <f t="shared" si="13"/>
        <v>0</v>
      </c>
      <c r="R83" s="296">
        <f t="shared" si="14"/>
        <v>0</v>
      </c>
    </row>
    <row r="84" spans="2:18" ht="16.5" customHeight="1">
      <c r="B84" s="274" t="s">
        <v>93</v>
      </c>
      <c r="C84" s="141">
        <v>175000</v>
      </c>
      <c r="D84" s="260"/>
      <c r="E84" s="289" t="s">
        <v>79</v>
      </c>
      <c r="F84" s="290"/>
      <c r="G84" s="291">
        <f t="shared" si="9"/>
        <v>0</v>
      </c>
      <c r="H84" s="292"/>
      <c r="I84" s="291">
        <f t="shared" si="15"/>
        <v>0</v>
      </c>
      <c r="J84" s="293"/>
      <c r="K84" s="291">
        <f t="shared" si="10"/>
        <v>0</v>
      </c>
      <c r="L84" s="469"/>
      <c r="M84" s="406">
        <f t="shared" si="11"/>
        <v>0</v>
      </c>
      <c r="N84" s="334"/>
      <c r="O84" s="291">
        <f t="shared" si="12"/>
        <v>0</v>
      </c>
      <c r="P84" s="295"/>
      <c r="Q84" s="291">
        <f t="shared" si="13"/>
        <v>0</v>
      </c>
      <c r="R84" s="296">
        <f t="shared" si="14"/>
        <v>0</v>
      </c>
    </row>
    <row r="85" spans="2:18" ht="16.5" customHeight="1">
      <c r="B85" s="274" t="s">
        <v>92</v>
      </c>
      <c r="C85" s="141">
        <v>175000</v>
      </c>
      <c r="D85" s="260"/>
      <c r="E85" s="289" t="s">
        <v>78</v>
      </c>
      <c r="F85" s="290"/>
      <c r="G85" s="291">
        <f t="shared" si="9"/>
        <v>0</v>
      </c>
      <c r="H85" s="292"/>
      <c r="I85" s="291">
        <f t="shared" si="15"/>
        <v>0</v>
      </c>
      <c r="J85" s="293"/>
      <c r="K85" s="291">
        <f t="shared" si="10"/>
        <v>0</v>
      </c>
      <c r="L85" s="469"/>
      <c r="M85" s="406">
        <f t="shared" si="11"/>
        <v>0</v>
      </c>
      <c r="N85" s="334"/>
      <c r="O85" s="291">
        <f t="shared" si="12"/>
        <v>0</v>
      </c>
      <c r="P85" s="295"/>
      <c r="Q85" s="291">
        <f t="shared" si="13"/>
        <v>0</v>
      </c>
      <c r="R85" s="296">
        <f t="shared" si="14"/>
        <v>0</v>
      </c>
    </row>
    <row r="86" spans="2:18" ht="16.5" customHeight="1">
      <c r="B86" s="274" t="s">
        <v>91</v>
      </c>
      <c r="C86" s="141">
        <v>12000</v>
      </c>
      <c r="D86" s="260"/>
      <c r="E86" s="289" t="s">
        <v>77</v>
      </c>
      <c r="F86" s="290"/>
      <c r="G86" s="291">
        <f t="shared" si="9"/>
        <v>0</v>
      </c>
      <c r="H86" s="292"/>
      <c r="I86" s="291">
        <f t="shared" si="15"/>
        <v>0</v>
      </c>
      <c r="J86" s="293"/>
      <c r="K86" s="291">
        <f t="shared" si="10"/>
        <v>0</v>
      </c>
      <c r="L86" s="469"/>
      <c r="M86" s="406">
        <f t="shared" si="11"/>
        <v>0</v>
      </c>
      <c r="N86" s="290"/>
      <c r="O86" s="291">
        <f t="shared" si="12"/>
        <v>0</v>
      </c>
      <c r="P86" s="295"/>
      <c r="Q86" s="291">
        <f t="shared" si="13"/>
        <v>0</v>
      </c>
      <c r="R86" s="296">
        <f t="shared" si="14"/>
        <v>0</v>
      </c>
    </row>
    <row r="87" spans="2:18" ht="16.5" customHeight="1">
      <c r="B87" s="274" t="s">
        <v>90</v>
      </c>
      <c r="C87" s="141">
        <v>25000</v>
      </c>
      <c r="D87" s="260"/>
      <c r="E87" s="289" t="s">
        <v>76</v>
      </c>
      <c r="F87" s="290"/>
      <c r="G87" s="291">
        <f t="shared" si="9"/>
        <v>0</v>
      </c>
      <c r="H87" s="292"/>
      <c r="I87" s="291">
        <f t="shared" si="15"/>
        <v>0</v>
      </c>
      <c r="J87" s="293"/>
      <c r="K87" s="291">
        <f t="shared" si="10"/>
        <v>0</v>
      </c>
      <c r="L87" s="469"/>
      <c r="M87" s="406">
        <f t="shared" si="11"/>
        <v>0</v>
      </c>
      <c r="N87" s="334"/>
      <c r="O87" s="291">
        <f t="shared" si="12"/>
        <v>0</v>
      </c>
      <c r="P87" s="295"/>
      <c r="Q87" s="291">
        <f t="shared" si="13"/>
        <v>0</v>
      </c>
      <c r="R87" s="296">
        <f t="shared" si="14"/>
        <v>0</v>
      </c>
    </row>
    <row r="88" spans="2:18" ht="16.5" customHeight="1">
      <c r="B88" s="297" t="s">
        <v>89</v>
      </c>
      <c r="C88" s="298">
        <v>92</v>
      </c>
      <c r="D88" s="260"/>
      <c r="E88" s="289" t="s">
        <v>75</v>
      </c>
      <c r="F88" s="290"/>
      <c r="G88" s="291">
        <f t="shared" si="9"/>
        <v>0</v>
      </c>
      <c r="H88" s="292"/>
      <c r="I88" s="291">
        <f t="shared" si="15"/>
        <v>0</v>
      </c>
      <c r="J88" s="293"/>
      <c r="K88" s="291">
        <f t="shared" si="10"/>
        <v>0</v>
      </c>
      <c r="L88" s="469"/>
      <c r="M88" s="406">
        <f t="shared" si="11"/>
        <v>0</v>
      </c>
      <c r="N88" s="334"/>
      <c r="O88" s="291">
        <f t="shared" si="12"/>
        <v>0</v>
      </c>
      <c r="P88" s="295"/>
      <c r="Q88" s="291">
        <f t="shared" si="13"/>
        <v>0</v>
      </c>
      <c r="R88" s="296">
        <f t="shared" si="14"/>
        <v>0</v>
      </c>
    </row>
    <row r="89" spans="2:18" ht="16.5" customHeight="1">
      <c r="B89" s="299" t="s">
        <v>88</v>
      </c>
      <c r="C89" s="300"/>
      <c r="D89" s="260"/>
      <c r="E89" s="289" t="s">
        <v>74</v>
      </c>
      <c r="F89" s="290"/>
      <c r="G89" s="291">
        <f t="shared" si="9"/>
        <v>0</v>
      </c>
      <c r="H89" s="292"/>
      <c r="I89" s="291">
        <f t="shared" si="15"/>
        <v>0</v>
      </c>
      <c r="J89" s="293"/>
      <c r="K89" s="291">
        <f t="shared" si="10"/>
        <v>0</v>
      </c>
      <c r="L89" s="469"/>
      <c r="M89" s="406">
        <f t="shared" si="11"/>
        <v>0</v>
      </c>
      <c r="N89" s="334"/>
      <c r="O89" s="291">
        <f t="shared" si="12"/>
        <v>0</v>
      </c>
      <c r="P89" s="295"/>
      <c r="Q89" s="291">
        <f t="shared" si="13"/>
        <v>0</v>
      </c>
      <c r="R89" s="296">
        <f t="shared" si="14"/>
        <v>0</v>
      </c>
    </row>
    <row r="90" spans="2:18" ht="16.5" customHeight="1">
      <c r="B90" s="421" t="s">
        <v>87</v>
      </c>
      <c r="C90" s="422">
        <v>1</v>
      </c>
      <c r="D90" s="260"/>
      <c r="E90" s="303"/>
      <c r="F90" s="304"/>
      <c r="G90" s="305"/>
      <c r="H90" s="306"/>
      <c r="I90" s="307"/>
      <c r="J90" s="308"/>
      <c r="K90" s="307"/>
      <c r="L90" s="306"/>
      <c r="M90" s="307"/>
      <c r="N90" s="304"/>
      <c r="O90" s="307"/>
      <c r="P90" s="306"/>
      <c r="Q90" s="307"/>
      <c r="R90" s="309"/>
    </row>
    <row r="91" spans="2:18" ht="16.5" customHeight="1" thickBot="1">
      <c r="B91" s="421" t="s">
        <v>86</v>
      </c>
      <c r="C91" s="421">
        <f t="shared" ref="C91:C101" si="16">SUM(C90+(C90*$B$5))</f>
        <v>1</v>
      </c>
      <c r="D91" s="260"/>
      <c r="E91" s="310" t="s">
        <v>85</v>
      </c>
      <c r="F91" s="311"/>
      <c r="G91" s="312">
        <f>SUM(G78:G89)</f>
        <v>0</v>
      </c>
      <c r="H91" s="313"/>
      <c r="I91" s="312">
        <f>SUM(I78:I89)</f>
        <v>0</v>
      </c>
      <c r="J91" s="314"/>
      <c r="K91" s="312">
        <f>SUM(K78:K89)</f>
        <v>0</v>
      </c>
      <c r="L91" s="313"/>
      <c r="M91" s="312">
        <f>SUM(M78:M89)</f>
        <v>0</v>
      </c>
      <c r="N91" s="315"/>
      <c r="O91" s="312">
        <f>SUM(O78:O89)</f>
        <v>0</v>
      </c>
      <c r="P91" s="313"/>
      <c r="Q91" s="312">
        <f>SUM(Q78:Q89)</f>
        <v>0</v>
      </c>
      <c r="R91" s="316">
        <f>SUM(R78:R89)</f>
        <v>0</v>
      </c>
    </row>
    <row r="92" spans="2:18" ht="16.5" customHeight="1" thickTop="1" thickBot="1">
      <c r="B92" s="421" t="s">
        <v>84</v>
      </c>
      <c r="C92" s="421">
        <f t="shared" si="16"/>
        <v>1</v>
      </c>
      <c r="D92" s="269"/>
      <c r="E92" s="317"/>
      <c r="F92" s="318"/>
      <c r="G92" s="319"/>
      <c r="H92" s="320"/>
      <c r="I92" s="319"/>
      <c r="J92" s="321"/>
      <c r="K92" s="319"/>
      <c r="L92" s="320"/>
      <c r="M92" s="319"/>
      <c r="N92" s="318"/>
      <c r="O92" s="319"/>
      <c r="P92" s="320"/>
      <c r="Q92" s="319"/>
      <c r="R92" s="323"/>
    </row>
    <row r="93" spans="2:18" ht="16.5" customHeight="1">
      <c r="B93" s="421" t="s">
        <v>83</v>
      </c>
      <c r="C93" s="423">
        <f t="shared" si="16"/>
        <v>1</v>
      </c>
      <c r="D93" s="269"/>
      <c r="E93" s="269"/>
      <c r="F93" s="335"/>
      <c r="G93" s="269"/>
      <c r="H93" s="326"/>
      <c r="I93" s="269"/>
      <c r="J93" s="326"/>
      <c r="K93" s="269"/>
      <c r="L93" s="326"/>
      <c r="M93" s="269"/>
      <c r="N93" s="326"/>
      <c r="O93" s="269"/>
      <c r="P93" s="326"/>
      <c r="Q93" s="269"/>
      <c r="R93" s="269"/>
    </row>
    <row r="94" spans="2:18" ht="16.5" customHeight="1">
      <c r="B94" s="421" t="s">
        <v>82</v>
      </c>
      <c r="C94" s="423">
        <f t="shared" si="16"/>
        <v>1</v>
      </c>
      <c r="D94" s="269"/>
      <c r="E94" s="269" t="s">
        <v>124</v>
      </c>
      <c r="F94" s="335"/>
      <c r="G94" s="269"/>
      <c r="H94" s="326"/>
      <c r="I94" s="269"/>
      <c r="J94" s="326"/>
      <c r="K94" s="269"/>
      <c r="L94" s="326"/>
      <c r="M94" s="269"/>
      <c r="N94" s="326"/>
      <c r="O94" s="269"/>
      <c r="P94" s="326"/>
      <c r="Q94" s="269"/>
      <c r="R94" s="269"/>
    </row>
    <row r="95" spans="2:18" ht="16.5" customHeight="1">
      <c r="B95" s="421" t="s">
        <v>80</v>
      </c>
      <c r="C95" s="423">
        <f t="shared" si="16"/>
        <v>1</v>
      </c>
      <c r="D95" s="269"/>
      <c r="E95" s="269"/>
      <c r="F95" s="335"/>
      <c r="G95" s="269"/>
      <c r="H95" s="326"/>
      <c r="I95" s="269"/>
      <c r="J95" s="326"/>
      <c r="K95" s="269"/>
      <c r="L95" s="326"/>
      <c r="M95" s="269"/>
      <c r="N95" s="326"/>
      <c r="O95" s="269"/>
      <c r="P95" s="326"/>
      <c r="Q95" s="269"/>
      <c r="R95" s="269"/>
    </row>
    <row r="96" spans="2:18" ht="16.5" customHeight="1">
      <c r="B96" s="421" t="s">
        <v>79</v>
      </c>
      <c r="C96" s="423">
        <f t="shared" si="16"/>
        <v>1</v>
      </c>
      <c r="D96" s="269"/>
      <c r="E96" s="413" t="s">
        <v>291</v>
      </c>
      <c r="F96" s="414"/>
      <c r="G96" s="415"/>
      <c r="H96" s="416"/>
      <c r="I96" s="413"/>
      <c r="J96" s="417"/>
      <c r="K96" s="413"/>
      <c r="L96" s="417"/>
      <c r="M96" s="413"/>
      <c r="N96" s="417"/>
      <c r="O96" s="413"/>
      <c r="P96" s="326"/>
      <c r="Q96" s="269"/>
      <c r="R96" s="269"/>
    </row>
    <row r="97" spans="2:18" ht="16.5" customHeight="1">
      <c r="B97" s="421" t="s">
        <v>78</v>
      </c>
      <c r="C97" s="423">
        <f t="shared" si="16"/>
        <v>1</v>
      </c>
      <c r="D97" s="269"/>
      <c r="E97" s="418" t="s">
        <v>292</v>
      </c>
      <c r="F97" s="419"/>
      <c r="G97" s="418"/>
      <c r="H97" s="420"/>
      <c r="I97" s="269"/>
      <c r="J97" s="326"/>
      <c r="K97" s="269"/>
      <c r="L97" s="326"/>
      <c r="M97" s="269"/>
      <c r="N97" s="326"/>
      <c r="O97" s="269"/>
      <c r="P97" s="326"/>
      <c r="Q97" s="269"/>
      <c r="R97" s="269"/>
    </row>
    <row r="98" spans="2:18" ht="16.5" customHeight="1">
      <c r="B98" s="421" t="s">
        <v>77</v>
      </c>
      <c r="C98" s="423">
        <f t="shared" si="16"/>
        <v>1</v>
      </c>
      <c r="D98" s="269"/>
      <c r="E98" s="269"/>
      <c r="F98" s="335"/>
      <c r="G98" s="269"/>
      <c r="H98" s="326"/>
      <c r="I98" s="269"/>
      <c r="J98" s="326"/>
      <c r="K98" s="269"/>
      <c r="L98" s="326"/>
      <c r="M98" s="269"/>
      <c r="N98" s="326"/>
      <c r="O98" s="269"/>
      <c r="P98" s="326"/>
      <c r="Q98" s="269"/>
      <c r="R98" s="269"/>
    </row>
    <row r="99" spans="2:18" ht="16.5" customHeight="1">
      <c r="B99" s="421" t="s">
        <v>76</v>
      </c>
      <c r="C99" s="423">
        <f t="shared" si="16"/>
        <v>1</v>
      </c>
      <c r="D99" s="269"/>
      <c r="E99" s="492" t="s">
        <v>637</v>
      </c>
      <c r="F99" s="493"/>
      <c r="G99" s="492"/>
      <c r="H99" s="494"/>
      <c r="I99" s="492"/>
      <c r="J99" s="495"/>
      <c r="K99" s="269"/>
      <c r="L99" s="326"/>
      <c r="M99" s="269"/>
      <c r="N99" s="326"/>
      <c r="O99" s="269"/>
      <c r="P99" s="326"/>
      <c r="Q99" s="269"/>
      <c r="R99" s="269"/>
    </row>
    <row r="100" spans="2:18" ht="16.5" customHeight="1">
      <c r="B100" s="421" t="s">
        <v>75</v>
      </c>
      <c r="C100" s="423">
        <f t="shared" si="16"/>
        <v>1</v>
      </c>
      <c r="D100" s="269"/>
      <c r="E100" s="269"/>
      <c r="F100" s="335"/>
      <c r="G100" s="269"/>
      <c r="H100" s="326"/>
      <c r="I100" s="269"/>
      <c r="J100" s="326"/>
      <c r="K100" s="269"/>
      <c r="L100" s="326"/>
      <c r="M100" s="269"/>
      <c r="N100" s="326"/>
      <c r="O100" s="269"/>
      <c r="P100" s="326"/>
      <c r="Q100" s="269"/>
      <c r="R100" s="269"/>
    </row>
    <row r="101" spans="2:18" ht="16.5" customHeight="1">
      <c r="B101" s="421" t="s">
        <v>74</v>
      </c>
      <c r="C101" s="423">
        <f t="shared" si="16"/>
        <v>1</v>
      </c>
      <c r="D101" s="269"/>
      <c r="E101" s="269"/>
      <c r="F101" s="335"/>
      <c r="G101" s="269"/>
      <c r="H101" s="326"/>
      <c r="I101" s="269"/>
      <c r="J101" s="326"/>
      <c r="K101" s="269"/>
      <c r="L101" s="326"/>
      <c r="M101" s="269"/>
      <c r="N101" s="326"/>
      <c r="O101" s="269"/>
      <c r="P101" s="326"/>
      <c r="Q101" s="269"/>
      <c r="R101" s="269"/>
    </row>
  </sheetData>
  <mergeCells count="20">
    <mergeCell ref="E41:R41"/>
    <mergeCell ref="E42:R42"/>
    <mergeCell ref="E43:R43"/>
    <mergeCell ref="E44:R44"/>
    <mergeCell ref="F45:G45"/>
    <mergeCell ref="H45:I45"/>
    <mergeCell ref="J45:K45"/>
    <mergeCell ref="L45:M45"/>
    <mergeCell ref="N45:O45"/>
    <mergeCell ref="P45:Q45"/>
    <mergeCell ref="E72:R72"/>
    <mergeCell ref="E73:R73"/>
    <mergeCell ref="E74:R74"/>
    <mergeCell ref="E75:R75"/>
    <mergeCell ref="F76:G76"/>
    <mergeCell ref="H76:I76"/>
    <mergeCell ref="J76:K76"/>
    <mergeCell ref="L76:M76"/>
    <mergeCell ref="N76:O76"/>
    <mergeCell ref="P76:Q76"/>
  </mergeCells>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manualMax="0" manualMin="0"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304 summary'!C39:N39</xm:f>
              <xm:sqref>P39</xm:sqref>
            </x14:sparkline>
          </x14:sparklines>
        </x14:sparklineGroup>
        <x14:sparklineGroup manualMax="0" manualMin="0" displayEmptyCellsAs="gap" markers="1" last="1">
          <x14:colorSeries rgb="FF323232"/>
          <x14:colorNegative rgb="FFD00000"/>
          <x14:colorAxis rgb="FF000000"/>
          <x14:colorMarkers rgb="FFD00000"/>
          <x14:colorFirst rgb="FFD00000"/>
          <x14:colorLast rgb="FFD00000"/>
          <x14:colorHigh rgb="FFD00000"/>
          <x14:colorLow rgb="FFD00000"/>
          <x14:sparklines>
            <x14:sparkline>
              <xm:f>'Bus 304 summary'!C19:N19</xm:f>
              <xm:sqref>P19</xm:sqref>
            </x14:sparkline>
            <x14:sparkline>
              <xm:f>'Bus 304 summary'!C20:N20</xm:f>
              <xm:sqref>P20</xm:sqref>
            </x14:sparkline>
            <x14:sparkline>
              <xm:f>'Bus 304 summary'!C21:N21</xm:f>
              <xm:sqref>P21</xm:sqref>
            </x14:sparkline>
            <x14:sparkline>
              <xm:f>'Bus 304 summary'!C22:N22</xm:f>
              <xm:sqref>P22</xm:sqref>
            </x14:sparkline>
            <x14:sparkline>
              <xm:f>'Bus 304 summary'!C23:N23</xm:f>
              <xm:sqref>P23</xm:sqref>
            </x14:sparkline>
            <x14:sparkline>
              <xm:f>'Bus 304 summary'!C24:N24</xm:f>
              <xm:sqref>P24</xm:sqref>
            </x14:sparkline>
            <x14:sparkline>
              <xm:f>'Bus 304 summary'!C25:N25</xm:f>
              <xm:sqref>P25</xm:sqref>
            </x14:sparkline>
            <x14:sparkline>
              <xm:f>'Bus 304 summary'!C26:N26</xm:f>
              <xm:sqref>P26</xm:sqref>
            </x14:sparkline>
            <x14:sparkline>
              <xm:f>'Bus 304 summary'!C27:N27</xm:f>
              <xm:sqref>P27</xm:sqref>
            </x14:sparkline>
            <x14:sparkline>
              <xm:f>'Bus 304 summary'!C28:N28</xm:f>
              <xm:sqref>P28</xm:sqref>
            </x14:sparkline>
            <x14:sparkline>
              <xm:f>'Bus 304 summary'!C29:N29</xm:f>
              <xm:sqref>P29</xm:sqref>
            </x14:sparkline>
            <x14:sparkline>
              <xm:f>'Bus 304 summary'!C30:N30</xm:f>
              <xm:sqref>P30</xm:sqref>
            </x14:sparkline>
            <x14:sparkline>
              <xm:f>'Bus 304 summary'!C31:N31</xm:f>
              <xm:sqref>P31</xm:sqref>
            </x14:sparkline>
            <x14:sparkline>
              <xm:f>'Bus 304 summary'!C32:N32</xm:f>
              <xm:sqref>P32</xm:sqref>
            </x14:sparkline>
            <x14:sparkline>
              <xm:f>'Bus 304 summary'!C33:N33</xm:f>
              <xm:sqref>P33</xm:sqref>
            </x14:sparkline>
            <x14:sparkline>
              <xm:f>'Bus 304 summary'!C34:N34</xm:f>
              <xm:sqref>P34</xm:sqref>
            </x14:sparkline>
            <x14:sparkline>
              <xm:f>'Bus 304 summary'!C35:N35</xm:f>
              <xm:sqref>P35</xm:sqref>
            </x14:sparkline>
            <x14:sparkline>
              <xm:f>'Bus 304 summary'!C36:N36</xm:f>
              <xm:sqref>P36</xm:sqref>
            </x14:sparkline>
            <x14:sparkline>
              <xm:f>'Bus 304 summary'!C37:N37</xm:f>
              <xm:sqref>P37</xm:sqref>
            </x14:sparkline>
            <x14:sparkline>
              <xm:f>'Bus 304 summary'!C38:N38</xm:f>
              <xm:sqref>P38</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182"/>
  <sheetViews>
    <sheetView showGridLines="0" topLeftCell="A46" zoomScale="115" zoomScaleNormal="115" workbookViewId="0">
      <selection activeCell="F54" sqref="A1:XFD1048576"/>
    </sheetView>
  </sheetViews>
  <sheetFormatPr defaultColWidth="9.140625" defaultRowHeight="16.5" customHeight="1"/>
  <cols>
    <col min="1" max="1" width="3.140625" style="1" customWidth="1"/>
    <col min="2" max="4" width="12.28515625" style="1" customWidth="1"/>
    <col min="5" max="5" width="15.7109375" style="1" customWidth="1"/>
    <col min="6" max="6" width="41.5703125"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660</v>
      </c>
      <c r="G4" s="185" t="s">
        <v>45</v>
      </c>
    </row>
    <row r="5" spans="2:8" s="1" customFormat="1" ht="16.5" customHeight="1">
      <c r="B5" s="496">
        <v>42924</v>
      </c>
      <c r="C5" s="497">
        <v>10623</v>
      </c>
      <c r="D5" s="41">
        <v>498.52</v>
      </c>
      <c r="E5" s="497" t="s">
        <v>6</v>
      </c>
      <c r="F5" s="497" t="s">
        <v>659</v>
      </c>
      <c r="G5" s="497" t="s">
        <v>658</v>
      </c>
    </row>
    <row r="6" spans="2:8" s="1" customFormat="1" ht="16.5" customHeight="1">
      <c r="B6" s="187">
        <v>42936</v>
      </c>
      <c r="C6" s="188">
        <v>10648</v>
      </c>
      <c r="D6" s="8">
        <v>2.87</v>
      </c>
      <c r="E6" s="188" t="s">
        <v>17</v>
      </c>
      <c r="F6" s="188" t="s">
        <v>657</v>
      </c>
      <c r="G6" s="188" t="s">
        <v>656</v>
      </c>
    </row>
    <row r="7" spans="2:8" s="1" customFormat="1" ht="16.5" customHeight="1">
      <c r="B7" s="187">
        <v>42936</v>
      </c>
      <c r="C7" s="188">
        <v>10648</v>
      </c>
      <c r="D7" s="8">
        <v>7.91</v>
      </c>
      <c r="E7" s="188" t="s">
        <v>17</v>
      </c>
      <c r="F7" s="188" t="s">
        <v>655</v>
      </c>
      <c r="G7" s="188" t="s">
        <v>654</v>
      </c>
    </row>
    <row r="8" spans="2:8" s="1" customFormat="1" ht="16.5" customHeight="1">
      <c r="B8" s="187">
        <v>42936</v>
      </c>
      <c r="C8" s="188">
        <v>10648</v>
      </c>
      <c r="D8" s="8">
        <v>418.88</v>
      </c>
      <c r="E8" s="188" t="s">
        <v>17</v>
      </c>
      <c r="F8" s="188" t="s">
        <v>653</v>
      </c>
      <c r="G8" s="188" t="s">
        <v>652</v>
      </c>
    </row>
    <row r="9" spans="2:8" s="1" customFormat="1" ht="16.5" customHeight="1">
      <c r="B9" s="187">
        <v>42936</v>
      </c>
      <c r="C9" s="188">
        <v>10648</v>
      </c>
      <c r="D9" s="8">
        <v>0.6</v>
      </c>
      <c r="E9" s="188" t="s">
        <v>17</v>
      </c>
      <c r="F9" s="188" t="s">
        <v>651</v>
      </c>
      <c r="G9" s="188" t="s">
        <v>650</v>
      </c>
    </row>
    <row r="10" spans="2:8" s="1" customFormat="1" ht="16.5" customHeight="1">
      <c r="B10" s="187">
        <v>42936</v>
      </c>
      <c r="C10" s="188">
        <v>10648</v>
      </c>
      <c r="D10" s="8">
        <v>42.89</v>
      </c>
      <c r="E10" s="188" t="s">
        <v>17</v>
      </c>
      <c r="F10" s="188" t="s">
        <v>649</v>
      </c>
      <c r="G10" s="188" t="s">
        <v>648</v>
      </c>
    </row>
    <row r="11" spans="2:8" s="1" customFormat="1" ht="16.5" customHeight="1">
      <c r="B11" s="187">
        <v>42936</v>
      </c>
      <c r="C11" s="188">
        <v>10648</v>
      </c>
      <c r="D11" s="8">
        <v>42.89</v>
      </c>
      <c r="E11" s="188" t="s">
        <v>17</v>
      </c>
      <c r="F11" s="188" t="s">
        <v>647</v>
      </c>
      <c r="G11" s="188" t="s">
        <v>646</v>
      </c>
    </row>
    <row r="12" spans="2:8" s="1" customFormat="1" ht="16.5" customHeight="1">
      <c r="B12" s="187">
        <v>42936</v>
      </c>
      <c r="C12" s="188">
        <v>10648</v>
      </c>
      <c r="D12" s="8">
        <v>12.12</v>
      </c>
      <c r="E12" s="188" t="s">
        <v>17</v>
      </c>
      <c r="F12" s="188" t="s">
        <v>645</v>
      </c>
      <c r="G12" s="188" t="s">
        <v>644</v>
      </c>
    </row>
    <row r="13" spans="2:8" s="1" customFormat="1" ht="16.5" customHeight="1">
      <c r="B13" s="187">
        <v>42936</v>
      </c>
      <c r="C13" s="188">
        <v>10648</v>
      </c>
      <c r="D13" s="8">
        <v>96.18</v>
      </c>
      <c r="E13" s="188" t="s">
        <v>17</v>
      </c>
      <c r="F13" s="188" t="s">
        <v>433</v>
      </c>
      <c r="G13" s="188" t="s">
        <v>643</v>
      </c>
    </row>
    <row r="14" spans="2:8" s="1" customFormat="1" ht="16.5" customHeight="1">
      <c r="B14" s="187">
        <v>42936</v>
      </c>
      <c r="C14" s="188">
        <v>10648</v>
      </c>
      <c r="D14" s="8">
        <v>502.06</v>
      </c>
      <c r="E14" s="188" t="s">
        <v>17</v>
      </c>
      <c r="F14" s="188" t="s">
        <v>642</v>
      </c>
      <c r="G14" s="188" t="s">
        <v>641</v>
      </c>
    </row>
    <row r="15" spans="2:8" s="1" customFormat="1" ht="16.5" customHeight="1">
      <c r="B15" s="187">
        <v>42936</v>
      </c>
      <c r="C15" s="188">
        <v>10648</v>
      </c>
      <c r="D15" s="8">
        <v>14</v>
      </c>
      <c r="E15" s="188" t="s">
        <v>17</v>
      </c>
      <c r="F15" s="188" t="s">
        <v>640</v>
      </c>
      <c r="G15" s="188" t="s">
        <v>639</v>
      </c>
    </row>
    <row r="16" spans="2:8" s="1" customFormat="1" ht="16.5" customHeight="1">
      <c r="B16" s="187">
        <v>42936</v>
      </c>
      <c r="C16" s="188">
        <v>10648</v>
      </c>
      <c r="D16" s="8">
        <v>200</v>
      </c>
      <c r="E16" s="188" t="s">
        <v>17</v>
      </c>
      <c r="F16" s="188" t="s">
        <v>638</v>
      </c>
      <c r="G16" s="188"/>
    </row>
    <row r="17" spans="2:7" s="1" customFormat="1" ht="16.5" customHeight="1">
      <c r="B17" s="189"/>
      <c r="C17" s="190"/>
      <c r="D17" s="52"/>
      <c r="E17" s="190"/>
      <c r="F17" s="190"/>
      <c r="G17" s="191"/>
    </row>
    <row r="18" spans="2:7" s="1" customFormat="1" ht="16.5" customHeight="1">
      <c r="B18" s="192" t="s">
        <v>1</v>
      </c>
      <c r="C18" s="193"/>
      <c r="D18" s="194">
        <f>SUBTOTAL(109,ExpJul82[Amount])</f>
        <v>1838.92</v>
      </c>
      <c r="E18" s="193"/>
      <c r="F18" s="193"/>
      <c r="G18" s="192"/>
    </row>
    <row r="19" spans="2:7" s="1" customFormat="1" ht="16.5" customHeight="1">
      <c r="B19" s="195"/>
      <c r="C19" s="196"/>
      <c r="D19" s="197"/>
      <c r="E19" s="196"/>
      <c r="F19" s="196"/>
      <c r="G19" s="196"/>
    </row>
    <row r="20" spans="2:7" s="1" customFormat="1" ht="26.25" customHeight="1">
      <c r="B20" s="205" t="s">
        <v>52</v>
      </c>
      <c r="C20" s="36"/>
      <c r="D20" s="36"/>
      <c r="E20" s="36"/>
      <c r="F20" s="36"/>
      <c r="G20" s="36"/>
    </row>
    <row r="21" spans="2:7" s="1" customFormat="1" ht="16.5" customHeight="1">
      <c r="B21" s="36"/>
      <c r="C21" s="36"/>
      <c r="D21" s="36"/>
      <c r="E21" s="36"/>
      <c r="F21" s="36"/>
      <c r="G21" s="36"/>
    </row>
    <row r="22" spans="2:7" s="1" customFormat="1" ht="16.5" customHeight="1">
      <c r="B22" s="206" t="s">
        <v>50</v>
      </c>
      <c r="C22" s="207" t="s">
        <v>53</v>
      </c>
      <c r="D22" s="206" t="s">
        <v>48</v>
      </c>
      <c r="E22" s="207" t="s">
        <v>47</v>
      </c>
      <c r="F22" s="207" t="s">
        <v>660</v>
      </c>
      <c r="G22" s="206" t="s">
        <v>45</v>
      </c>
    </row>
    <row r="23" spans="2:7" s="1" customFormat="1" ht="16.5" customHeight="1">
      <c r="B23" s="25">
        <v>42954</v>
      </c>
      <c r="C23" s="51">
        <v>10690</v>
      </c>
      <c r="D23" s="211">
        <v>53.53</v>
      </c>
      <c r="E23" s="51" t="s">
        <v>3</v>
      </c>
      <c r="F23" s="51" t="s">
        <v>661</v>
      </c>
      <c r="G23" s="27" t="s">
        <v>662</v>
      </c>
    </row>
    <row r="24" spans="2:7" s="1" customFormat="1" ht="16.5" customHeight="1">
      <c r="B24" s="25">
        <v>42954</v>
      </c>
      <c r="C24" s="51">
        <v>10690</v>
      </c>
      <c r="D24" s="211">
        <v>10</v>
      </c>
      <c r="E24" s="51" t="s">
        <v>2</v>
      </c>
      <c r="F24" s="51" t="s">
        <v>663</v>
      </c>
      <c r="G24" s="27"/>
    </row>
    <row r="25" spans="2:7" s="1" customFormat="1" ht="16.5" customHeight="1">
      <c r="B25" s="25">
        <v>42954</v>
      </c>
      <c r="C25" s="51">
        <v>10692</v>
      </c>
      <c r="D25" s="211">
        <v>53.53</v>
      </c>
      <c r="E25" s="51" t="s">
        <v>3</v>
      </c>
      <c r="F25" s="51" t="s">
        <v>661</v>
      </c>
      <c r="G25" s="27" t="s">
        <v>664</v>
      </c>
    </row>
    <row r="26" spans="2:7" s="1" customFormat="1" ht="16.5" customHeight="1">
      <c r="B26" s="25">
        <v>42954</v>
      </c>
      <c r="C26" s="51">
        <v>10692</v>
      </c>
      <c r="D26" s="211">
        <v>10</v>
      </c>
      <c r="E26" s="51" t="s">
        <v>2</v>
      </c>
      <c r="F26" s="51" t="s">
        <v>663</v>
      </c>
      <c r="G26" s="27"/>
    </row>
    <row r="27" spans="2:7" s="1" customFormat="1" ht="16.5" customHeight="1">
      <c r="B27" s="25">
        <v>42959</v>
      </c>
      <c r="C27" s="51">
        <v>10711</v>
      </c>
      <c r="D27" s="211">
        <v>44.61</v>
      </c>
      <c r="E27" s="51" t="s">
        <v>3</v>
      </c>
      <c r="F27" s="51" t="s">
        <v>665</v>
      </c>
      <c r="G27" s="27" t="s">
        <v>666</v>
      </c>
    </row>
    <row r="28" spans="2:7" s="1" customFormat="1" ht="16.5" customHeight="1">
      <c r="B28" s="25">
        <v>42959</v>
      </c>
      <c r="C28" s="51">
        <v>10711</v>
      </c>
      <c r="D28" s="211">
        <v>35.200000000000003</v>
      </c>
      <c r="E28" s="51" t="s">
        <v>3</v>
      </c>
      <c r="F28" s="51" t="s">
        <v>667</v>
      </c>
      <c r="G28" s="27" t="s">
        <v>668</v>
      </c>
    </row>
    <row r="29" spans="2:7" s="1" customFormat="1" ht="16.5" customHeight="1">
      <c r="B29" s="25">
        <v>42959</v>
      </c>
      <c r="C29" s="51">
        <v>10711</v>
      </c>
      <c r="D29" s="211">
        <v>10</v>
      </c>
      <c r="E29" s="51" t="s">
        <v>2</v>
      </c>
      <c r="F29" s="51" t="s">
        <v>555</v>
      </c>
      <c r="G29" s="27"/>
    </row>
    <row r="30" spans="2:7" s="1" customFormat="1" ht="16.5" customHeight="1">
      <c r="B30" s="25">
        <v>42975</v>
      </c>
      <c r="C30" s="51">
        <v>10747</v>
      </c>
      <c r="D30" s="211">
        <v>15.15</v>
      </c>
      <c r="E30" s="51" t="s">
        <v>3</v>
      </c>
      <c r="F30" s="51" t="s">
        <v>669</v>
      </c>
      <c r="G30" s="27" t="s">
        <v>670</v>
      </c>
    </row>
    <row r="31" spans="2:7" s="1" customFormat="1" ht="16.5" customHeight="1">
      <c r="B31" s="25">
        <v>42975</v>
      </c>
      <c r="C31" s="51">
        <v>10747</v>
      </c>
      <c r="D31" s="211">
        <v>10</v>
      </c>
      <c r="E31" s="51" t="s">
        <v>2</v>
      </c>
      <c r="F31" s="51" t="s">
        <v>663</v>
      </c>
      <c r="G31" s="27"/>
    </row>
    <row r="32" spans="2:7" s="1" customFormat="1" ht="16.5" customHeight="1">
      <c r="B32" s="25">
        <v>42976</v>
      </c>
      <c r="C32" s="51">
        <v>10755</v>
      </c>
      <c r="D32" s="211">
        <v>7.83</v>
      </c>
      <c r="E32" s="51" t="s">
        <v>5</v>
      </c>
      <c r="F32" s="51" t="s">
        <v>671</v>
      </c>
      <c r="G32" s="27" t="s">
        <v>672</v>
      </c>
    </row>
    <row r="33" spans="2:7" s="1" customFormat="1" ht="16.5" customHeight="1">
      <c r="B33" s="25">
        <v>42976</v>
      </c>
      <c r="C33" s="51">
        <v>10755</v>
      </c>
      <c r="D33" s="211">
        <v>20</v>
      </c>
      <c r="E33" s="51" t="s">
        <v>2</v>
      </c>
      <c r="F33" s="51" t="s">
        <v>178</v>
      </c>
      <c r="G33" s="27"/>
    </row>
    <row r="34" spans="2:7" s="1" customFormat="1" ht="16.5" customHeight="1">
      <c r="B34" s="337">
        <v>42977</v>
      </c>
      <c r="C34" s="338">
        <v>10761</v>
      </c>
      <c r="D34" s="339">
        <v>210.36</v>
      </c>
      <c r="E34" s="338" t="s">
        <v>3</v>
      </c>
      <c r="F34" s="338" t="s">
        <v>673</v>
      </c>
      <c r="G34" s="340" t="s">
        <v>674</v>
      </c>
    </row>
    <row r="35" spans="2:7" s="1" customFormat="1" ht="16.5" customHeight="1">
      <c r="B35" s="337">
        <v>42977</v>
      </c>
      <c r="C35" s="338">
        <v>10761</v>
      </c>
      <c r="D35" s="339">
        <v>40</v>
      </c>
      <c r="E35" s="338" t="s">
        <v>2</v>
      </c>
      <c r="F35" s="338" t="s">
        <v>552</v>
      </c>
      <c r="G35" s="340"/>
    </row>
    <row r="36" spans="2:7" s="1" customFormat="1" ht="16.5" customHeight="1">
      <c r="B36" s="337"/>
      <c r="C36" s="338"/>
      <c r="D36" s="339"/>
      <c r="E36" s="338"/>
      <c r="F36" s="338"/>
      <c r="G36" s="340"/>
    </row>
    <row r="37" spans="2:7" s="1" customFormat="1" ht="16.5" customHeight="1">
      <c r="B37" s="212" t="s">
        <v>1</v>
      </c>
      <c r="C37" s="213"/>
      <c r="D37" s="214">
        <f>SUBTOTAL(109,ExpAug83[Amount])</f>
        <v>520.21</v>
      </c>
      <c r="E37" s="213"/>
      <c r="F37" s="213"/>
      <c r="G37" s="212"/>
    </row>
    <row r="39" spans="2:7" s="1" customFormat="1" ht="25.5" customHeight="1">
      <c r="B39" s="205" t="s">
        <v>56</v>
      </c>
      <c r="C39" s="117"/>
      <c r="D39" s="117"/>
      <c r="E39" s="117"/>
      <c r="F39" s="117"/>
      <c r="G39" s="117"/>
    </row>
    <row r="40" spans="2:7" s="1" customFormat="1" ht="16.5" customHeight="1">
      <c r="B40" s="117"/>
      <c r="C40" s="117"/>
      <c r="D40" s="117"/>
      <c r="E40" s="117"/>
      <c r="F40" s="117"/>
      <c r="G40" s="117"/>
    </row>
    <row r="41" spans="2:7" s="1" customFormat="1" ht="16.5" customHeight="1">
      <c r="B41" s="206" t="s">
        <v>50</v>
      </c>
      <c r="C41" s="207" t="s">
        <v>53</v>
      </c>
      <c r="D41" s="206" t="s">
        <v>48</v>
      </c>
      <c r="E41" s="207" t="s">
        <v>47</v>
      </c>
      <c r="F41" s="207" t="s">
        <v>660</v>
      </c>
      <c r="G41" s="206" t="s">
        <v>45</v>
      </c>
    </row>
    <row r="42" spans="2:7" s="1" customFormat="1" ht="16.5" customHeight="1">
      <c r="B42" s="208">
        <v>42980</v>
      </c>
      <c r="C42" s="209">
        <v>10767</v>
      </c>
      <c r="D42" s="210">
        <v>2.87</v>
      </c>
      <c r="E42" s="209" t="s">
        <v>17</v>
      </c>
      <c r="F42" s="209" t="s">
        <v>675</v>
      </c>
      <c r="G42" s="209" t="s">
        <v>676</v>
      </c>
    </row>
    <row r="43" spans="2:7" s="1" customFormat="1" ht="16.5" customHeight="1">
      <c r="B43" s="208">
        <v>42980</v>
      </c>
      <c r="C43" s="209">
        <v>10767</v>
      </c>
      <c r="D43" s="210">
        <v>2.79</v>
      </c>
      <c r="E43" s="209" t="s">
        <v>17</v>
      </c>
      <c r="F43" s="209" t="s">
        <v>677</v>
      </c>
      <c r="G43" s="209" t="s">
        <v>678</v>
      </c>
    </row>
    <row r="44" spans="2:7" s="1" customFormat="1" ht="16.5" customHeight="1">
      <c r="B44" s="208">
        <v>42980</v>
      </c>
      <c r="C44" s="209">
        <v>10767</v>
      </c>
      <c r="D44" s="210">
        <v>48.09</v>
      </c>
      <c r="E44" s="209" t="s">
        <v>17</v>
      </c>
      <c r="F44" s="209" t="s">
        <v>679</v>
      </c>
      <c r="G44" s="209" t="s">
        <v>680</v>
      </c>
    </row>
    <row r="45" spans="2:7" s="1" customFormat="1" ht="16.5" customHeight="1">
      <c r="B45" s="208">
        <v>42980</v>
      </c>
      <c r="C45" s="209">
        <v>10767</v>
      </c>
      <c r="D45" s="210">
        <v>14</v>
      </c>
      <c r="E45" s="209" t="s">
        <v>17</v>
      </c>
      <c r="F45" s="209" t="s">
        <v>681</v>
      </c>
      <c r="G45" s="209" t="s">
        <v>682</v>
      </c>
    </row>
    <row r="46" spans="2:7" s="1" customFormat="1" ht="16.5" customHeight="1">
      <c r="B46" s="208">
        <v>42980</v>
      </c>
      <c r="C46" s="209">
        <v>10767</v>
      </c>
      <c r="D46" s="210">
        <v>100</v>
      </c>
      <c r="E46" s="209" t="s">
        <v>17</v>
      </c>
      <c r="F46" s="209" t="s">
        <v>683</v>
      </c>
      <c r="G46" s="209"/>
    </row>
    <row r="47" spans="2:7" s="1" customFormat="1" ht="16.5" customHeight="1">
      <c r="B47" s="25">
        <v>42991</v>
      </c>
      <c r="C47" s="51">
        <v>10794</v>
      </c>
      <c r="D47" s="211">
        <v>48.09</v>
      </c>
      <c r="E47" s="51" t="s">
        <v>15</v>
      </c>
      <c r="F47" s="51" t="s">
        <v>684</v>
      </c>
      <c r="G47" s="27" t="s">
        <v>685</v>
      </c>
    </row>
    <row r="48" spans="2:7" s="1" customFormat="1" ht="16.5" customHeight="1">
      <c r="B48" s="25">
        <v>42991</v>
      </c>
      <c r="C48" s="51">
        <v>10794</v>
      </c>
      <c r="D48" s="211">
        <v>40</v>
      </c>
      <c r="E48" s="51" t="s">
        <v>2</v>
      </c>
      <c r="F48" s="51" t="s">
        <v>686</v>
      </c>
      <c r="G48" s="27"/>
    </row>
    <row r="49" spans="2:7" s="1" customFormat="1" ht="16.5" customHeight="1">
      <c r="B49" s="25">
        <v>42996</v>
      </c>
      <c r="C49" s="51">
        <v>10830</v>
      </c>
      <c r="D49" s="211">
        <v>15.66</v>
      </c>
      <c r="E49" s="51" t="s">
        <v>5</v>
      </c>
      <c r="F49" s="51" t="s">
        <v>687</v>
      </c>
      <c r="G49" s="27" t="s">
        <v>688</v>
      </c>
    </row>
    <row r="50" spans="2:7" s="1" customFormat="1" ht="16.5" customHeight="1">
      <c r="B50" s="25"/>
      <c r="C50" s="51"/>
      <c r="D50" s="211"/>
      <c r="E50" s="51"/>
      <c r="F50" s="51"/>
      <c r="G50" s="27"/>
    </row>
    <row r="51" spans="2:7" s="1" customFormat="1" ht="16.5" customHeight="1">
      <c r="B51" s="212" t="s">
        <v>1</v>
      </c>
      <c r="C51" s="213"/>
      <c r="D51" s="214">
        <f>SUBTOTAL(109,ExpSep84[Amount])</f>
        <v>271.5</v>
      </c>
      <c r="E51" s="213"/>
      <c r="F51" s="213"/>
      <c r="G51" s="212"/>
    </row>
    <row r="53" spans="2:7" s="1" customFormat="1" ht="25.5" customHeight="1">
      <c r="B53" s="205" t="s">
        <v>70</v>
      </c>
      <c r="C53" s="117"/>
      <c r="D53" s="117"/>
      <c r="E53" s="117"/>
      <c r="F53" s="117"/>
      <c r="G53" s="117"/>
    </row>
    <row r="54" spans="2:7" s="1" customFormat="1" ht="16.5" customHeight="1">
      <c r="B54" s="117"/>
      <c r="C54" s="117"/>
      <c r="D54" s="117"/>
      <c r="E54" s="117"/>
      <c r="F54" s="117"/>
      <c r="G54" s="117"/>
    </row>
    <row r="55" spans="2:7" s="1" customFormat="1" ht="16.5" customHeight="1">
      <c r="B55" s="206" t="s">
        <v>50</v>
      </c>
      <c r="C55" s="207" t="s">
        <v>71</v>
      </c>
      <c r="D55" s="206" t="s">
        <v>48</v>
      </c>
      <c r="E55" s="207" t="s">
        <v>47</v>
      </c>
      <c r="F55" s="207" t="s">
        <v>660</v>
      </c>
      <c r="G55" s="206" t="s">
        <v>45</v>
      </c>
    </row>
    <row r="56" spans="2:7" s="1" customFormat="1" ht="16.5" customHeight="1">
      <c r="B56" s="25">
        <v>43010</v>
      </c>
      <c r="C56" s="51">
        <v>10843</v>
      </c>
      <c r="D56" s="211">
        <v>8.2200000000000006</v>
      </c>
      <c r="E56" s="51" t="s">
        <v>3</v>
      </c>
      <c r="F56" s="51" t="s">
        <v>689</v>
      </c>
      <c r="G56" s="27" t="s">
        <v>690</v>
      </c>
    </row>
    <row r="57" spans="2:7" s="1" customFormat="1" ht="16.5" customHeight="1">
      <c r="B57" s="25">
        <v>43010</v>
      </c>
      <c r="C57" s="51">
        <v>10843</v>
      </c>
      <c r="D57" s="211">
        <v>10</v>
      </c>
      <c r="E57" s="51" t="s">
        <v>2</v>
      </c>
      <c r="F57" s="51" t="s">
        <v>663</v>
      </c>
      <c r="G57" s="27"/>
    </row>
    <row r="58" spans="2:7" s="1" customFormat="1" ht="16.5" customHeight="1">
      <c r="B58" s="25">
        <v>43020</v>
      </c>
      <c r="C58" s="51">
        <v>10863</v>
      </c>
      <c r="D58" s="211">
        <v>7.83</v>
      </c>
      <c r="E58" s="51" t="s">
        <v>5</v>
      </c>
      <c r="F58" s="51" t="s">
        <v>1689</v>
      </c>
      <c r="G58" s="27" t="s">
        <v>1690</v>
      </c>
    </row>
    <row r="59" spans="2:7" s="1" customFormat="1" ht="16.5" customHeight="1">
      <c r="B59" s="25">
        <v>43020</v>
      </c>
      <c r="C59" s="51">
        <v>10863</v>
      </c>
      <c r="D59" s="211">
        <v>10</v>
      </c>
      <c r="E59" s="51" t="s">
        <v>2</v>
      </c>
      <c r="F59" s="51" t="s">
        <v>33</v>
      </c>
      <c r="G59" s="27"/>
    </row>
    <row r="60" spans="2:7" s="1" customFormat="1" ht="16.5" customHeight="1">
      <c r="B60" s="208">
        <v>43028</v>
      </c>
      <c r="C60" s="209">
        <v>10882</v>
      </c>
      <c r="D60" s="210">
        <v>2.87</v>
      </c>
      <c r="E60" s="209" t="s">
        <v>17</v>
      </c>
      <c r="F60" s="209" t="s">
        <v>1753</v>
      </c>
      <c r="G60" s="209" t="s">
        <v>1754</v>
      </c>
    </row>
    <row r="61" spans="2:7" s="1" customFormat="1" ht="16.5" customHeight="1">
      <c r="B61" s="208">
        <v>43028</v>
      </c>
      <c r="C61" s="209">
        <v>10882</v>
      </c>
      <c r="D61" s="210">
        <v>9.0299999999999994</v>
      </c>
      <c r="E61" s="209" t="s">
        <v>17</v>
      </c>
      <c r="F61" s="209" t="s">
        <v>1755</v>
      </c>
      <c r="G61" s="209" t="s">
        <v>1756</v>
      </c>
    </row>
    <row r="62" spans="2:7" s="1" customFormat="1" ht="16.5" customHeight="1">
      <c r="B62" s="208">
        <v>43028</v>
      </c>
      <c r="C62" s="209">
        <v>10882</v>
      </c>
      <c r="D62" s="210">
        <v>17</v>
      </c>
      <c r="E62" s="209" t="s">
        <v>17</v>
      </c>
      <c r="F62" s="209" t="s">
        <v>1757</v>
      </c>
      <c r="G62" s="209" t="s">
        <v>1758</v>
      </c>
    </row>
    <row r="63" spans="2:7" s="1" customFormat="1" ht="16.5" customHeight="1">
      <c r="B63" s="208">
        <v>43028</v>
      </c>
      <c r="C63" s="209">
        <v>10882</v>
      </c>
      <c r="D63" s="210">
        <v>8.2200000000000006</v>
      </c>
      <c r="E63" s="209" t="s">
        <v>17</v>
      </c>
      <c r="F63" s="209" t="s">
        <v>1759</v>
      </c>
      <c r="G63" s="209" t="s">
        <v>1760</v>
      </c>
    </row>
    <row r="64" spans="2:7" s="1" customFormat="1" ht="16.5" customHeight="1">
      <c r="B64" s="208">
        <v>43028</v>
      </c>
      <c r="C64" s="209">
        <v>10882</v>
      </c>
      <c r="D64" s="210">
        <v>14</v>
      </c>
      <c r="E64" s="209" t="s">
        <v>17</v>
      </c>
      <c r="F64" s="209" t="s">
        <v>1761</v>
      </c>
      <c r="G64" s="209" t="s">
        <v>1762</v>
      </c>
    </row>
    <row r="65" spans="2:7" s="1" customFormat="1" ht="16.5" customHeight="1">
      <c r="B65" s="208">
        <v>43028</v>
      </c>
      <c r="C65" s="209">
        <v>10882</v>
      </c>
      <c r="D65" s="210">
        <v>120</v>
      </c>
      <c r="E65" s="209" t="s">
        <v>17</v>
      </c>
      <c r="F65" s="209" t="s">
        <v>1763</v>
      </c>
      <c r="G65" s="209"/>
    </row>
    <row r="66" spans="2:7" s="1" customFormat="1" ht="16.5" customHeight="1">
      <c r="B66" s="25"/>
      <c r="C66" s="51"/>
      <c r="D66" s="211"/>
      <c r="E66" s="51"/>
      <c r="F66" s="51"/>
      <c r="G66" s="27"/>
    </row>
    <row r="67" spans="2:7" s="1" customFormat="1" ht="16.5" customHeight="1">
      <c r="B67" s="212" t="s">
        <v>1</v>
      </c>
      <c r="C67" s="213"/>
      <c r="D67" s="214">
        <f>SUBTOTAL(109,ExpOct85[Amount])</f>
        <v>207.17</v>
      </c>
      <c r="E67" s="213"/>
      <c r="F67" s="213"/>
      <c r="G67" s="212"/>
    </row>
    <row r="69" spans="2:7" s="1" customFormat="1" ht="24" customHeight="1">
      <c r="B69" s="205" t="s">
        <v>159</v>
      </c>
      <c r="C69" s="117"/>
      <c r="D69" s="117"/>
      <c r="E69" s="117"/>
      <c r="F69" s="117"/>
      <c r="G69" s="117"/>
    </row>
    <row r="70" spans="2:7" s="1" customFormat="1" ht="16.5" customHeight="1">
      <c r="B70" s="117"/>
      <c r="C70" s="117"/>
      <c r="D70" s="117"/>
      <c r="E70" s="117"/>
      <c r="F70" s="117"/>
      <c r="G70" s="117"/>
    </row>
    <row r="71" spans="2:7" s="1" customFormat="1" ht="16.5" customHeight="1">
      <c r="B71" s="206" t="s">
        <v>50</v>
      </c>
      <c r="C71" s="207" t="s">
        <v>71</v>
      </c>
      <c r="D71" s="206" t="s">
        <v>48</v>
      </c>
      <c r="E71" s="207" t="s">
        <v>47</v>
      </c>
      <c r="F71" s="207" t="s">
        <v>161</v>
      </c>
      <c r="G71" s="206" t="s">
        <v>160</v>
      </c>
    </row>
    <row r="72" spans="2:7" s="1" customFormat="1" ht="16.5" customHeight="1">
      <c r="B72" s="25"/>
      <c r="C72" s="51"/>
      <c r="D72" s="211"/>
      <c r="E72" s="51"/>
      <c r="F72" s="51"/>
      <c r="G72" s="27"/>
    </row>
    <row r="73" spans="2:7" s="1" customFormat="1" ht="16.5" customHeight="1">
      <c r="B73" s="25"/>
      <c r="C73" s="51"/>
      <c r="D73" s="211"/>
      <c r="E73" s="51"/>
      <c r="F73" s="51"/>
      <c r="G73" s="27"/>
    </row>
    <row r="74" spans="2:7" s="1" customFormat="1" ht="16.5" customHeight="1">
      <c r="B74" s="25"/>
      <c r="C74" s="51"/>
      <c r="D74" s="211"/>
      <c r="E74" s="51"/>
      <c r="F74" s="51"/>
      <c r="G74" s="27"/>
    </row>
    <row r="75" spans="2:7" s="1" customFormat="1" ht="16.5" customHeight="1">
      <c r="B75" s="25"/>
      <c r="C75" s="51"/>
      <c r="D75" s="211"/>
      <c r="E75" s="51"/>
      <c r="F75" s="51"/>
      <c r="G75" s="27"/>
    </row>
    <row r="76" spans="2:7" s="1" customFormat="1" ht="16.5" customHeight="1">
      <c r="B76" s="25"/>
      <c r="C76" s="51"/>
      <c r="D76" s="211"/>
      <c r="E76" s="51"/>
      <c r="F76" s="51"/>
      <c r="G76" s="27"/>
    </row>
    <row r="77" spans="2:7" s="1" customFormat="1" ht="16.5" customHeight="1">
      <c r="B77" s="25"/>
      <c r="C77" s="51"/>
      <c r="D77" s="211"/>
      <c r="E77" s="51"/>
      <c r="F77" s="51"/>
      <c r="G77" s="27"/>
    </row>
    <row r="78" spans="2:7" s="1" customFormat="1" ht="16.5" customHeight="1">
      <c r="B78" s="25"/>
      <c r="C78" s="51"/>
      <c r="D78" s="211"/>
      <c r="E78" s="51"/>
      <c r="F78" s="51"/>
      <c r="G78" s="27"/>
    </row>
    <row r="79" spans="2:7" s="1" customFormat="1" ht="16.5" customHeight="1">
      <c r="B79" s="25"/>
      <c r="C79" s="51"/>
      <c r="D79" s="211"/>
      <c r="E79" s="51"/>
      <c r="F79" s="51"/>
      <c r="G79" s="27"/>
    </row>
    <row r="80" spans="2:7" s="1" customFormat="1" ht="16.5" customHeight="1">
      <c r="B80" s="25"/>
      <c r="C80" s="51"/>
      <c r="D80" s="211"/>
      <c r="E80" s="51"/>
      <c r="F80" s="51"/>
      <c r="G80" s="27"/>
    </row>
    <row r="81" spans="2:7" s="1" customFormat="1" ht="16.5" customHeight="1">
      <c r="B81" s="25"/>
      <c r="C81" s="51"/>
      <c r="D81" s="211"/>
      <c r="E81" s="51"/>
      <c r="F81" s="51"/>
      <c r="G81" s="27"/>
    </row>
    <row r="82" spans="2:7" s="1" customFormat="1" ht="16.5" customHeight="1">
      <c r="B82" s="212" t="s">
        <v>1</v>
      </c>
      <c r="C82" s="213"/>
      <c r="D82" s="214">
        <f>SUBTOTAL(109,ExpNov86[Amount])</f>
        <v>0</v>
      </c>
      <c r="E82" s="213"/>
      <c r="F82" s="213"/>
      <c r="G82" s="212"/>
    </row>
    <row r="84" spans="2:7" s="1" customFormat="1" ht="26.25" customHeight="1">
      <c r="B84" s="205" t="s">
        <v>162</v>
      </c>
      <c r="C84" s="117"/>
      <c r="D84" s="117"/>
      <c r="E84" s="117"/>
      <c r="F84" s="117"/>
      <c r="G84" s="117"/>
    </row>
    <row r="85" spans="2:7" s="1" customFormat="1" ht="16.5" customHeight="1">
      <c r="B85" s="117"/>
      <c r="C85" s="117"/>
      <c r="D85" s="117"/>
      <c r="E85" s="117"/>
      <c r="F85" s="117"/>
      <c r="G85" s="117"/>
    </row>
    <row r="86" spans="2:7" s="1" customFormat="1" ht="16.5" customHeight="1">
      <c r="B86" s="206" t="s">
        <v>50</v>
      </c>
      <c r="C86" s="207" t="s">
        <v>71</v>
      </c>
      <c r="D86" s="206" t="s">
        <v>48</v>
      </c>
      <c r="E86" s="207" t="s">
        <v>47</v>
      </c>
      <c r="F86" s="207" t="s">
        <v>161</v>
      </c>
      <c r="G86" s="206" t="s">
        <v>160</v>
      </c>
    </row>
    <row r="87" spans="2:7" s="1" customFormat="1" ht="16.5" customHeight="1">
      <c r="B87" s="25"/>
      <c r="C87" s="51"/>
      <c r="D87" s="211"/>
      <c r="E87" s="51"/>
      <c r="F87" s="51"/>
      <c r="G87" s="27"/>
    </row>
    <row r="88" spans="2:7" s="1" customFormat="1" ht="16.5" customHeight="1">
      <c r="B88" s="25"/>
      <c r="C88" s="51"/>
      <c r="D88" s="211"/>
      <c r="E88" s="51"/>
      <c r="F88" s="51"/>
      <c r="G88" s="27"/>
    </row>
    <row r="89" spans="2:7" s="1" customFormat="1" ht="16.5" customHeight="1">
      <c r="B89" s="25"/>
      <c r="C89" s="51"/>
      <c r="D89" s="211"/>
      <c r="E89" s="51"/>
      <c r="F89" s="51"/>
      <c r="G89" s="27"/>
    </row>
    <row r="90" spans="2:7" s="1" customFormat="1" ht="16.5" customHeight="1">
      <c r="B90" s="25"/>
      <c r="C90" s="51"/>
      <c r="D90" s="211"/>
      <c r="E90" s="51"/>
      <c r="F90" s="51"/>
      <c r="G90" s="27"/>
    </row>
    <row r="91" spans="2:7" s="1" customFormat="1" ht="16.5" customHeight="1">
      <c r="B91" s="25"/>
      <c r="C91" s="51"/>
      <c r="D91" s="211"/>
      <c r="E91" s="51"/>
      <c r="F91" s="51"/>
      <c r="G91" s="27"/>
    </row>
    <row r="92" spans="2:7" s="1" customFormat="1" ht="16.5" customHeight="1">
      <c r="B92" s="25"/>
      <c r="C92" s="51"/>
      <c r="D92" s="211"/>
      <c r="E92" s="51"/>
      <c r="F92" s="51"/>
      <c r="G92" s="27"/>
    </row>
    <row r="93" spans="2:7" s="1" customFormat="1" ht="16.5" customHeight="1">
      <c r="B93" s="25"/>
      <c r="C93" s="51"/>
      <c r="D93" s="211"/>
      <c r="E93" s="51"/>
      <c r="F93" s="51"/>
      <c r="G93" s="27"/>
    </row>
    <row r="94" spans="2:7" s="1" customFormat="1" ht="16.5" customHeight="1">
      <c r="B94" s="212" t="s">
        <v>1</v>
      </c>
      <c r="C94" s="213"/>
      <c r="D94" s="214">
        <f>SUBTOTAL(109,ExpDec87[Amount])</f>
        <v>0</v>
      </c>
      <c r="E94" s="213"/>
      <c r="F94" s="213"/>
      <c r="G94" s="212"/>
    </row>
    <row r="96" spans="2:7" s="1" customFormat="1" ht="27" customHeight="1">
      <c r="B96" s="205" t="s">
        <v>163</v>
      </c>
      <c r="C96" s="117"/>
      <c r="D96" s="117"/>
      <c r="E96" s="117"/>
      <c r="F96" s="117"/>
      <c r="G96" s="117"/>
    </row>
    <row r="97" spans="2:7" s="1" customFormat="1" ht="16.5" customHeight="1">
      <c r="B97" s="117"/>
      <c r="C97" s="117"/>
      <c r="D97" s="117"/>
      <c r="E97" s="117"/>
      <c r="F97" s="117"/>
      <c r="G97" s="117"/>
    </row>
    <row r="98" spans="2:7" s="1" customFormat="1" ht="16.5" customHeight="1">
      <c r="B98" s="206" t="s">
        <v>50</v>
      </c>
      <c r="C98" s="207" t="s">
        <v>164</v>
      </c>
      <c r="D98" s="206" t="s">
        <v>48</v>
      </c>
      <c r="E98" s="207" t="s">
        <v>47</v>
      </c>
      <c r="F98" s="207" t="s">
        <v>161</v>
      </c>
      <c r="G98" s="206" t="s">
        <v>160</v>
      </c>
    </row>
    <row r="99" spans="2:7" s="1" customFormat="1" ht="16.5" customHeight="1">
      <c r="B99" s="498"/>
      <c r="C99" s="499"/>
      <c r="D99" s="500"/>
      <c r="E99" s="499"/>
      <c r="F99" s="499"/>
      <c r="G99" s="501"/>
    </row>
    <row r="100" spans="2:7" s="1" customFormat="1" ht="16.5" customHeight="1">
      <c r="B100" s="498"/>
      <c r="C100" s="499"/>
      <c r="D100" s="500"/>
      <c r="E100" s="499"/>
      <c r="F100" s="499"/>
      <c r="G100" s="501"/>
    </row>
    <row r="101" spans="2:7" s="1" customFormat="1" ht="16.5" customHeight="1">
      <c r="B101" s="498"/>
      <c r="C101" s="499"/>
      <c r="D101" s="500"/>
      <c r="E101" s="499"/>
      <c r="F101" s="499"/>
      <c r="G101" s="501"/>
    </row>
    <row r="102" spans="2:7" s="1" customFormat="1" ht="16.5" customHeight="1">
      <c r="B102" s="502"/>
      <c r="C102" s="503"/>
      <c r="D102" s="500"/>
      <c r="E102" s="503"/>
      <c r="F102" s="503"/>
      <c r="G102" s="502"/>
    </row>
    <row r="103" spans="2:7" s="1" customFormat="1" ht="16.5" customHeight="1">
      <c r="B103" s="27"/>
      <c r="C103" s="26"/>
      <c r="D103" s="211"/>
      <c r="E103" s="26"/>
      <c r="F103" s="26"/>
      <c r="G103" s="27"/>
    </row>
    <row r="104" spans="2:7" s="1" customFormat="1" ht="16.5" customHeight="1">
      <c r="B104" s="27"/>
      <c r="C104" s="26"/>
      <c r="D104" s="211"/>
      <c r="E104" s="26"/>
      <c r="F104" s="26"/>
      <c r="G104" s="27"/>
    </row>
    <row r="105" spans="2:7" s="1" customFormat="1" ht="16.5" customHeight="1">
      <c r="B105" s="27"/>
      <c r="C105" s="26"/>
      <c r="D105" s="211"/>
      <c r="E105" s="26"/>
      <c r="F105" s="26"/>
      <c r="G105" s="27"/>
    </row>
    <row r="106" spans="2:7" s="1" customFormat="1" ht="16.5" customHeight="1">
      <c r="B106" s="27"/>
      <c r="C106" s="26"/>
      <c r="D106" s="211"/>
      <c r="E106" s="26"/>
      <c r="F106" s="26"/>
      <c r="G106" s="27"/>
    </row>
    <row r="107" spans="2:7" s="1" customFormat="1" ht="16.5" customHeight="1">
      <c r="B107" s="27"/>
      <c r="C107" s="26"/>
      <c r="D107" s="211"/>
      <c r="E107" s="26"/>
      <c r="F107" s="26"/>
      <c r="G107" s="27"/>
    </row>
    <row r="108" spans="2:7" s="1" customFormat="1" ht="16.5" customHeight="1">
      <c r="B108" s="27"/>
      <c r="C108" s="26"/>
      <c r="D108" s="211"/>
      <c r="E108" s="26"/>
      <c r="F108" s="26"/>
      <c r="G108" s="27"/>
    </row>
    <row r="109" spans="2:7" s="1" customFormat="1" ht="16.5" customHeight="1">
      <c r="B109" s="212" t="s">
        <v>1</v>
      </c>
      <c r="C109" s="213"/>
      <c r="D109" s="214">
        <f>SUBTOTAL(109,ExpJan88[Amount])</f>
        <v>0</v>
      </c>
      <c r="E109" s="213"/>
      <c r="F109" s="213"/>
      <c r="G109" s="212"/>
    </row>
    <row r="111" spans="2:7" s="1" customFormat="1" ht="27" customHeight="1">
      <c r="B111" s="205" t="s">
        <v>165</v>
      </c>
      <c r="C111" s="117"/>
      <c r="D111" s="117"/>
      <c r="E111" s="117"/>
      <c r="F111" s="117"/>
      <c r="G111" s="117"/>
    </row>
    <row r="112" spans="2:7" s="1" customFormat="1" ht="16.5" customHeight="1">
      <c r="B112" s="117"/>
      <c r="C112" s="117"/>
      <c r="D112" s="117"/>
      <c r="E112" s="117"/>
      <c r="F112" s="117"/>
      <c r="G112" s="117"/>
    </row>
    <row r="113" spans="2:7" s="1" customFormat="1" ht="16.5" customHeight="1">
      <c r="B113" s="206" t="s">
        <v>50</v>
      </c>
      <c r="C113" s="207" t="s">
        <v>71</v>
      </c>
      <c r="D113" s="206" t="s">
        <v>48</v>
      </c>
      <c r="E113" s="207" t="s">
        <v>47</v>
      </c>
      <c r="F113" s="206" t="s">
        <v>660</v>
      </c>
      <c r="G113" s="430" t="s">
        <v>45</v>
      </c>
    </row>
    <row r="114" spans="2:7" s="1" customFormat="1" ht="16.5" customHeight="1">
      <c r="B114" s="25"/>
      <c r="C114" s="51"/>
      <c r="D114" s="211"/>
      <c r="E114" s="51"/>
      <c r="F114" s="27"/>
      <c r="G114" s="27"/>
    </row>
    <row r="115" spans="2:7" s="1" customFormat="1" ht="16.5" customHeight="1">
      <c r="B115" s="25"/>
      <c r="C115" s="51"/>
      <c r="D115" s="211"/>
      <c r="E115" s="51"/>
      <c r="F115" s="27"/>
      <c r="G115" s="27"/>
    </row>
    <row r="116" spans="2:7" s="1" customFormat="1" ht="16.5" customHeight="1">
      <c r="B116" s="25"/>
      <c r="C116" s="51"/>
      <c r="D116" s="211"/>
      <c r="E116" s="51"/>
      <c r="F116" s="27"/>
      <c r="G116" s="27"/>
    </row>
    <row r="117" spans="2:7" s="1" customFormat="1" ht="16.5" customHeight="1">
      <c r="B117" s="25"/>
      <c r="C117" s="51"/>
      <c r="D117" s="211"/>
      <c r="E117" s="51"/>
      <c r="F117" s="27"/>
      <c r="G117" s="27"/>
    </row>
    <row r="118" spans="2:7" s="1" customFormat="1" ht="16.5" customHeight="1">
      <c r="B118" s="25"/>
      <c r="C118" s="51"/>
      <c r="D118" s="211"/>
      <c r="E118" s="51"/>
      <c r="F118" s="27"/>
      <c r="G118" s="27"/>
    </row>
    <row r="119" spans="2:7" s="1" customFormat="1" ht="16.5" customHeight="1">
      <c r="B119" s="25"/>
      <c r="C119" s="51"/>
      <c r="D119" s="211"/>
      <c r="E119" s="51"/>
      <c r="F119" s="27"/>
      <c r="G119" s="27"/>
    </row>
    <row r="120" spans="2:7" s="1" customFormat="1" ht="16.5" customHeight="1">
      <c r="B120" s="337"/>
      <c r="C120" s="338"/>
      <c r="D120" s="339"/>
      <c r="E120" s="338"/>
      <c r="F120" s="340"/>
      <c r="G120" s="340"/>
    </row>
    <row r="121" spans="2:7" s="1" customFormat="1" ht="16.5" customHeight="1">
      <c r="B121" s="337"/>
      <c r="C121" s="338"/>
      <c r="D121" s="339"/>
      <c r="E121" s="338"/>
      <c r="F121" s="340"/>
      <c r="G121" s="340"/>
    </row>
    <row r="122" spans="2:7" s="1" customFormat="1" ht="16.5" customHeight="1">
      <c r="B122" s="337"/>
      <c r="C122" s="338"/>
      <c r="D122" s="339"/>
      <c r="E122" s="338"/>
      <c r="F122" s="340"/>
      <c r="G122" s="340"/>
    </row>
    <row r="123" spans="2:7" s="1" customFormat="1" ht="16.5" customHeight="1">
      <c r="B123" s="337"/>
      <c r="C123" s="338"/>
      <c r="D123" s="339"/>
      <c r="E123" s="338"/>
      <c r="F123" s="340"/>
      <c r="G123" s="340"/>
    </row>
    <row r="124" spans="2:7" s="1" customFormat="1" ht="16.5" customHeight="1">
      <c r="B124" s="224" t="s">
        <v>1</v>
      </c>
      <c r="C124" s="225"/>
      <c r="D124" s="226">
        <f>SUBTOTAL(109,ExpFeb89[Amount])</f>
        <v>0</v>
      </c>
      <c r="E124" s="225"/>
      <c r="F124" s="224"/>
      <c r="G124" s="395"/>
    </row>
    <row r="126" spans="2:7" s="1" customFormat="1" ht="27" customHeight="1">
      <c r="B126" s="205" t="s">
        <v>166</v>
      </c>
      <c r="C126" s="117"/>
      <c r="D126" s="117"/>
      <c r="E126" s="117"/>
      <c r="F126" s="117"/>
      <c r="G126" s="117" t="s">
        <v>32</v>
      </c>
    </row>
    <row r="127" spans="2:7" s="1" customFormat="1" ht="16.5" customHeight="1">
      <c r="B127" s="117"/>
      <c r="C127" s="117"/>
      <c r="D127" s="117"/>
      <c r="E127" s="117"/>
      <c r="F127" s="117"/>
      <c r="G127" s="117"/>
    </row>
    <row r="128" spans="2:7" s="1" customFormat="1" ht="16.5" customHeight="1">
      <c r="B128" s="206" t="s">
        <v>50</v>
      </c>
      <c r="C128" s="207" t="s">
        <v>71</v>
      </c>
      <c r="D128" s="206" t="s">
        <v>48</v>
      </c>
      <c r="E128" s="207" t="s">
        <v>47</v>
      </c>
      <c r="F128" s="206" t="s">
        <v>660</v>
      </c>
      <c r="G128" s="430" t="s">
        <v>45</v>
      </c>
    </row>
    <row r="129" spans="2:7" s="1" customFormat="1" ht="16.5" customHeight="1">
      <c r="B129" s="25"/>
      <c r="C129" s="51"/>
      <c r="D129" s="211"/>
      <c r="E129" s="51"/>
      <c r="F129" s="27"/>
      <c r="G129" s="27"/>
    </row>
    <row r="130" spans="2:7" s="1" customFormat="1" ht="16.5" customHeight="1">
      <c r="B130" s="25"/>
      <c r="C130" s="51"/>
      <c r="D130" s="211"/>
      <c r="E130" s="51"/>
      <c r="F130" s="27"/>
      <c r="G130" s="27"/>
    </row>
    <row r="131" spans="2:7" s="1" customFormat="1" ht="16.5" customHeight="1">
      <c r="B131" s="25"/>
      <c r="C131" s="338"/>
      <c r="D131" s="339"/>
      <c r="E131" s="338"/>
      <c r="F131" s="340"/>
      <c r="G131" s="340"/>
    </row>
    <row r="132" spans="2:7" s="1" customFormat="1" ht="16.5" customHeight="1">
      <c r="B132" s="25"/>
      <c r="C132" s="225"/>
      <c r="D132" s="226"/>
      <c r="E132" s="225"/>
      <c r="F132" s="224"/>
      <c r="G132" s="395"/>
    </row>
    <row r="133" spans="2:7" s="1" customFormat="1" ht="16.5" customHeight="1">
      <c r="B133" s="25"/>
      <c r="C133" s="51"/>
      <c r="D133" s="211"/>
      <c r="E133" s="51"/>
      <c r="F133" s="27"/>
      <c r="G133" s="27"/>
    </row>
    <row r="134" spans="2:7" s="1" customFormat="1" ht="16.5" customHeight="1">
      <c r="B134" s="25"/>
      <c r="C134" s="51"/>
      <c r="D134" s="211"/>
      <c r="E134" s="51"/>
      <c r="F134" s="27"/>
      <c r="G134" s="27"/>
    </row>
    <row r="135" spans="2:7" s="1" customFormat="1" ht="16.5" customHeight="1">
      <c r="B135" s="25"/>
      <c r="C135" s="51"/>
      <c r="D135" s="211"/>
      <c r="E135" s="51"/>
      <c r="F135" s="27"/>
      <c r="G135" s="27"/>
    </row>
    <row r="136" spans="2:7" s="1" customFormat="1" ht="16.5" customHeight="1">
      <c r="B136" s="25"/>
      <c r="C136" s="51"/>
      <c r="D136" s="211"/>
      <c r="E136" s="51"/>
      <c r="F136" s="27"/>
      <c r="G136" s="27"/>
    </row>
    <row r="137" spans="2:7" s="1" customFormat="1" ht="16.5" customHeight="1">
      <c r="B137" s="224" t="s">
        <v>1</v>
      </c>
      <c r="C137" s="225"/>
      <c r="D137" s="226">
        <f>SUBTOTAL(109,ExpMar90[Amount])</f>
        <v>0</v>
      </c>
      <c r="E137" s="225"/>
      <c r="F137" s="224"/>
      <c r="G137" s="395"/>
    </row>
    <row r="139" spans="2:7" s="1" customFormat="1" ht="25.5" customHeight="1">
      <c r="B139" s="205" t="s">
        <v>167</v>
      </c>
      <c r="C139" s="117"/>
      <c r="D139" s="117"/>
      <c r="E139" s="117"/>
      <c r="F139" s="117"/>
      <c r="G139" s="117"/>
    </row>
    <row r="140" spans="2:7" s="1" customFormat="1" ht="16.5" customHeight="1">
      <c r="B140" s="117"/>
      <c r="C140" s="117"/>
      <c r="D140" s="117"/>
      <c r="E140" s="117"/>
      <c r="F140" s="117"/>
      <c r="G140" s="117"/>
    </row>
    <row r="141" spans="2:7" s="1" customFormat="1" ht="16.5" customHeight="1">
      <c r="B141" s="206" t="s">
        <v>50</v>
      </c>
      <c r="C141" s="207" t="s">
        <v>168</v>
      </c>
      <c r="D141" s="206" t="s">
        <v>48</v>
      </c>
      <c r="E141" s="207" t="s">
        <v>47</v>
      </c>
      <c r="F141" s="207" t="s">
        <v>660</v>
      </c>
      <c r="G141" s="206" t="s">
        <v>45</v>
      </c>
    </row>
    <row r="142" spans="2:7" s="1" customFormat="1" ht="16.5" customHeight="1">
      <c r="B142" s="215"/>
      <c r="C142" s="51"/>
      <c r="D142" s="216"/>
      <c r="E142" s="51"/>
      <c r="F142" s="51"/>
      <c r="G142" s="51"/>
    </row>
    <row r="143" spans="2:7" s="1" customFormat="1" ht="16.5" customHeight="1">
      <c r="B143" s="215"/>
      <c r="C143" s="51"/>
      <c r="D143" s="216"/>
      <c r="E143" s="51"/>
      <c r="F143" s="51"/>
      <c r="G143" s="51"/>
    </row>
    <row r="144" spans="2:7" s="1" customFormat="1" ht="16.5" customHeight="1">
      <c r="B144" s="215"/>
      <c r="C144" s="51"/>
      <c r="D144" s="216"/>
      <c r="E144" s="51"/>
      <c r="F144" s="51"/>
      <c r="G144" s="51"/>
    </row>
    <row r="145" spans="2:7" s="1" customFormat="1" ht="16.5" customHeight="1">
      <c r="B145" s="215"/>
      <c r="C145" s="51"/>
      <c r="D145" s="216"/>
      <c r="E145" s="51"/>
      <c r="F145" s="51"/>
      <c r="G145" s="51"/>
    </row>
    <row r="146" spans="2:7" s="1" customFormat="1" ht="16.5" customHeight="1">
      <c r="B146" s="215"/>
      <c r="C146" s="51"/>
      <c r="D146" s="216"/>
      <c r="E146" s="51"/>
      <c r="F146" s="51"/>
      <c r="G146" s="51"/>
    </row>
    <row r="147" spans="2:7" s="1" customFormat="1" ht="16.5" customHeight="1">
      <c r="B147" s="215"/>
      <c r="C147" s="51"/>
      <c r="D147" s="216"/>
      <c r="E147" s="51"/>
      <c r="F147" s="51"/>
      <c r="G147" s="51"/>
    </row>
    <row r="148" spans="2:7" s="1" customFormat="1" ht="16.5" customHeight="1">
      <c r="B148" s="215"/>
      <c r="C148" s="51"/>
      <c r="D148" s="216"/>
      <c r="E148" s="51"/>
      <c r="F148" s="51"/>
      <c r="G148" s="51"/>
    </row>
    <row r="149" spans="2:7" s="1" customFormat="1" ht="16.5" customHeight="1">
      <c r="B149" s="215"/>
      <c r="C149" s="51"/>
      <c r="D149" s="216"/>
      <c r="E149" s="51"/>
      <c r="F149" s="51"/>
      <c r="G149" s="51"/>
    </row>
    <row r="150" spans="2:7" s="1" customFormat="1" ht="16.5" customHeight="1">
      <c r="B150" s="215"/>
      <c r="C150" s="51"/>
      <c r="D150" s="216"/>
      <c r="E150" s="51"/>
      <c r="F150" s="51"/>
      <c r="G150" s="51"/>
    </row>
    <row r="151" spans="2:7" s="1" customFormat="1" ht="16.5" customHeight="1">
      <c r="B151" s="215"/>
      <c r="C151" s="51"/>
      <c r="D151" s="216"/>
      <c r="E151" s="51"/>
      <c r="F151" s="51"/>
      <c r="G151" s="51"/>
    </row>
    <row r="152" spans="2:7" s="1" customFormat="1" ht="16.5" customHeight="1">
      <c r="B152" s="215"/>
      <c r="C152" s="51"/>
      <c r="D152" s="216"/>
      <c r="E152" s="51"/>
      <c r="F152" s="51"/>
      <c r="G152" s="51"/>
    </row>
    <row r="153" spans="2:7" s="1" customFormat="1" ht="16.5" customHeight="1">
      <c r="B153" s="215"/>
      <c r="C153" s="51"/>
      <c r="D153" s="216"/>
      <c r="E153" s="51"/>
      <c r="F153" s="51"/>
      <c r="G153" s="51"/>
    </row>
    <row r="154" spans="2:7" s="1" customFormat="1" ht="16.5" customHeight="1">
      <c r="B154" s="215"/>
      <c r="C154" s="51"/>
      <c r="D154" s="216"/>
      <c r="E154" s="51"/>
      <c r="F154" s="51"/>
      <c r="G154" s="51"/>
    </row>
    <row r="155" spans="2:7" s="1" customFormat="1" ht="16.5" customHeight="1">
      <c r="B155" s="212" t="s">
        <v>1</v>
      </c>
      <c r="C155" s="213"/>
      <c r="D155" s="214">
        <f>SUBTOTAL(109,ExpApr91[Amount])</f>
        <v>0</v>
      </c>
      <c r="E155" s="213"/>
      <c r="F155" s="213"/>
      <c r="G155" s="212"/>
    </row>
    <row r="157" spans="2:7" s="1" customFormat="1" ht="26.25" customHeight="1">
      <c r="B157" s="205" t="s">
        <v>169</v>
      </c>
      <c r="C157" s="117"/>
      <c r="D157" s="117"/>
      <c r="E157" s="117"/>
      <c r="F157" s="117"/>
      <c r="G157" s="117"/>
    </row>
    <row r="158" spans="2:7" s="1" customFormat="1" ht="16.5" customHeight="1">
      <c r="B158" s="117"/>
      <c r="C158" s="117"/>
      <c r="D158" s="117"/>
      <c r="E158" s="117"/>
      <c r="F158" s="117"/>
      <c r="G158" s="117"/>
    </row>
    <row r="159" spans="2:7" s="1" customFormat="1" ht="16.5" customHeight="1">
      <c r="B159" s="206" t="s">
        <v>50</v>
      </c>
      <c r="C159" s="207" t="s">
        <v>71</v>
      </c>
      <c r="D159" s="206" t="s">
        <v>48</v>
      </c>
      <c r="E159" s="207" t="s">
        <v>47</v>
      </c>
      <c r="F159" s="207" t="s">
        <v>660</v>
      </c>
      <c r="G159" s="206" t="s">
        <v>45</v>
      </c>
    </row>
    <row r="160" spans="2:7" s="1" customFormat="1" ht="16.5" customHeight="1">
      <c r="B160" s="215"/>
      <c r="C160" s="51"/>
      <c r="D160" s="216"/>
      <c r="E160" s="51"/>
      <c r="F160" s="51"/>
      <c r="G160" s="51"/>
    </row>
    <row r="161" spans="2:7" s="1" customFormat="1" ht="16.5" customHeight="1">
      <c r="B161" s="215"/>
      <c r="C161" s="51"/>
      <c r="D161" s="216"/>
      <c r="E161" s="51"/>
      <c r="F161" s="51"/>
      <c r="G161" s="51"/>
    </row>
    <row r="162" spans="2:7" s="1" customFormat="1" ht="16.5" customHeight="1">
      <c r="B162" s="215"/>
      <c r="C162" s="51"/>
      <c r="D162" s="216"/>
      <c r="E162" s="51"/>
      <c r="F162" s="51"/>
      <c r="G162" s="51"/>
    </row>
    <row r="163" spans="2:7" s="1" customFormat="1" ht="16.5" customHeight="1">
      <c r="B163" s="215"/>
      <c r="C163" s="51"/>
      <c r="D163" s="216"/>
      <c r="E163" s="51"/>
      <c r="F163" s="51"/>
      <c r="G163" s="51"/>
    </row>
    <row r="164" spans="2:7" s="1" customFormat="1" ht="16.5" customHeight="1">
      <c r="B164" s="215"/>
      <c r="C164" s="51"/>
      <c r="D164" s="216"/>
      <c r="E164" s="51"/>
      <c r="F164" s="51"/>
      <c r="G164" s="51"/>
    </row>
    <row r="165" spans="2:7" s="1" customFormat="1" ht="16.5" customHeight="1">
      <c r="B165" s="215"/>
      <c r="C165" s="51"/>
      <c r="D165" s="216"/>
      <c r="E165" s="51"/>
      <c r="F165" s="51"/>
      <c r="G165" s="51"/>
    </row>
    <row r="166" spans="2:7" s="1" customFormat="1" ht="16.5" customHeight="1">
      <c r="B166" s="215"/>
      <c r="C166" s="51"/>
      <c r="D166" s="216"/>
      <c r="E166" s="51"/>
      <c r="F166" s="51"/>
      <c r="G166" s="51"/>
    </row>
    <row r="167" spans="2:7" s="1" customFormat="1" ht="16.5" customHeight="1">
      <c r="B167" s="431"/>
      <c r="C167" s="338"/>
      <c r="D167" s="432"/>
      <c r="E167" s="338"/>
      <c r="F167" s="338"/>
      <c r="G167" s="338"/>
    </row>
    <row r="168" spans="2:7" s="1" customFormat="1" ht="16.5" customHeight="1">
      <c r="B168" s="431"/>
      <c r="C168" s="338"/>
      <c r="D168" s="432"/>
      <c r="E168" s="338"/>
      <c r="F168" s="338"/>
      <c r="G168" s="338"/>
    </row>
    <row r="169" spans="2:7" s="1" customFormat="1" ht="16.5" customHeight="1">
      <c r="B169" s="212" t="s">
        <v>1</v>
      </c>
      <c r="C169" s="213"/>
      <c r="D169" s="214">
        <f>SUBTOTAL(109,ExpMay92[Amount])</f>
        <v>0</v>
      </c>
      <c r="E169" s="213"/>
      <c r="F169" s="213"/>
      <c r="G169" s="212"/>
    </row>
    <row r="171" spans="2:7" s="1" customFormat="1" ht="26.25" customHeight="1">
      <c r="B171" s="205" t="s">
        <v>170</v>
      </c>
      <c r="C171" s="117"/>
      <c r="D171" s="117"/>
      <c r="E171" s="117"/>
      <c r="F171" s="117"/>
      <c r="G171" s="117"/>
    </row>
    <row r="172" spans="2:7" s="1" customFormat="1" ht="16.5" customHeight="1">
      <c r="B172" s="117"/>
      <c r="C172" s="117"/>
      <c r="D172" s="117"/>
      <c r="E172" s="117"/>
      <c r="F172" s="117"/>
      <c r="G172" s="117"/>
    </row>
    <row r="173" spans="2:7" s="1" customFormat="1" ht="16.5" customHeight="1">
      <c r="B173" s="206" t="s">
        <v>50</v>
      </c>
      <c r="C173" s="207" t="s">
        <v>155</v>
      </c>
      <c r="D173" s="206" t="s">
        <v>48</v>
      </c>
      <c r="E173" s="207" t="s">
        <v>47</v>
      </c>
      <c r="F173" s="207" t="s">
        <v>660</v>
      </c>
      <c r="G173" s="206" t="s">
        <v>45</v>
      </c>
    </row>
    <row r="174" spans="2:7" s="1" customFormat="1" ht="16.5" customHeight="1">
      <c r="B174" s="215"/>
      <c r="C174" s="51"/>
      <c r="D174" s="216"/>
      <c r="E174" s="51"/>
      <c r="F174" s="51"/>
      <c r="G174" s="51"/>
    </row>
    <row r="175" spans="2:7" s="1" customFormat="1" ht="16.5" customHeight="1">
      <c r="B175" s="215"/>
      <c r="C175" s="51"/>
      <c r="D175" s="216"/>
      <c r="E175" s="51"/>
      <c r="F175" s="51"/>
      <c r="G175" s="51"/>
    </row>
    <row r="176" spans="2:7" s="1" customFormat="1" ht="16.5" customHeight="1">
      <c r="B176" s="215"/>
      <c r="C176" s="51"/>
      <c r="D176" s="216"/>
      <c r="E176" s="51"/>
      <c r="F176" s="51"/>
      <c r="G176" s="51"/>
    </row>
    <row r="177" spans="2:7" s="1" customFormat="1" ht="16.5" customHeight="1">
      <c r="B177" s="431"/>
      <c r="C177" s="338"/>
      <c r="D177" s="432"/>
      <c r="E177" s="338"/>
      <c r="F177" s="338"/>
      <c r="G177" s="338"/>
    </row>
    <row r="178" spans="2:7" s="1" customFormat="1" ht="16.5" customHeight="1">
      <c r="B178" s="431"/>
      <c r="C178" s="338"/>
      <c r="D178" s="432"/>
      <c r="E178" s="338"/>
      <c r="F178" s="338"/>
      <c r="G178" s="338"/>
    </row>
    <row r="179" spans="2:7" s="1" customFormat="1" ht="16.5" customHeight="1">
      <c r="B179" s="431"/>
      <c r="C179" s="338"/>
      <c r="D179" s="432"/>
      <c r="E179" s="338"/>
      <c r="F179" s="338"/>
      <c r="G179" s="338"/>
    </row>
    <row r="180" spans="2:7" s="1" customFormat="1" ht="16.5" customHeight="1">
      <c r="B180" s="431"/>
      <c r="C180" s="338"/>
      <c r="D180" s="432"/>
      <c r="E180" s="338"/>
      <c r="F180" s="338"/>
      <c r="G180" s="338"/>
    </row>
    <row r="181" spans="2:7" s="1" customFormat="1" ht="16.5" customHeight="1">
      <c r="B181" s="431"/>
      <c r="C181" s="338"/>
      <c r="D181" s="432"/>
      <c r="E181" s="338"/>
      <c r="F181" s="338"/>
      <c r="G181" s="338"/>
    </row>
    <row r="182" spans="2:7" s="1" customFormat="1" ht="16.5" customHeight="1">
      <c r="B182" s="224" t="s">
        <v>1</v>
      </c>
      <c r="C182" s="225"/>
      <c r="D182" s="226">
        <f>SUBTOTAL(109,ExpJun93[Amount])</f>
        <v>0</v>
      </c>
      <c r="E182" s="225"/>
      <c r="F182" s="225"/>
      <c r="G182" s="224"/>
    </row>
  </sheetData>
  <dataValidations count="14">
    <dataValidation type="custom" errorStyle="warning" allowBlank="1" showInputMessage="1" showErrorMessage="1" errorTitle="Amount Validation" error="Amount should be a number." sqref="D5:D17 D19 D23:D36 D42:D50 D56:D66 D72:D81 D87:D93 D99:D108 D114:D123 D129:D131 D142:D154 D160:D168 D174:D181">
      <formula1>ISNUMBER($D5)</formula1>
    </dataValidation>
    <dataValidation type="custom" errorStyle="warning" allowBlank="1" showInputMessage="1" showErrorMessage="1" errorTitle="Date Validation" error="A date in July needs be entered  in order for this expense to be added to the Summary sheet." sqref="B5:B17 B19">
      <formula1>MONTH($B5)=7</formula1>
    </dataValidation>
    <dataValidation type="list" errorStyle="warning" allowBlank="1" showInputMessage="1" showErrorMessage="1" errorTitle="Unknown Category" error="An expense from the drop down should be selected in order for it to be included on the Summary sheet." sqref="E5:F17 E19:F19 E23:F36 E42:F50 E56:F66 E72:F81 E87:F93 E99:F108 E114:E123 E129:E131 E142:F154 E160:F168 E174:F181">
      <formula1>ExpenseCategories</formula1>
    </dataValidation>
    <dataValidation type="custom" errorStyle="warning" allowBlank="1" showInputMessage="1" showErrorMessage="1" errorTitle="Date Validation" error="A date in August needs be entered  in order for this expense to be added to the Summary sheet." sqref="B23:B36">
      <formula1>MONTH($B23)=8</formula1>
    </dataValidation>
    <dataValidation type="custom" errorStyle="warning" allowBlank="1" showInputMessage="1" showErrorMessage="1" errorTitle="Date Validation" error="A date in September needs be entered  in order for this expense to be added to the Summary sheet." sqref="B42:B50">
      <formula1>MONTH($B42)=9</formula1>
    </dataValidation>
    <dataValidation type="custom" errorStyle="warning" allowBlank="1" showInputMessage="1" showErrorMessage="1" errorTitle="Date Validation" error="A date in October needs be entered  in order for this expense to be added to the Summary sheet." sqref="B56:B66">
      <formula1>MONTH($B56)=10</formula1>
    </dataValidation>
    <dataValidation type="custom" errorStyle="warning" allowBlank="1" showInputMessage="1" showErrorMessage="1" errorTitle="Date Validation" error="A date in November needs be entered  in order for this expense to be added to the Summary sheet." sqref="B72:B81">
      <formula1>MONTH($B72)=11</formula1>
    </dataValidation>
    <dataValidation type="custom" errorStyle="warning" allowBlank="1" showInputMessage="1" showErrorMessage="1" errorTitle="Date Validation" error="A date in December needs be entered  in order for this expense to be added to the Summary sheet." sqref="B87:B93">
      <formula1>MONTH($B87)=12</formula1>
    </dataValidation>
    <dataValidation type="custom" errorStyle="warning" allowBlank="1" showInputMessage="1" showErrorMessage="1" errorTitle="Date Validation" error="A date in January needs be entered in order for this expense to be added to the Summary sheet." sqref="B99:B108">
      <formula1>MONTH($B99)=1</formula1>
    </dataValidation>
    <dataValidation type="custom" errorStyle="warning" allowBlank="1" showInputMessage="1" showErrorMessage="1" errorTitle="Date Validation" error="A date in February needs be entered in order for this expense to be added to the Summary sheet." sqref="B114:B123">
      <formula1>MONTH($B114)=2</formula1>
    </dataValidation>
    <dataValidation type="custom" errorStyle="warning" allowBlank="1" showInputMessage="1" showErrorMessage="1" errorTitle="Date Validation" error="A date in March needs be entered in order for this expense to be added to the Summary sheet." sqref="B129:B136">
      <formula1>MONTH($B129)=3</formula1>
    </dataValidation>
    <dataValidation type="custom" errorStyle="warning" allowBlank="1" showInputMessage="1" showErrorMessage="1" errorTitle="Date Validation" error="A date in April needs be entered  in order for this expense to be added to the Summary sheet." sqref="B142:B154">
      <formula1>MONTH($B142)=4</formula1>
    </dataValidation>
    <dataValidation type="custom" errorStyle="warning" allowBlank="1" showInputMessage="1" showErrorMessage="1" errorTitle="Date Validation" error="A date in May needs be entered  in order for this expense to be added to the Summary sheet." sqref="B160:B168">
      <formula1>MONTH($B160)=5</formula1>
    </dataValidation>
    <dataValidation type="custom" errorStyle="warning" allowBlank="1" showInputMessage="1" showErrorMessage="1" errorTitle="Date Validation" error="A date in June needs be entered  in order for this expense to be added to the Summary sheet." sqref="B174:B181">
      <formula1>MONTH($B174)=6</formula1>
    </dataValidation>
  </dataValidations>
  <printOptions horizontalCentered="1"/>
  <pageMargins left="0.25" right="0.25" top="0.75" bottom="0.75" header="0.3" footer="0.3"/>
  <pageSetup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78"/>
  <sheetViews>
    <sheetView topLeftCell="A10" workbookViewId="0">
      <selection activeCell="I27" sqref="A1:XFD1048576"/>
    </sheetView>
  </sheetViews>
  <sheetFormatPr defaultColWidth="9.140625" defaultRowHeight="12.75"/>
  <cols>
    <col min="1" max="1" width="15.42578125" style="260" customWidth="1"/>
    <col min="2" max="2" width="14" style="260" customWidth="1"/>
    <col min="3" max="3" width="13.28515625" style="260" customWidth="1"/>
    <col min="4" max="4" width="13.5703125" style="260" customWidth="1"/>
    <col min="5" max="5" width="13.7109375" style="260" customWidth="1"/>
    <col min="6" max="6" width="14.7109375" style="260" customWidth="1"/>
    <col min="7" max="7" width="17.7109375" style="260" customWidth="1"/>
    <col min="8" max="16384" width="9.140625" style="260"/>
  </cols>
  <sheetData>
    <row r="1" spans="1:7" ht="13.5" customHeight="1">
      <c r="A1" s="278" t="s">
        <v>155</v>
      </c>
      <c r="B1" s="279" t="s">
        <v>154</v>
      </c>
      <c r="C1" s="280"/>
      <c r="D1" s="279" t="s">
        <v>153</v>
      </c>
      <c r="E1" s="280"/>
      <c r="F1" s="279" t="s">
        <v>152</v>
      </c>
      <c r="G1" s="280"/>
    </row>
    <row r="2" spans="1:7">
      <c r="A2" s="348"/>
      <c r="B2" s="349"/>
      <c r="C2" s="350"/>
      <c r="D2" s="351" t="s">
        <v>726</v>
      </c>
      <c r="E2" s="352">
        <v>4932</v>
      </c>
      <c r="F2" s="285"/>
      <c r="G2" s="353" t="b">
        <f t="shared" ref="G2:G38" si="0">IF(F2&gt;5250,"OVER")</f>
        <v>0</v>
      </c>
    </row>
    <row r="3" spans="1:7">
      <c r="A3" s="348">
        <v>7435</v>
      </c>
      <c r="B3" s="354" t="str">
        <f t="shared" ref="B3:B38" si="1">D2</f>
        <v>1.18.13</v>
      </c>
      <c r="C3" s="355">
        <v>4932</v>
      </c>
      <c r="D3" s="356" t="s">
        <v>725</v>
      </c>
      <c r="E3" s="357">
        <v>10026</v>
      </c>
      <c r="F3" s="358">
        <f t="shared" ref="F3:F38" si="2">SUM(E3-E2)</f>
        <v>5094</v>
      </c>
      <c r="G3" s="359" t="b">
        <f t="shared" si="0"/>
        <v>0</v>
      </c>
    </row>
    <row r="4" spans="1:7">
      <c r="A4" s="348">
        <v>7502</v>
      </c>
      <c r="B4" s="354" t="str">
        <f t="shared" si="1"/>
        <v>3.6.13</v>
      </c>
      <c r="C4" s="355">
        <v>10026</v>
      </c>
      <c r="D4" s="356" t="s">
        <v>724</v>
      </c>
      <c r="E4" s="357">
        <v>14967</v>
      </c>
      <c r="F4" s="358">
        <f t="shared" si="2"/>
        <v>4941</v>
      </c>
      <c r="G4" s="359" t="b">
        <f t="shared" si="0"/>
        <v>0</v>
      </c>
    </row>
    <row r="5" spans="1:7">
      <c r="A5" s="348">
        <v>7548</v>
      </c>
      <c r="B5" s="354" t="str">
        <f t="shared" si="1"/>
        <v>4.19.13</v>
      </c>
      <c r="C5" s="355">
        <v>14967</v>
      </c>
      <c r="D5" s="356" t="s">
        <v>723</v>
      </c>
      <c r="E5" s="357">
        <v>20082</v>
      </c>
      <c r="F5" s="358">
        <f t="shared" si="2"/>
        <v>5115</v>
      </c>
      <c r="G5" s="359" t="b">
        <f t="shared" si="0"/>
        <v>0</v>
      </c>
    </row>
    <row r="6" spans="1:7">
      <c r="A6" s="348">
        <v>7623</v>
      </c>
      <c r="B6" s="354" t="str">
        <f t="shared" si="1"/>
        <v>6.10.13</v>
      </c>
      <c r="C6" s="355">
        <v>20082</v>
      </c>
      <c r="D6" s="356" t="s">
        <v>722</v>
      </c>
      <c r="E6" s="357">
        <v>24993</v>
      </c>
      <c r="F6" s="358">
        <f t="shared" si="2"/>
        <v>4911</v>
      </c>
      <c r="G6" s="359" t="b">
        <f t="shared" si="0"/>
        <v>0</v>
      </c>
    </row>
    <row r="7" spans="1:7">
      <c r="A7" s="348">
        <v>7720</v>
      </c>
      <c r="B7" s="354" t="str">
        <f t="shared" si="1"/>
        <v>7.26.13</v>
      </c>
      <c r="C7" s="355">
        <v>24993</v>
      </c>
      <c r="D7" s="356" t="s">
        <v>721</v>
      </c>
      <c r="E7" s="357">
        <v>30071</v>
      </c>
      <c r="F7" s="358">
        <f t="shared" si="2"/>
        <v>5078</v>
      </c>
      <c r="G7" s="359" t="b">
        <f t="shared" si="0"/>
        <v>0</v>
      </c>
    </row>
    <row r="8" spans="1:7">
      <c r="A8" s="348">
        <v>7803</v>
      </c>
      <c r="B8" s="354" t="str">
        <f t="shared" si="1"/>
        <v>9.11.13</v>
      </c>
      <c r="C8" s="355">
        <v>30071</v>
      </c>
      <c r="D8" s="356" t="s">
        <v>720</v>
      </c>
      <c r="E8" s="357">
        <v>34960</v>
      </c>
      <c r="F8" s="358">
        <f t="shared" si="2"/>
        <v>4889</v>
      </c>
      <c r="G8" s="359" t="b">
        <f t="shared" si="0"/>
        <v>0</v>
      </c>
    </row>
    <row r="9" spans="1:7">
      <c r="A9" s="348">
        <v>7899</v>
      </c>
      <c r="B9" s="354" t="str">
        <f t="shared" si="1"/>
        <v>10.24.13</v>
      </c>
      <c r="C9" s="355">
        <v>34960</v>
      </c>
      <c r="D9" s="356" t="s">
        <v>719</v>
      </c>
      <c r="E9" s="357">
        <v>39983</v>
      </c>
      <c r="F9" s="358">
        <f t="shared" si="2"/>
        <v>5023</v>
      </c>
      <c r="G9" s="359" t="b">
        <f t="shared" si="0"/>
        <v>0</v>
      </c>
    </row>
    <row r="10" spans="1:7">
      <c r="A10" s="348">
        <v>8016</v>
      </c>
      <c r="B10" s="354" t="str">
        <f t="shared" si="1"/>
        <v>12.9.13</v>
      </c>
      <c r="C10" s="355">
        <v>39983</v>
      </c>
      <c r="D10" s="356" t="s">
        <v>718</v>
      </c>
      <c r="E10" s="357">
        <v>44926</v>
      </c>
      <c r="F10" s="358">
        <f t="shared" si="2"/>
        <v>4943</v>
      </c>
      <c r="G10" s="359" t="b">
        <f t="shared" si="0"/>
        <v>0</v>
      </c>
    </row>
    <row r="11" spans="1:7">
      <c r="A11" s="348">
        <v>8113</v>
      </c>
      <c r="B11" s="354" t="str">
        <f t="shared" si="1"/>
        <v>1.27.14</v>
      </c>
      <c r="C11" s="355">
        <v>44926</v>
      </c>
      <c r="D11" s="356" t="s">
        <v>717</v>
      </c>
      <c r="E11" s="357">
        <v>49963</v>
      </c>
      <c r="F11" s="358">
        <f t="shared" si="2"/>
        <v>5037</v>
      </c>
      <c r="G11" s="359" t="b">
        <f t="shared" si="0"/>
        <v>0</v>
      </c>
    </row>
    <row r="12" spans="1:7">
      <c r="A12" s="348">
        <v>8202</v>
      </c>
      <c r="B12" s="354" t="str">
        <f t="shared" si="1"/>
        <v>3.12.14</v>
      </c>
      <c r="C12" s="355">
        <v>49963</v>
      </c>
      <c r="D12" s="356" t="s">
        <v>716</v>
      </c>
      <c r="E12" s="357">
        <v>54998</v>
      </c>
      <c r="F12" s="358">
        <f t="shared" si="2"/>
        <v>5035</v>
      </c>
      <c r="G12" s="359" t="b">
        <f t="shared" si="0"/>
        <v>0</v>
      </c>
    </row>
    <row r="13" spans="1:7">
      <c r="A13" s="348">
        <v>8312</v>
      </c>
      <c r="B13" s="354" t="str">
        <f t="shared" si="1"/>
        <v>4.25.14</v>
      </c>
      <c r="C13" s="355">
        <v>54998</v>
      </c>
      <c r="D13" s="356" t="s">
        <v>715</v>
      </c>
      <c r="E13" s="357">
        <v>60124</v>
      </c>
      <c r="F13" s="358">
        <f t="shared" si="2"/>
        <v>5126</v>
      </c>
      <c r="G13" s="359" t="b">
        <f t="shared" si="0"/>
        <v>0</v>
      </c>
    </row>
    <row r="14" spans="1:7">
      <c r="A14" s="348">
        <v>8411</v>
      </c>
      <c r="B14" s="354" t="str">
        <f t="shared" si="1"/>
        <v>6.11.14</v>
      </c>
      <c r="C14" s="355">
        <v>60124</v>
      </c>
      <c r="D14" s="356" t="s">
        <v>714</v>
      </c>
      <c r="E14" s="357">
        <v>65035</v>
      </c>
      <c r="F14" s="358">
        <f t="shared" si="2"/>
        <v>4911</v>
      </c>
      <c r="G14" s="359" t="b">
        <f t="shared" si="0"/>
        <v>0</v>
      </c>
    </row>
    <row r="15" spans="1:7">
      <c r="A15" s="348">
        <v>8526</v>
      </c>
      <c r="B15" s="354" t="str">
        <f t="shared" si="1"/>
        <v>7.29.14</v>
      </c>
      <c r="C15" s="361">
        <v>65035</v>
      </c>
      <c r="D15" s="362" t="s">
        <v>713</v>
      </c>
      <c r="E15" s="363">
        <v>70010</v>
      </c>
      <c r="F15" s="358">
        <f t="shared" si="2"/>
        <v>4975</v>
      </c>
      <c r="G15" s="359" t="b">
        <f t="shared" si="0"/>
        <v>0</v>
      </c>
    </row>
    <row r="16" spans="1:7" ht="13.5" thickBot="1">
      <c r="A16" s="364">
        <v>8608</v>
      </c>
      <c r="B16" s="354" t="str">
        <f t="shared" si="1"/>
        <v>9.15.14</v>
      </c>
      <c r="C16" s="365">
        <v>70010</v>
      </c>
      <c r="D16" s="366" t="s">
        <v>712</v>
      </c>
      <c r="E16" s="367">
        <v>75026</v>
      </c>
      <c r="F16" s="358">
        <f t="shared" si="2"/>
        <v>5016</v>
      </c>
      <c r="G16" s="359" t="b">
        <f t="shared" si="0"/>
        <v>0</v>
      </c>
    </row>
    <row r="17" spans="1:7" ht="13.5" thickBot="1">
      <c r="A17" s="369">
        <v>8736</v>
      </c>
      <c r="B17" s="354" t="str">
        <f t="shared" si="1"/>
        <v>11.10.14</v>
      </c>
      <c r="C17" s="370">
        <v>75026</v>
      </c>
      <c r="D17" s="371" t="s">
        <v>711</v>
      </c>
      <c r="E17" s="372">
        <v>80053</v>
      </c>
      <c r="F17" s="358">
        <f t="shared" si="2"/>
        <v>5027</v>
      </c>
      <c r="G17" s="359" t="b">
        <f t="shared" si="0"/>
        <v>0</v>
      </c>
    </row>
    <row r="18" spans="1:7">
      <c r="A18" s="374">
        <v>8846</v>
      </c>
      <c r="B18" s="354" t="str">
        <f t="shared" si="1"/>
        <v>1.2.15</v>
      </c>
      <c r="C18" s="375">
        <v>80053</v>
      </c>
      <c r="D18" s="403" t="s">
        <v>710</v>
      </c>
      <c r="E18" s="377">
        <v>85068</v>
      </c>
      <c r="F18" s="358">
        <f t="shared" si="2"/>
        <v>5015</v>
      </c>
      <c r="G18" s="359" t="b">
        <f t="shared" si="0"/>
        <v>0</v>
      </c>
    </row>
    <row r="19" spans="1:7">
      <c r="A19" s="348">
        <v>8960</v>
      </c>
      <c r="B19" s="354" t="str">
        <f t="shared" si="1"/>
        <v>2.20.15</v>
      </c>
      <c r="C19" s="355">
        <v>85068</v>
      </c>
      <c r="D19" s="356" t="s">
        <v>709</v>
      </c>
      <c r="E19" s="357">
        <v>89878</v>
      </c>
      <c r="F19" s="358">
        <f t="shared" si="2"/>
        <v>4810</v>
      </c>
      <c r="G19" s="359" t="b">
        <f t="shared" si="0"/>
        <v>0</v>
      </c>
    </row>
    <row r="20" spans="1:7">
      <c r="A20" s="348">
        <v>9059</v>
      </c>
      <c r="B20" s="354" t="str">
        <f t="shared" si="1"/>
        <v>4.10.15</v>
      </c>
      <c r="C20" s="355">
        <v>89878</v>
      </c>
      <c r="D20" s="356" t="s">
        <v>708</v>
      </c>
      <c r="E20" s="357">
        <v>94873</v>
      </c>
      <c r="F20" s="358">
        <f t="shared" si="2"/>
        <v>4995</v>
      </c>
      <c r="G20" s="359" t="b">
        <f t="shared" si="0"/>
        <v>0</v>
      </c>
    </row>
    <row r="21" spans="1:7">
      <c r="A21" s="348">
        <v>9145</v>
      </c>
      <c r="B21" s="354" t="str">
        <f t="shared" si="1"/>
        <v>5.29.15</v>
      </c>
      <c r="C21" s="355">
        <v>94873</v>
      </c>
      <c r="D21" s="356" t="s">
        <v>707</v>
      </c>
      <c r="E21" s="357">
        <v>99865</v>
      </c>
      <c r="F21" s="358">
        <f t="shared" si="2"/>
        <v>4992</v>
      </c>
      <c r="G21" s="359" t="b">
        <f t="shared" si="0"/>
        <v>0</v>
      </c>
    </row>
    <row r="22" spans="1:7">
      <c r="A22" s="348">
        <v>9250</v>
      </c>
      <c r="B22" s="354" t="str">
        <f t="shared" si="1"/>
        <v>7.21.15</v>
      </c>
      <c r="C22" s="355">
        <v>99865</v>
      </c>
      <c r="D22" s="356" t="s">
        <v>706</v>
      </c>
      <c r="E22" s="357">
        <v>104869</v>
      </c>
      <c r="F22" s="358">
        <f t="shared" si="2"/>
        <v>5004</v>
      </c>
      <c r="G22" s="359" t="b">
        <f t="shared" si="0"/>
        <v>0</v>
      </c>
    </row>
    <row r="23" spans="1:7">
      <c r="A23" s="348">
        <v>9344</v>
      </c>
      <c r="B23" s="354" t="str">
        <f t="shared" si="1"/>
        <v>9.9.15</v>
      </c>
      <c r="C23" s="355">
        <v>104896</v>
      </c>
      <c r="D23" s="356" t="s">
        <v>705</v>
      </c>
      <c r="E23" s="357">
        <v>109923</v>
      </c>
      <c r="F23" s="358">
        <f t="shared" si="2"/>
        <v>5054</v>
      </c>
      <c r="G23" s="359" t="b">
        <f t="shared" si="0"/>
        <v>0</v>
      </c>
    </row>
    <row r="24" spans="1:7">
      <c r="A24" s="348">
        <v>9464</v>
      </c>
      <c r="B24" s="354" t="str">
        <f t="shared" si="1"/>
        <v>11.6.15</v>
      </c>
      <c r="C24" s="355">
        <v>109923</v>
      </c>
      <c r="D24" s="356" t="s">
        <v>704</v>
      </c>
      <c r="E24" s="357">
        <v>115167</v>
      </c>
      <c r="F24" s="358">
        <f t="shared" si="2"/>
        <v>5244</v>
      </c>
      <c r="G24" s="359" t="b">
        <f t="shared" si="0"/>
        <v>0</v>
      </c>
    </row>
    <row r="25" spans="1:7">
      <c r="A25" s="348">
        <v>9529</v>
      </c>
      <c r="B25" s="354" t="str">
        <f t="shared" si="1"/>
        <v>12.15.15</v>
      </c>
      <c r="C25" s="355">
        <v>115167</v>
      </c>
      <c r="D25" s="356" t="s">
        <v>703</v>
      </c>
      <c r="E25" s="357">
        <v>119912</v>
      </c>
      <c r="F25" s="358">
        <f t="shared" si="2"/>
        <v>4745</v>
      </c>
      <c r="G25" s="359" t="b">
        <f t="shared" si="0"/>
        <v>0</v>
      </c>
    </row>
    <row r="26" spans="1:7">
      <c r="A26" s="348">
        <v>9594</v>
      </c>
      <c r="B26" s="354" t="str">
        <f t="shared" si="1"/>
        <v>1.16.16</v>
      </c>
      <c r="C26" s="355">
        <v>119912</v>
      </c>
      <c r="D26" s="356" t="s">
        <v>702</v>
      </c>
      <c r="E26" s="357">
        <v>124753</v>
      </c>
      <c r="F26" s="358">
        <f t="shared" si="2"/>
        <v>4841</v>
      </c>
      <c r="G26" s="359" t="b">
        <f t="shared" si="0"/>
        <v>0</v>
      </c>
    </row>
    <row r="27" spans="1:7">
      <c r="A27" s="348">
        <v>9662</v>
      </c>
      <c r="B27" s="354" t="str">
        <f t="shared" si="1"/>
        <v>2.18.16</v>
      </c>
      <c r="C27" s="355">
        <v>124753</v>
      </c>
      <c r="D27" s="356" t="s">
        <v>701</v>
      </c>
      <c r="E27" s="357">
        <v>129771</v>
      </c>
      <c r="F27" s="358">
        <f t="shared" si="2"/>
        <v>5018</v>
      </c>
      <c r="G27" s="359" t="b">
        <f t="shared" si="0"/>
        <v>0</v>
      </c>
    </row>
    <row r="28" spans="1:7">
      <c r="A28" s="348">
        <v>9716</v>
      </c>
      <c r="B28" s="354" t="str">
        <f t="shared" si="1"/>
        <v>3.22.16</v>
      </c>
      <c r="C28" s="355">
        <v>129771</v>
      </c>
      <c r="D28" s="356" t="s">
        <v>700</v>
      </c>
      <c r="E28" s="357">
        <v>134922</v>
      </c>
      <c r="F28" s="358">
        <f t="shared" si="2"/>
        <v>5151</v>
      </c>
      <c r="G28" s="359" t="b">
        <f t="shared" si="0"/>
        <v>0</v>
      </c>
    </row>
    <row r="29" spans="1:7">
      <c r="A29" s="348">
        <v>9779</v>
      </c>
      <c r="B29" s="354" t="str">
        <f t="shared" si="1"/>
        <v>4.27.16</v>
      </c>
      <c r="C29" s="355">
        <v>134922</v>
      </c>
      <c r="D29" s="356" t="s">
        <v>699</v>
      </c>
      <c r="E29" s="357">
        <v>140100</v>
      </c>
      <c r="F29" s="358">
        <f t="shared" si="2"/>
        <v>5178</v>
      </c>
      <c r="G29" s="359" t="b">
        <f t="shared" si="0"/>
        <v>0</v>
      </c>
    </row>
    <row r="30" spans="1:7">
      <c r="A30" s="348">
        <v>9832</v>
      </c>
      <c r="B30" s="354" t="str">
        <f t="shared" si="1"/>
        <v>5.28.16</v>
      </c>
      <c r="C30" s="355">
        <v>140100</v>
      </c>
      <c r="D30" s="356" t="s">
        <v>698</v>
      </c>
      <c r="E30" s="357">
        <v>145117</v>
      </c>
      <c r="F30" s="358">
        <f t="shared" si="2"/>
        <v>5017</v>
      </c>
      <c r="G30" s="359" t="b">
        <f t="shared" si="0"/>
        <v>0</v>
      </c>
    </row>
    <row r="31" spans="1:7">
      <c r="A31" s="348">
        <v>9885</v>
      </c>
      <c r="B31" s="354" t="str">
        <f t="shared" si="1"/>
        <v>6.29.16</v>
      </c>
      <c r="C31" s="355">
        <v>145117</v>
      </c>
      <c r="D31" s="356" t="s">
        <v>697</v>
      </c>
      <c r="E31" s="357">
        <v>150023</v>
      </c>
      <c r="F31" s="358">
        <f t="shared" si="2"/>
        <v>4906</v>
      </c>
      <c r="G31" s="359" t="b">
        <f t="shared" si="0"/>
        <v>0</v>
      </c>
    </row>
    <row r="32" spans="1:7">
      <c r="A32" s="348">
        <v>9994</v>
      </c>
      <c r="B32" s="354" t="str">
        <f t="shared" si="1"/>
        <v>8.30.16</v>
      </c>
      <c r="C32" s="355">
        <v>150023</v>
      </c>
      <c r="D32" s="356" t="s">
        <v>696</v>
      </c>
      <c r="E32" s="357">
        <v>154950</v>
      </c>
      <c r="F32" s="358">
        <f t="shared" si="2"/>
        <v>4927</v>
      </c>
      <c r="G32" s="359" t="b">
        <f t="shared" si="0"/>
        <v>0</v>
      </c>
    </row>
    <row r="33" spans="1:7">
      <c r="A33" s="348">
        <v>10090</v>
      </c>
      <c r="B33" s="354" t="str">
        <f t="shared" si="1"/>
        <v>10.11.16</v>
      </c>
      <c r="C33" s="355">
        <v>154950</v>
      </c>
      <c r="D33" s="356" t="s">
        <v>695</v>
      </c>
      <c r="E33" s="357">
        <v>159938</v>
      </c>
      <c r="F33" s="358">
        <f t="shared" si="2"/>
        <v>4988</v>
      </c>
      <c r="G33" s="359" t="b">
        <f t="shared" si="0"/>
        <v>0</v>
      </c>
    </row>
    <row r="34" spans="1:7">
      <c r="A34" s="348">
        <v>10156</v>
      </c>
      <c r="B34" s="354" t="str">
        <f t="shared" si="1"/>
        <v>11.19.16</v>
      </c>
      <c r="C34" s="355">
        <v>159938</v>
      </c>
      <c r="D34" s="356" t="s">
        <v>694</v>
      </c>
      <c r="E34" s="357">
        <v>164950</v>
      </c>
      <c r="F34" s="358">
        <f t="shared" si="2"/>
        <v>5012</v>
      </c>
      <c r="G34" s="359" t="b">
        <f t="shared" si="0"/>
        <v>0</v>
      </c>
    </row>
    <row r="35" spans="1:7">
      <c r="A35" s="348">
        <v>10221</v>
      </c>
      <c r="B35" s="354" t="str">
        <f t="shared" si="1"/>
        <v>1.3.17</v>
      </c>
      <c r="C35" s="355">
        <v>164950</v>
      </c>
      <c r="D35" s="356" t="s">
        <v>693</v>
      </c>
      <c r="E35" s="357">
        <v>169933</v>
      </c>
      <c r="F35" s="358">
        <f t="shared" si="2"/>
        <v>4983</v>
      </c>
      <c r="G35" s="359" t="b">
        <f t="shared" si="0"/>
        <v>0</v>
      </c>
    </row>
    <row r="36" spans="1:7">
      <c r="A36" s="348">
        <v>10301</v>
      </c>
      <c r="B36" s="354" t="str">
        <f t="shared" si="1"/>
        <v>2.16.17</v>
      </c>
      <c r="C36" s="355">
        <v>169933</v>
      </c>
      <c r="D36" s="356" t="s">
        <v>692</v>
      </c>
      <c r="E36" s="357">
        <v>174999</v>
      </c>
      <c r="F36" s="358">
        <f t="shared" si="2"/>
        <v>5066</v>
      </c>
      <c r="G36" s="359" t="b">
        <f t="shared" si="0"/>
        <v>0</v>
      </c>
    </row>
    <row r="37" spans="1:7">
      <c r="A37" s="348">
        <v>10401</v>
      </c>
      <c r="B37" s="354" t="str">
        <f t="shared" si="1"/>
        <v>4.5.17</v>
      </c>
      <c r="C37" s="355">
        <v>174999</v>
      </c>
      <c r="D37" s="356" t="s">
        <v>691</v>
      </c>
      <c r="E37" s="357">
        <v>179910</v>
      </c>
      <c r="F37" s="358">
        <f t="shared" si="2"/>
        <v>4911</v>
      </c>
      <c r="G37" s="359" t="b">
        <f t="shared" si="0"/>
        <v>0</v>
      </c>
    </row>
    <row r="38" spans="1:7">
      <c r="A38" s="348">
        <v>10483</v>
      </c>
      <c r="B38" s="354" t="str">
        <f t="shared" si="1"/>
        <v>5.16.17</v>
      </c>
      <c r="C38" s="355">
        <v>179910</v>
      </c>
      <c r="D38" s="356"/>
      <c r="E38" s="357"/>
      <c r="F38" s="358">
        <f t="shared" si="2"/>
        <v>-179910</v>
      </c>
      <c r="G38" s="359" t="b">
        <f t="shared" si="0"/>
        <v>0</v>
      </c>
    </row>
    <row r="40" spans="1:7" ht="13.5" thickBot="1">
      <c r="A40" s="504" t="s">
        <v>494</v>
      </c>
    </row>
    <row r="41" spans="1:7">
      <c r="A41" s="278" t="s">
        <v>155</v>
      </c>
      <c r="B41" s="279" t="s">
        <v>154</v>
      </c>
      <c r="C41" s="280"/>
      <c r="D41" s="279" t="s">
        <v>153</v>
      </c>
      <c r="E41" s="280"/>
      <c r="F41" s="279" t="s">
        <v>152</v>
      </c>
      <c r="G41" s="280"/>
    </row>
    <row r="42" spans="1:7">
      <c r="A42" s="348"/>
      <c r="B42" s="349"/>
      <c r="C42" s="350"/>
      <c r="D42" s="351"/>
      <c r="E42" s="352">
        <v>174999</v>
      </c>
      <c r="F42" s="285"/>
      <c r="G42" s="353" t="b">
        <f t="shared" ref="G42:G78" si="3">IF(F42&gt;5250,"OVER")</f>
        <v>0</v>
      </c>
    </row>
    <row r="43" spans="1:7">
      <c r="A43" s="348"/>
      <c r="B43" s="354">
        <f t="shared" ref="B43:B78" si="4">D42</f>
        <v>0</v>
      </c>
      <c r="C43" s="355">
        <v>174999</v>
      </c>
      <c r="D43" s="356" t="s">
        <v>691</v>
      </c>
      <c r="E43" s="357">
        <v>179910</v>
      </c>
      <c r="F43" s="358">
        <f t="shared" ref="F43:F78" si="5">SUM(E43-E42)</f>
        <v>4911</v>
      </c>
      <c r="G43" s="359" t="b">
        <f t="shared" si="3"/>
        <v>0</v>
      </c>
    </row>
    <row r="44" spans="1:7">
      <c r="A44" s="348">
        <v>10483</v>
      </c>
      <c r="B44" s="354" t="str">
        <f t="shared" si="4"/>
        <v>5.16.17</v>
      </c>
      <c r="C44" s="355">
        <v>179910</v>
      </c>
      <c r="D44" s="356" t="s">
        <v>727</v>
      </c>
      <c r="E44" s="357">
        <v>184985</v>
      </c>
      <c r="F44" s="358">
        <f t="shared" si="5"/>
        <v>5075</v>
      </c>
      <c r="G44" s="359" t="b">
        <f t="shared" si="3"/>
        <v>0</v>
      </c>
    </row>
    <row r="45" spans="1:7">
      <c r="A45" s="348">
        <v>10648</v>
      </c>
      <c r="B45" s="354" t="str">
        <f t="shared" si="4"/>
        <v>7.20.17</v>
      </c>
      <c r="C45" s="355">
        <v>184985</v>
      </c>
      <c r="D45" s="356" t="s">
        <v>728</v>
      </c>
      <c r="E45" s="357">
        <v>190019</v>
      </c>
      <c r="F45" s="358">
        <f t="shared" si="5"/>
        <v>5034</v>
      </c>
      <c r="G45" s="359" t="b">
        <f t="shared" si="3"/>
        <v>0</v>
      </c>
    </row>
    <row r="46" spans="1:7">
      <c r="A46" s="348">
        <v>10767</v>
      </c>
      <c r="B46" s="354" t="str">
        <f t="shared" si="4"/>
        <v>9.2.17</v>
      </c>
      <c r="C46" s="355">
        <v>190019</v>
      </c>
      <c r="D46" s="356" t="s">
        <v>1764</v>
      </c>
      <c r="E46" s="357">
        <v>194880</v>
      </c>
      <c r="F46" s="358">
        <f t="shared" si="5"/>
        <v>4861</v>
      </c>
      <c r="G46" s="359" t="b">
        <f t="shared" si="3"/>
        <v>0</v>
      </c>
    </row>
    <row r="47" spans="1:7">
      <c r="A47" s="348">
        <v>10882</v>
      </c>
      <c r="B47" s="354" t="str">
        <f t="shared" si="4"/>
        <v>10.20.17</v>
      </c>
      <c r="C47" s="355">
        <v>194880</v>
      </c>
      <c r="D47" s="356"/>
      <c r="E47" s="357"/>
      <c r="F47" s="358">
        <f t="shared" si="5"/>
        <v>-194880</v>
      </c>
      <c r="G47" s="359" t="b">
        <f t="shared" si="3"/>
        <v>0</v>
      </c>
    </row>
    <row r="48" spans="1:7">
      <c r="A48" s="348"/>
      <c r="B48" s="354">
        <f t="shared" si="4"/>
        <v>0</v>
      </c>
      <c r="C48" s="355"/>
      <c r="D48" s="356"/>
      <c r="E48" s="357"/>
      <c r="F48" s="358">
        <f t="shared" si="5"/>
        <v>0</v>
      </c>
      <c r="G48" s="359" t="b">
        <f t="shared" si="3"/>
        <v>0</v>
      </c>
    </row>
    <row r="49" spans="1:7">
      <c r="A49" s="348"/>
      <c r="B49" s="354">
        <f t="shared" si="4"/>
        <v>0</v>
      </c>
      <c r="C49" s="355"/>
      <c r="D49" s="356"/>
      <c r="E49" s="357"/>
      <c r="F49" s="358">
        <f t="shared" si="5"/>
        <v>0</v>
      </c>
      <c r="G49" s="359" t="b">
        <f t="shared" si="3"/>
        <v>0</v>
      </c>
    </row>
    <row r="50" spans="1:7">
      <c r="A50" s="348"/>
      <c r="B50" s="354">
        <f t="shared" si="4"/>
        <v>0</v>
      </c>
      <c r="C50" s="355"/>
      <c r="D50" s="356"/>
      <c r="E50" s="357"/>
      <c r="F50" s="358">
        <f t="shared" si="5"/>
        <v>0</v>
      </c>
      <c r="G50" s="359" t="b">
        <f t="shared" si="3"/>
        <v>0</v>
      </c>
    </row>
    <row r="51" spans="1:7">
      <c r="A51" s="348"/>
      <c r="B51" s="354">
        <f t="shared" si="4"/>
        <v>0</v>
      </c>
      <c r="C51" s="355"/>
      <c r="D51" s="356"/>
      <c r="E51" s="357"/>
      <c r="F51" s="358">
        <f t="shared" si="5"/>
        <v>0</v>
      </c>
      <c r="G51" s="359" t="b">
        <f t="shared" si="3"/>
        <v>0</v>
      </c>
    </row>
    <row r="52" spans="1:7">
      <c r="A52" s="348"/>
      <c r="B52" s="354">
        <f t="shared" si="4"/>
        <v>0</v>
      </c>
      <c r="C52" s="355"/>
      <c r="D52" s="356"/>
      <c r="E52" s="357"/>
      <c r="F52" s="358">
        <f t="shared" si="5"/>
        <v>0</v>
      </c>
      <c r="G52" s="359" t="b">
        <f t="shared" si="3"/>
        <v>0</v>
      </c>
    </row>
    <row r="53" spans="1:7">
      <c r="A53" s="348"/>
      <c r="B53" s="354">
        <f t="shared" si="4"/>
        <v>0</v>
      </c>
      <c r="C53" s="355"/>
      <c r="D53" s="356"/>
      <c r="E53" s="357"/>
      <c r="F53" s="358">
        <f t="shared" si="5"/>
        <v>0</v>
      </c>
      <c r="G53" s="359" t="b">
        <f t="shared" si="3"/>
        <v>0</v>
      </c>
    </row>
    <row r="54" spans="1:7">
      <c r="A54" s="348"/>
      <c r="B54" s="354">
        <f t="shared" si="4"/>
        <v>0</v>
      </c>
      <c r="C54" s="355"/>
      <c r="D54" s="356"/>
      <c r="E54" s="357"/>
      <c r="F54" s="358">
        <f t="shared" si="5"/>
        <v>0</v>
      </c>
      <c r="G54" s="359" t="b">
        <f t="shared" si="3"/>
        <v>0</v>
      </c>
    </row>
    <row r="55" spans="1:7">
      <c r="A55" s="348"/>
      <c r="B55" s="354">
        <f t="shared" si="4"/>
        <v>0</v>
      </c>
      <c r="C55" s="361"/>
      <c r="D55" s="362"/>
      <c r="E55" s="363"/>
      <c r="F55" s="358">
        <f t="shared" si="5"/>
        <v>0</v>
      </c>
      <c r="G55" s="359" t="b">
        <f t="shared" si="3"/>
        <v>0</v>
      </c>
    </row>
    <row r="56" spans="1:7" ht="13.5" thickBot="1">
      <c r="A56" s="364"/>
      <c r="B56" s="354">
        <f t="shared" si="4"/>
        <v>0</v>
      </c>
      <c r="C56" s="365"/>
      <c r="D56" s="366"/>
      <c r="E56" s="367"/>
      <c r="F56" s="358">
        <f t="shared" si="5"/>
        <v>0</v>
      </c>
      <c r="G56" s="359" t="b">
        <f t="shared" si="3"/>
        <v>0</v>
      </c>
    </row>
    <row r="57" spans="1:7" ht="13.5" thickBot="1">
      <c r="A57" s="369"/>
      <c r="B57" s="354">
        <f t="shared" si="4"/>
        <v>0</v>
      </c>
      <c r="C57" s="370"/>
      <c r="D57" s="371"/>
      <c r="E57" s="372"/>
      <c r="F57" s="358">
        <f t="shared" si="5"/>
        <v>0</v>
      </c>
      <c r="G57" s="359" t="b">
        <f t="shared" si="3"/>
        <v>0</v>
      </c>
    </row>
    <row r="58" spans="1:7">
      <c r="A58" s="374"/>
      <c r="B58" s="354">
        <f t="shared" si="4"/>
        <v>0</v>
      </c>
      <c r="C58" s="375"/>
      <c r="D58" s="403"/>
      <c r="E58" s="377"/>
      <c r="F58" s="358">
        <f t="shared" si="5"/>
        <v>0</v>
      </c>
      <c r="G58" s="359" t="b">
        <f t="shared" si="3"/>
        <v>0</v>
      </c>
    </row>
    <row r="59" spans="1:7">
      <c r="A59" s="348"/>
      <c r="B59" s="354">
        <f t="shared" si="4"/>
        <v>0</v>
      </c>
      <c r="C59" s="355"/>
      <c r="D59" s="356"/>
      <c r="E59" s="357"/>
      <c r="F59" s="358">
        <f t="shared" si="5"/>
        <v>0</v>
      </c>
      <c r="G59" s="359" t="b">
        <f t="shared" si="3"/>
        <v>0</v>
      </c>
    </row>
    <row r="60" spans="1:7">
      <c r="A60" s="348"/>
      <c r="B60" s="354">
        <f t="shared" si="4"/>
        <v>0</v>
      </c>
      <c r="C60" s="355"/>
      <c r="D60" s="356"/>
      <c r="E60" s="357"/>
      <c r="F60" s="358">
        <f t="shared" si="5"/>
        <v>0</v>
      </c>
      <c r="G60" s="359" t="b">
        <f t="shared" si="3"/>
        <v>0</v>
      </c>
    </row>
    <row r="61" spans="1:7">
      <c r="A61" s="348"/>
      <c r="B61" s="354">
        <f t="shared" si="4"/>
        <v>0</v>
      </c>
      <c r="C61" s="355"/>
      <c r="D61" s="356"/>
      <c r="E61" s="357"/>
      <c r="F61" s="358">
        <f t="shared" si="5"/>
        <v>0</v>
      </c>
      <c r="G61" s="359" t="b">
        <f t="shared" si="3"/>
        <v>0</v>
      </c>
    </row>
    <row r="62" spans="1:7">
      <c r="A62" s="348"/>
      <c r="B62" s="354">
        <f t="shared" si="4"/>
        <v>0</v>
      </c>
      <c r="C62" s="355"/>
      <c r="D62" s="356"/>
      <c r="E62" s="357"/>
      <c r="F62" s="358">
        <f t="shared" si="5"/>
        <v>0</v>
      </c>
      <c r="G62" s="359" t="b">
        <f t="shared" si="3"/>
        <v>0</v>
      </c>
    </row>
    <row r="63" spans="1:7">
      <c r="A63" s="348"/>
      <c r="B63" s="354">
        <f t="shared" si="4"/>
        <v>0</v>
      </c>
      <c r="C63" s="355"/>
      <c r="D63" s="356"/>
      <c r="E63" s="357"/>
      <c r="F63" s="358">
        <f t="shared" si="5"/>
        <v>0</v>
      </c>
      <c r="G63" s="359" t="b">
        <f t="shared" si="3"/>
        <v>0</v>
      </c>
    </row>
    <row r="64" spans="1:7">
      <c r="A64" s="348"/>
      <c r="B64" s="354">
        <f t="shared" si="4"/>
        <v>0</v>
      </c>
      <c r="C64" s="355"/>
      <c r="D64" s="356"/>
      <c r="E64" s="357"/>
      <c r="F64" s="358">
        <f t="shared" si="5"/>
        <v>0</v>
      </c>
      <c r="G64" s="359" t="b">
        <f t="shared" si="3"/>
        <v>0</v>
      </c>
    </row>
    <row r="65" spans="1:7">
      <c r="A65" s="348"/>
      <c r="B65" s="354">
        <f t="shared" si="4"/>
        <v>0</v>
      </c>
      <c r="C65" s="355"/>
      <c r="D65" s="356"/>
      <c r="E65" s="357"/>
      <c r="F65" s="358">
        <f t="shared" si="5"/>
        <v>0</v>
      </c>
      <c r="G65" s="359" t="b">
        <f t="shared" si="3"/>
        <v>0</v>
      </c>
    </row>
    <row r="66" spans="1:7">
      <c r="A66" s="348"/>
      <c r="B66" s="354">
        <f t="shared" si="4"/>
        <v>0</v>
      </c>
      <c r="C66" s="355"/>
      <c r="D66" s="356"/>
      <c r="E66" s="357"/>
      <c r="F66" s="358">
        <f t="shared" si="5"/>
        <v>0</v>
      </c>
      <c r="G66" s="359" t="b">
        <f t="shared" si="3"/>
        <v>0</v>
      </c>
    </row>
    <row r="67" spans="1:7">
      <c r="A67" s="348"/>
      <c r="B67" s="354">
        <f t="shared" si="4"/>
        <v>0</v>
      </c>
      <c r="C67" s="355"/>
      <c r="D67" s="356"/>
      <c r="E67" s="357"/>
      <c r="F67" s="358">
        <f t="shared" si="5"/>
        <v>0</v>
      </c>
      <c r="G67" s="359" t="b">
        <f t="shared" si="3"/>
        <v>0</v>
      </c>
    </row>
    <row r="68" spans="1:7">
      <c r="A68" s="348"/>
      <c r="B68" s="354">
        <f t="shared" si="4"/>
        <v>0</v>
      </c>
      <c r="C68" s="355"/>
      <c r="D68" s="356"/>
      <c r="E68" s="357"/>
      <c r="F68" s="358">
        <f t="shared" si="5"/>
        <v>0</v>
      </c>
      <c r="G68" s="359" t="b">
        <f t="shared" si="3"/>
        <v>0</v>
      </c>
    </row>
    <row r="69" spans="1:7">
      <c r="A69" s="348"/>
      <c r="B69" s="354">
        <f t="shared" si="4"/>
        <v>0</v>
      </c>
      <c r="C69" s="355"/>
      <c r="D69" s="356"/>
      <c r="E69" s="357"/>
      <c r="F69" s="358">
        <f t="shared" si="5"/>
        <v>0</v>
      </c>
      <c r="G69" s="359" t="b">
        <f t="shared" si="3"/>
        <v>0</v>
      </c>
    </row>
    <row r="70" spans="1:7">
      <c r="A70" s="348"/>
      <c r="B70" s="354">
        <f t="shared" si="4"/>
        <v>0</v>
      </c>
      <c r="C70" s="355"/>
      <c r="D70" s="356"/>
      <c r="E70" s="357"/>
      <c r="F70" s="358">
        <f t="shared" si="5"/>
        <v>0</v>
      </c>
      <c r="G70" s="359" t="b">
        <f t="shared" si="3"/>
        <v>0</v>
      </c>
    </row>
    <row r="71" spans="1:7">
      <c r="A71" s="348"/>
      <c r="B71" s="354">
        <f t="shared" si="4"/>
        <v>0</v>
      </c>
      <c r="C71" s="355"/>
      <c r="D71" s="356"/>
      <c r="E71" s="357"/>
      <c r="F71" s="358">
        <f t="shared" si="5"/>
        <v>0</v>
      </c>
      <c r="G71" s="359" t="b">
        <f t="shared" si="3"/>
        <v>0</v>
      </c>
    </row>
    <row r="72" spans="1:7">
      <c r="A72" s="348"/>
      <c r="B72" s="354">
        <f t="shared" si="4"/>
        <v>0</v>
      </c>
      <c r="C72" s="355"/>
      <c r="D72" s="356"/>
      <c r="E72" s="357"/>
      <c r="F72" s="358">
        <f t="shared" si="5"/>
        <v>0</v>
      </c>
      <c r="G72" s="359" t="b">
        <f t="shared" si="3"/>
        <v>0</v>
      </c>
    </row>
    <row r="73" spans="1:7">
      <c r="A73" s="348"/>
      <c r="B73" s="354">
        <f t="shared" si="4"/>
        <v>0</v>
      </c>
      <c r="C73" s="355"/>
      <c r="D73" s="356"/>
      <c r="E73" s="357"/>
      <c r="F73" s="358">
        <f t="shared" si="5"/>
        <v>0</v>
      </c>
      <c r="G73" s="359" t="b">
        <f t="shared" si="3"/>
        <v>0</v>
      </c>
    </row>
    <row r="74" spans="1:7">
      <c r="A74" s="348"/>
      <c r="B74" s="354">
        <f t="shared" si="4"/>
        <v>0</v>
      </c>
      <c r="C74" s="355"/>
      <c r="D74" s="356"/>
      <c r="E74" s="357"/>
      <c r="F74" s="358">
        <f t="shared" si="5"/>
        <v>0</v>
      </c>
      <c r="G74" s="359" t="b">
        <f t="shared" si="3"/>
        <v>0</v>
      </c>
    </row>
    <row r="75" spans="1:7">
      <c r="A75" s="348"/>
      <c r="B75" s="354">
        <f t="shared" si="4"/>
        <v>0</v>
      </c>
      <c r="C75" s="355"/>
      <c r="D75" s="356"/>
      <c r="E75" s="357"/>
      <c r="F75" s="358">
        <f t="shared" si="5"/>
        <v>0</v>
      </c>
      <c r="G75" s="359" t="b">
        <f t="shared" si="3"/>
        <v>0</v>
      </c>
    </row>
    <row r="76" spans="1:7">
      <c r="A76" s="348"/>
      <c r="B76" s="354">
        <f t="shared" si="4"/>
        <v>0</v>
      </c>
      <c r="C76" s="355"/>
      <c r="D76" s="356"/>
      <c r="E76" s="357"/>
      <c r="F76" s="358">
        <f t="shared" si="5"/>
        <v>0</v>
      </c>
      <c r="G76" s="359" t="b">
        <f t="shared" si="3"/>
        <v>0</v>
      </c>
    </row>
    <row r="77" spans="1:7">
      <c r="A77" s="348"/>
      <c r="B77" s="354">
        <f t="shared" si="4"/>
        <v>0</v>
      </c>
      <c r="C77" s="355"/>
      <c r="D77" s="356"/>
      <c r="E77" s="357"/>
      <c r="F77" s="358">
        <f t="shared" si="5"/>
        <v>0</v>
      </c>
      <c r="G77" s="359" t="b">
        <f t="shared" si="3"/>
        <v>0</v>
      </c>
    </row>
    <row r="78" spans="1:7">
      <c r="A78" s="348"/>
      <c r="B78" s="354">
        <f t="shared" si="4"/>
        <v>0</v>
      </c>
      <c r="C78" s="355"/>
      <c r="D78" s="356"/>
      <c r="E78" s="357"/>
      <c r="F78" s="358">
        <f t="shared" si="5"/>
        <v>0</v>
      </c>
      <c r="G78" s="359" t="b">
        <f t="shared" si="3"/>
        <v>0</v>
      </c>
    </row>
  </sheetData>
  <mergeCells count="6">
    <mergeCell ref="B1:C1"/>
    <mergeCell ref="D1:E1"/>
    <mergeCell ref="F1:G1"/>
    <mergeCell ref="B41:C41"/>
    <mergeCell ref="D41:E41"/>
    <mergeCell ref="F41:G4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2"/>
  <sheetViews>
    <sheetView showGridLines="0" topLeftCell="B1" zoomScaleNormal="100" workbookViewId="0">
      <selection activeCell="B16" sqref="B16"/>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ht="16.5" customHeight="1">
      <c r="B1" s="19"/>
      <c r="C1" s="19"/>
      <c r="D1" s="19"/>
      <c r="E1" s="19"/>
      <c r="F1" s="19"/>
      <c r="G1" s="19"/>
      <c r="H1" s="19"/>
      <c r="I1" s="19"/>
      <c r="J1" s="19"/>
      <c r="K1" s="19"/>
      <c r="L1" s="19"/>
      <c r="M1" s="19"/>
      <c r="N1" s="19"/>
      <c r="O1" s="19"/>
      <c r="P1" s="19"/>
    </row>
    <row r="2" spans="2:22" ht="31.5" customHeight="1">
      <c r="B2" s="98" t="s">
        <v>1768</v>
      </c>
      <c r="C2" s="19"/>
      <c r="D2" s="19"/>
      <c r="E2" s="19"/>
      <c r="F2" s="19"/>
      <c r="G2" s="19"/>
      <c r="H2" s="19"/>
      <c r="I2" s="19"/>
      <c r="J2" s="19"/>
      <c r="K2" s="19"/>
      <c r="L2" s="19"/>
      <c r="M2" s="19"/>
      <c r="N2" s="19"/>
      <c r="O2" s="19"/>
      <c r="P2" s="19"/>
    </row>
    <row r="3" spans="2:22" ht="16.5" customHeight="1">
      <c r="B3" s="19"/>
      <c r="C3" s="19"/>
      <c r="D3" s="19"/>
      <c r="E3" s="19"/>
      <c r="F3" s="19"/>
      <c r="G3" s="19"/>
      <c r="H3" s="19"/>
      <c r="I3" s="19"/>
      <c r="J3" s="19"/>
      <c r="K3" s="19"/>
      <c r="L3" s="19"/>
      <c r="M3" s="19"/>
      <c r="N3" s="19"/>
      <c r="O3" s="19"/>
      <c r="P3" s="19"/>
    </row>
    <row r="12" spans="2:22" ht="16.5" customHeight="1">
      <c r="V12" s="1" t="s">
        <v>32</v>
      </c>
    </row>
    <row r="18" spans="2:16"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ht="16.5" customHeight="1">
      <c r="B19" s="101" t="s">
        <v>17</v>
      </c>
      <c r="C19" s="8"/>
      <c r="D19" s="8"/>
      <c r="E19" s="8"/>
      <c r="F19" s="8"/>
      <c r="G19" s="8"/>
      <c r="H19" s="8"/>
      <c r="I19" s="8">
        <v>290.64999999999998</v>
      </c>
      <c r="J19" s="8"/>
      <c r="K19" s="8">
        <v>496.29</v>
      </c>
      <c r="L19" s="8"/>
      <c r="M19" s="9"/>
      <c r="N19" s="8"/>
      <c r="O19" s="4">
        <f t="shared" ref="O19:O38" si="0">SUM(C19:N19)</f>
        <v>786.94</v>
      </c>
      <c r="P19" s="102"/>
    </row>
    <row r="20" spans="2:16" ht="16.5" customHeight="1">
      <c r="B20" s="101" t="s">
        <v>16</v>
      </c>
      <c r="C20" s="8"/>
      <c r="D20" s="8"/>
      <c r="E20" s="8"/>
      <c r="F20" s="8"/>
      <c r="G20" s="8"/>
      <c r="H20" s="8"/>
      <c r="I20" s="8"/>
      <c r="J20" s="8"/>
      <c r="K20" s="8"/>
      <c r="L20" s="8"/>
      <c r="M20" s="9"/>
      <c r="N20" s="8"/>
      <c r="O20" s="4">
        <f t="shared" si="0"/>
        <v>0</v>
      </c>
      <c r="P20" s="102"/>
    </row>
    <row r="21" spans="2:16" ht="16.5" customHeight="1">
      <c r="B21" s="101" t="s">
        <v>15</v>
      </c>
      <c r="C21" s="8"/>
      <c r="D21" s="8"/>
      <c r="E21" s="8"/>
      <c r="F21" s="8"/>
      <c r="G21" s="8"/>
      <c r="H21" s="8"/>
      <c r="I21" s="8"/>
      <c r="J21" s="8"/>
      <c r="K21" s="8"/>
      <c r="L21" s="8"/>
      <c r="M21" s="9"/>
      <c r="N21" s="8"/>
      <c r="O21" s="4">
        <f t="shared" si="0"/>
        <v>0</v>
      </c>
      <c r="P21" s="102"/>
    </row>
    <row r="22" spans="2:16" ht="16.5" customHeight="1">
      <c r="B22" s="101" t="s">
        <v>14</v>
      </c>
      <c r="C22" s="8"/>
      <c r="D22" s="8"/>
      <c r="E22" s="8"/>
      <c r="F22" s="8"/>
      <c r="G22" s="8"/>
      <c r="H22" s="8"/>
      <c r="I22" s="8"/>
      <c r="J22" s="8"/>
      <c r="K22" s="8"/>
      <c r="L22" s="8"/>
      <c r="M22" s="9"/>
      <c r="N22" s="8"/>
      <c r="O22" s="4">
        <f t="shared" si="0"/>
        <v>0</v>
      </c>
      <c r="P22" s="102"/>
    </row>
    <row r="23" spans="2:16" ht="16.5" customHeight="1">
      <c r="B23" s="101" t="s">
        <v>13</v>
      </c>
      <c r="C23" s="8"/>
      <c r="D23" s="8"/>
      <c r="E23" s="8"/>
      <c r="F23" s="8"/>
      <c r="G23" s="8"/>
      <c r="H23" s="8"/>
      <c r="I23" s="8"/>
      <c r="J23" s="8"/>
      <c r="K23" s="8"/>
      <c r="L23" s="8"/>
      <c r="M23" s="9"/>
      <c r="N23" s="8"/>
      <c r="O23" s="4">
        <f t="shared" si="0"/>
        <v>0</v>
      </c>
      <c r="P23" s="102"/>
    </row>
    <row r="24" spans="2:16" ht="16.5" customHeight="1">
      <c r="B24" s="103" t="s">
        <v>12</v>
      </c>
      <c r="C24" s="17"/>
      <c r="D24" s="17"/>
      <c r="E24" s="17"/>
      <c r="F24" s="17"/>
      <c r="G24" s="17"/>
      <c r="H24" s="17"/>
      <c r="I24" s="17"/>
      <c r="J24" s="17"/>
      <c r="K24" s="17"/>
      <c r="L24" s="17"/>
      <c r="M24" s="18"/>
      <c r="N24" s="17"/>
      <c r="O24" s="4">
        <f t="shared" si="0"/>
        <v>0</v>
      </c>
      <c r="P24" s="102"/>
    </row>
    <row r="25" spans="2:16" ht="16.5" customHeight="1">
      <c r="B25" s="103" t="s">
        <v>11</v>
      </c>
      <c r="C25" s="17"/>
      <c r="D25" s="17"/>
      <c r="E25" s="17"/>
      <c r="F25" s="17"/>
      <c r="G25" s="17"/>
      <c r="H25" s="17"/>
      <c r="I25" s="17"/>
      <c r="J25" s="17"/>
      <c r="K25" s="17"/>
      <c r="L25" s="17"/>
      <c r="M25" s="18"/>
      <c r="N25" s="17"/>
      <c r="O25" s="4">
        <f t="shared" si="0"/>
        <v>0</v>
      </c>
      <c r="P25" s="102"/>
    </row>
    <row r="26" spans="2:16" ht="16.5" customHeight="1">
      <c r="B26" s="103" t="s">
        <v>10</v>
      </c>
      <c r="C26" s="17"/>
      <c r="D26" s="17"/>
      <c r="E26" s="17"/>
      <c r="F26" s="17"/>
      <c r="G26" s="17"/>
      <c r="H26" s="17"/>
      <c r="I26" s="17"/>
      <c r="J26" s="17"/>
      <c r="K26" s="17"/>
      <c r="L26" s="17"/>
      <c r="M26" s="18"/>
      <c r="N26" s="17"/>
      <c r="O26" s="4">
        <f t="shared" si="0"/>
        <v>0</v>
      </c>
      <c r="P26" s="102"/>
    </row>
    <row r="27" spans="2:16" ht="16.5" customHeight="1">
      <c r="B27" s="103" t="s">
        <v>9</v>
      </c>
      <c r="C27" s="17"/>
      <c r="D27" s="17"/>
      <c r="E27" s="17"/>
      <c r="F27" s="17"/>
      <c r="G27" s="17"/>
      <c r="H27" s="17"/>
      <c r="I27" s="17"/>
      <c r="J27" s="17"/>
      <c r="K27" s="17"/>
      <c r="L27" s="17"/>
      <c r="M27" s="18"/>
      <c r="N27" s="17"/>
      <c r="O27" s="4">
        <f t="shared" si="0"/>
        <v>0</v>
      </c>
      <c r="P27" s="102"/>
    </row>
    <row r="28" spans="2:16" ht="16.5" hidden="1" customHeight="1">
      <c r="B28" s="103"/>
      <c r="C28" s="15"/>
      <c r="D28" s="15"/>
      <c r="E28" s="15"/>
      <c r="F28" s="15"/>
      <c r="G28" s="15"/>
      <c r="H28" s="15"/>
      <c r="I28" s="15"/>
      <c r="J28" s="15"/>
      <c r="K28" s="15"/>
      <c r="L28" s="15"/>
      <c r="M28" s="16"/>
      <c r="N28" s="15"/>
      <c r="O28" s="4">
        <f t="shared" si="0"/>
        <v>0</v>
      </c>
      <c r="P28" s="102"/>
    </row>
    <row r="29" spans="2:16" ht="16.5" hidden="1" customHeight="1">
      <c r="B29" s="103"/>
      <c r="C29" s="15"/>
      <c r="D29" s="15"/>
      <c r="E29" s="15"/>
      <c r="F29" s="15"/>
      <c r="G29" s="15"/>
      <c r="H29" s="15"/>
      <c r="I29" s="15"/>
      <c r="J29" s="15"/>
      <c r="K29" s="15"/>
      <c r="L29" s="15"/>
      <c r="M29" s="16"/>
      <c r="N29" s="15"/>
      <c r="O29" s="4">
        <f t="shared" si="0"/>
        <v>0</v>
      </c>
      <c r="P29" s="102"/>
    </row>
    <row r="30" spans="2:16" ht="16.5" hidden="1" customHeight="1">
      <c r="B30" s="103"/>
      <c r="C30" s="15"/>
      <c r="D30" s="15"/>
      <c r="E30" s="15"/>
      <c r="F30" s="15"/>
      <c r="G30" s="15"/>
      <c r="H30" s="15"/>
      <c r="I30" s="15"/>
      <c r="J30" s="15"/>
      <c r="K30" s="15"/>
      <c r="L30" s="15"/>
      <c r="M30" s="16"/>
      <c r="N30" s="15"/>
      <c r="O30" s="4">
        <f t="shared" si="0"/>
        <v>0</v>
      </c>
      <c r="P30" s="102"/>
    </row>
    <row r="31" spans="2:16" ht="16.5" hidden="1" customHeight="1">
      <c r="B31" s="103"/>
      <c r="C31" s="15"/>
      <c r="D31" s="15"/>
      <c r="E31" s="15"/>
      <c r="F31" s="15"/>
      <c r="G31" s="15"/>
      <c r="H31" s="15"/>
      <c r="I31" s="15"/>
      <c r="J31" s="15"/>
      <c r="K31" s="15"/>
      <c r="L31" s="15"/>
      <c r="M31" s="16"/>
      <c r="N31" s="15"/>
      <c r="O31" s="4">
        <f t="shared" si="0"/>
        <v>0</v>
      </c>
      <c r="P31" s="102"/>
    </row>
    <row r="32" spans="2:16" ht="16.5" customHeight="1">
      <c r="B32" s="103" t="s">
        <v>8</v>
      </c>
      <c r="C32" s="4"/>
      <c r="D32" s="4"/>
      <c r="E32" s="4"/>
      <c r="F32" s="4"/>
      <c r="G32" s="4"/>
      <c r="H32" s="4"/>
      <c r="I32" s="4"/>
      <c r="J32" s="4"/>
      <c r="K32" s="4"/>
      <c r="L32" s="4"/>
      <c r="M32" s="14"/>
      <c r="N32" s="4"/>
      <c r="O32" s="4">
        <f t="shared" si="0"/>
        <v>0</v>
      </c>
      <c r="P32" s="102"/>
    </row>
    <row r="33" spans="2:18" ht="16.5" customHeight="1">
      <c r="B33" s="103" t="s">
        <v>7</v>
      </c>
      <c r="C33" s="12"/>
      <c r="D33" s="12"/>
      <c r="E33" s="12"/>
      <c r="F33" s="12"/>
      <c r="G33" s="12"/>
      <c r="H33" s="12"/>
      <c r="I33" s="12"/>
      <c r="J33" s="12"/>
      <c r="K33" s="12"/>
      <c r="L33" s="12"/>
      <c r="M33" s="13"/>
      <c r="N33" s="12"/>
      <c r="O33" s="4">
        <f t="shared" si="0"/>
        <v>0</v>
      </c>
      <c r="P33" s="102"/>
    </row>
    <row r="34" spans="2:18" ht="16.5" customHeight="1">
      <c r="B34" s="103" t="s">
        <v>6</v>
      </c>
      <c r="C34" s="10"/>
      <c r="D34" s="10"/>
      <c r="E34" s="10"/>
      <c r="F34" s="10"/>
      <c r="G34" s="10"/>
      <c r="H34" s="10"/>
      <c r="I34" s="10"/>
      <c r="J34" s="10"/>
      <c r="K34" s="10"/>
      <c r="L34" s="10"/>
      <c r="M34" s="11"/>
      <c r="N34" s="10"/>
      <c r="O34" s="4">
        <f t="shared" si="0"/>
        <v>0</v>
      </c>
      <c r="P34" s="102"/>
    </row>
    <row r="35" spans="2:18" ht="16.5" customHeight="1">
      <c r="B35" s="103" t="s">
        <v>5</v>
      </c>
      <c r="C35" s="8"/>
      <c r="D35" s="8"/>
      <c r="E35" s="8"/>
      <c r="F35" s="8"/>
      <c r="G35" s="8"/>
      <c r="H35" s="8"/>
      <c r="I35" s="8"/>
      <c r="J35" s="8">
        <v>7.83</v>
      </c>
      <c r="K35" s="8"/>
      <c r="L35" s="8"/>
      <c r="M35" s="9"/>
      <c r="N35" s="8"/>
      <c r="O35" s="4">
        <f t="shared" si="0"/>
        <v>7.83</v>
      </c>
      <c r="P35" s="102"/>
    </row>
    <row r="36" spans="2:18" ht="16.5" customHeight="1">
      <c r="B36" s="103" t="s">
        <v>4</v>
      </c>
      <c r="C36" s="8"/>
      <c r="D36" s="8"/>
      <c r="E36" s="8"/>
      <c r="F36" s="8"/>
      <c r="G36" s="8"/>
      <c r="H36" s="8"/>
      <c r="I36" s="8"/>
      <c r="J36" s="8"/>
      <c r="K36" s="8"/>
      <c r="L36" s="8"/>
      <c r="M36" s="9"/>
      <c r="N36" s="8"/>
      <c r="O36" s="4">
        <f t="shared" si="0"/>
        <v>0</v>
      </c>
      <c r="P36" s="102"/>
    </row>
    <row r="37" spans="2:18" ht="16.5" customHeight="1">
      <c r="B37" s="103" t="s">
        <v>3</v>
      </c>
      <c r="C37" s="8"/>
      <c r="D37" s="8"/>
      <c r="E37" s="8"/>
      <c r="F37" s="8"/>
      <c r="G37" s="8"/>
      <c r="H37" s="8"/>
      <c r="I37" s="8">
        <v>17.91</v>
      </c>
      <c r="J37" s="8"/>
      <c r="K37" s="8"/>
      <c r="L37" s="8"/>
      <c r="M37" s="9"/>
      <c r="N37" s="8"/>
      <c r="O37" s="4">
        <f t="shared" si="0"/>
        <v>17.91</v>
      </c>
      <c r="P37" s="102"/>
    </row>
    <row r="38" spans="2:18" ht="16.5" customHeight="1">
      <c r="B38" s="103" t="s">
        <v>2</v>
      </c>
      <c r="C38" s="5"/>
      <c r="D38" s="5"/>
      <c r="E38" s="5"/>
      <c r="F38" s="5"/>
      <c r="G38" s="5"/>
      <c r="H38" s="5"/>
      <c r="I38" s="5">
        <v>10</v>
      </c>
      <c r="J38" s="5">
        <v>10</v>
      </c>
      <c r="K38" s="5"/>
      <c r="L38" s="5"/>
      <c r="M38" s="6"/>
      <c r="N38" s="5"/>
      <c r="O38" s="4">
        <f t="shared" si="0"/>
        <v>20</v>
      </c>
      <c r="P38" s="102"/>
    </row>
    <row r="39" spans="2:18" ht="16.5" customHeight="1">
      <c r="B39" s="101" t="s">
        <v>1</v>
      </c>
      <c r="C39" s="104">
        <f>SUBTOTAL(109,ExpenseSummary[Jan])</f>
        <v>0</v>
      </c>
      <c r="D39" s="105">
        <f>SUBTOTAL(109,ExpenseSummary[Feb])</f>
        <v>0</v>
      </c>
      <c r="E39" s="104">
        <f>SUBTOTAL(109,ExpenseSummary[Mar])</f>
        <v>0</v>
      </c>
      <c r="F39" s="105">
        <f>SUBTOTAL(109,ExpenseSummary[Apr])</f>
        <v>0</v>
      </c>
      <c r="G39" s="104">
        <f>SUBTOTAL(109,ExpenseSummary[May])</f>
        <v>0</v>
      </c>
      <c r="H39" s="105">
        <f>SUBTOTAL(109,ExpenseSummary[Jun])</f>
        <v>0</v>
      </c>
      <c r="I39" s="104">
        <f>SUBTOTAL(109,ExpenseSummary[Jul])</f>
        <v>318.56</v>
      </c>
      <c r="J39" s="105">
        <f>SUBTOTAL(109,ExpenseSummary[Aug])</f>
        <v>17.829999999999998</v>
      </c>
      <c r="K39" s="104">
        <f>SUBTOTAL(109,ExpenseSummary[Sep])</f>
        <v>496.29</v>
      </c>
      <c r="L39" s="105">
        <f>SUBTOTAL(109,ExpenseSummary[Oct])</f>
        <v>0</v>
      </c>
      <c r="M39" s="106">
        <f>SUBTOTAL(109,ExpenseSummary[Nov])</f>
        <v>0</v>
      </c>
      <c r="N39" s="105">
        <f>SUBTOTAL(109,ExpenseSummary[Dec])</f>
        <v>0</v>
      </c>
      <c r="O39" s="106">
        <f>SUBTOTAL(109,ExpenseSummary[Total])</f>
        <v>832.68000000000006</v>
      </c>
      <c r="P39" s="102"/>
    </row>
    <row r="40" spans="2:18" ht="16.5" customHeight="1">
      <c r="B40" s="2" t="s">
        <v>0</v>
      </c>
      <c r="C40" s="2"/>
    </row>
    <row r="42" spans="2:18" ht="16.5" customHeight="1">
      <c r="B42" s="107"/>
      <c r="C42" s="107"/>
      <c r="D42" s="108"/>
      <c r="E42" s="109" t="s">
        <v>118</v>
      </c>
      <c r="F42" s="109"/>
      <c r="G42" s="109"/>
      <c r="H42" s="109"/>
      <c r="I42" s="109"/>
      <c r="J42" s="109"/>
      <c r="K42" s="109"/>
      <c r="L42" s="109"/>
      <c r="M42" s="109"/>
      <c r="N42" s="109"/>
      <c r="O42" s="109"/>
      <c r="P42" s="109"/>
      <c r="Q42" s="109"/>
      <c r="R42" s="109"/>
    </row>
    <row r="43" spans="2:18" ht="16.5" customHeight="1">
      <c r="B43" s="110" t="s">
        <v>117</v>
      </c>
      <c r="C43" s="111" t="s">
        <v>116</v>
      </c>
      <c r="D43" s="108"/>
      <c r="E43" s="112" t="s">
        <v>1769</v>
      </c>
      <c r="F43" s="112"/>
      <c r="G43" s="112"/>
      <c r="H43" s="112"/>
      <c r="I43" s="112"/>
      <c r="J43" s="112"/>
      <c r="K43" s="112"/>
      <c r="L43" s="112"/>
      <c r="M43" s="112"/>
      <c r="N43" s="112"/>
      <c r="O43" s="112"/>
      <c r="P43" s="112"/>
      <c r="Q43" s="112"/>
      <c r="R43" s="112"/>
    </row>
    <row r="44" spans="2:18" ht="16.5" customHeight="1">
      <c r="B44" s="113" t="s">
        <v>115</v>
      </c>
      <c r="C44" s="114" t="s">
        <v>114</v>
      </c>
      <c r="D44" s="108"/>
      <c r="E44" s="109" t="s">
        <v>113</v>
      </c>
      <c r="F44" s="109"/>
      <c r="G44" s="109"/>
      <c r="H44" s="109"/>
      <c r="I44" s="109"/>
      <c r="J44" s="109"/>
      <c r="K44" s="109"/>
      <c r="L44" s="109"/>
      <c r="M44" s="109"/>
      <c r="N44" s="109"/>
      <c r="O44" s="109"/>
      <c r="P44" s="109"/>
      <c r="Q44" s="109"/>
      <c r="R44" s="109"/>
    </row>
    <row r="45" spans="2:18" ht="16.5" customHeight="1" thickBot="1">
      <c r="B45" s="113" t="s">
        <v>112</v>
      </c>
      <c r="C45" s="115">
        <v>67175</v>
      </c>
      <c r="D45" s="107"/>
      <c r="E45" s="112" t="s">
        <v>111</v>
      </c>
      <c r="F45" s="112"/>
      <c r="G45" s="112"/>
      <c r="H45" s="112"/>
      <c r="I45" s="112"/>
      <c r="J45" s="112"/>
      <c r="K45" s="112"/>
      <c r="L45" s="112"/>
      <c r="M45" s="112"/>
      <c r="N45" s="112"/>
      <c r="O45" s="112"/>
      <c r="P45" s="112"/>
      <c r="Q45" s="112"/>
      <c r="R45" s="112"/>
    </row>
    <row r="46" spans="2:18" ht="16.5" customHeight="1">
      <c r="B46" s="113" t="s">
        <v>110</v>
      </c>
      <c r="C46" s="116"/>
      <c r="D46" s="117"/>
      <c r="E46" s="118" t="s">
        <v>109</v>
      </c>
      <c r="F46" s="119" t="s">
        <v>108</v>
      </c>
      <c r="G46" s="120"/>
      <c r="H46" s="119" t="s">
        <v>107</v>
      </c>
      <c r="I46" s="120"/>
      <c r="J46" s="119" t="s">
        <v>106</v>
      </c>
      <c r="K46" s="120"/>
      <c r="L46" s="119" t="s">
        <v>105</v>
      </c>
      <c r="M46" s="120"/>
      <c r="N46" s="121" t="s">
        <v>96</v>
      </c>
      <c r="O46" s="122"/>
      <c r="P46" s="119" t="s">
        <v>104</v>
      </c>
      <c r="Q46" s="120"/>
      <c r="R46" s="123" t="s">
        <v>103</v>
      </c>
    </row>
    <row r="47" spans="2:18" ht="16.5" customHeight="1">
      <c r="B47" s="124" t="s">
        <v>102</v>
      </c>
      <c r="C47" s="125">
        <v>125</v>
      </c>
      <c r="D47" s="126"/>
      <c r="E47" s="127"/>
      <c r="F47" s="128" t="s">
        <v>101</v>
      </c>
      <c r="G47" s="129" t="s">
        <v>100</v>
      </c>
      <c r="H47" s="128" t="s">
        <v>101</v>
      </c>
      <c r="I47" s="129" t="s">
        <v>100</v>
      </c>
      <c r="J47" s="128" t="s">
        <v>101</v>
      </c>
      <c r="K47" s="129" t="s">
        <v>100</v>
      </c>
      <c r="L47" s="128" t="s">
        <v>101</v>
      </c>
      <c r="M47" s="129" t="s">
        <v>100</v>
      </c>
      <c r="N47" s="130" t="s">
        <v>101</v>
      </c>
      <c r="O47" s="129" t="s">
        <v>100</v>
      </c>
      <c r="P47" s="131" t="s">
        <v>101</v>
      </c>
      <c r="Q47" s="129" t="s">
        <v>100</v>
      </c>
      <c r="R47" s="127"/>
    </row>
    <row r="48" spans="2:18" ht="16.5" customHeight="1">
      <c r="B48" s="113" t="s">
        <v>99</v>
      </c>
      <c r="C48" s="132">
        <v>6867</v>
      </c>
      <c r="D48" s="117"/>
      <c r="E48" s="133" t="s">
        <v>87</v>
      </c>
      <c r="F48" s="134">
        <v>4</v>
      </c>
      <c r="G48" s="135">
        <f>SUM($B$6*F48)*C60</f>
        <v>0</v>
      </c>
      <c r="H48" s="136"/>
      <c r="I48" s="135">
        <f>IF(H48&gt;0,($B$7*C60),0)</f>
        <v>0</v>
      </c>
      <c r="J48" s="137"/>
      <c r="K48" s="135">
        <f>IF(J48&gt;0,($B$8*C60),0)</f>
        <v>0</v>
      </c>
      <c r="L48" s="136">
        <v>3</v>
      </c>
      <c r="M48" s="135">
        <f>IF(L48&gt;0,($B$9*L48),0)</f>
        <v>0</v>
      </c>
      <c r="N48" s="138">
        <v>1</v>
      </c>
      <c r="O48" s="135">
        <f>IF(N48&gt;0,($B$10*N48),0)</f>
        <v>0</v>
      </c>
      <c r="P48" s="139">
        <v>1</v>
      </c>
      <c r="Q48" s="135">
        <f>SUM(P48*$B$17)*C60</f>
        <v>0</v>
      </c>
      <c r="R48" s="140">
        <f>SUM(Q48+O48+M48+K48+I48+G48)</f>
        <v>0</v>
      </c>
    </row>
    <row r="49" spans="2:18" ht="16.5" customHeight="1">
      <c r="B49" s="113" t="s">
        <v>98</v>
      </c>
      <c r="C49" s="132">
        <v>1500</v>
      </c>
      <c r="D49" s="117"/>
      <c r="E49" s="133" t="s">
        <v>86</v>
      </c>
      <c r="F49" s="134">
        <v>4</v>
      </c>
      <c r="G49" s="135">
        <f>SUM($B$6*F49)*C61</f>
        <v>0</v>
      </c>
      <c r="H49" s="136"/>
      <c r="I49" s="135">
        <f>IF(H49&gt;0,($B$7*C61),0)</f>
        <v>0</v>
      </c>
      <c r="J49" s="137"/>
      <c r="K49" s="135">
        <f>IF(J49&gt;0,($B$8*C61),0)</f>
        <v>0</v>
      </c>
      <c r="L49" s="136">
        <v>3</v>
      </c>
      <c r="M49" s="135">
        <f>IF(L49&gt;0,($B$9*L49),0)</f>
        <v>0</v>
      </c>
      <c r="N49" s="138">
        <v>1</v>
      </c>
      <c r="O49" s="135">
        <f>IF(N49&gt;0,($B$10*N49),0)</f>
        <v>0</v>
      </c>
      <c r="P49" s="139">
        <v>1</v>
      </c>
      <c r="Q49" s="135">
        <f>SUM(P49*$B$17)*C61</f>
        <v>0</v>
      </c>
      <c r="R49" s="140">
        <f t="shared" ref="R49:R59" si="1">SUM(Q49+O49+M49+K49+I49+G49)</f>
        <v>0</v>
      </c>
    </row>
    <row r="50" spans="2:18" ht="16.5" customHeight="1">
      <c r="B50" s="113" t="s">
        <v>97</v>
      </c>
      <c r="C50" s="132">
        <v>150</v>
      </c>
      <c r="D50" s="117"/>
      <c r="E50" s="133" t="s">
        <v>84</v>
      </c>
      <c r="F50" s="134">
        <v>4</v>
      </c>
      <c r="G50" s="135">
        <f>SUM($B$6*F50)*C62</f>
        <v>0</v>
      </c>
      <c r="H50" s="136"/>
      <c r="I50" s="135">
        <f>IF(H50&gt;0,($B$7*C62),0)</f>
        <v>0</v>
      </c>
      <c r="J50" s="137"/>
      <c r="K50" s="135">
        <f>IF(J50&gt;0,($B$8*C62),0)</f>
        <v>0</v>
      </c>
      <c r="L50" s="136">
        <v>3</v>
      </c>
      <c r="M50" s="135">
        <v>450</v>
      </c>
      <c r="N50" s="138">
        <v>1</v>
      </c>
      <c r="O50" s="135">
        <f>IF(N50&gt;0,($B$10*N50),0)</f>
        <v>0</v>
      </c>
      <c r="P50" s="139">
        <v>1</v>
      </c>
      <c r="Q50" s="135">
        <f>SUM(P50*$B$17)*C62</f>
        <v>0</v>
      </c>
      <c r="R50" s="140">
        <f t="shared" si="1"/>
        <v>450</v>
      </c>
    </row>
    <row r="51" spans="2:18" ht="16.5" customHeight="1">
      <c r="B51" s="113" t="s">
        <v>96</v>
      </c>
      <c r="C51" s="132">
        <v>1050</v>
      </c>
      <c r="D51" s="117"/>
      <c r="E51" s="133" t="s">
        <v>83</v>
      </c>
      <c r="F51" s="134">
        <v>4</v>
      </c>
      <c r="G51" s="135">
        <f>SUM($B$6*F51)*C63</f>
        <v>0</v>
      </c>
      <c r="H51" s="136"/>
      <c r="I51" s="135">
        <f>IF(H51&gt;0,($B$7*C63),0)</f>
        <v>0</v>
      </c>
      <c r="J51" s="137">
        <v>1</v>
      </c>
      <c r="K51" s="135">
        <f>IF(J51&gt;0,($B$8*C63),0)</f>
        <v>0</v>
      </c>
      <c r="L51" s="136">
        <v>3</v>
      </c>
      <c r="M51" s="135">
        <f>IF(L51&gt;0,($B$9*L51),0)</f>
        <v>0</v>
      </c>
      <c r="N51" s="138">
        <v>1</v>
      </c>
      <c r="O51" s="135">
        <f>IF(N51&gt;0,($B$10*N51),0)</f>
        <v>0</v>
      </c>
      <c r="P51" s="139">
        <v>1</v>
      </c>
      <c r="Q51" s="135">
        <f>SUM(P51*$B$17)*C63</f>
        <v>0</v>
      </c>
      <c r="R51" s="140">
        <f t="shared" si="1"/>
        <v>0</v>
      </c>
    </row>
    <row r="52" spans="2:18" ht="16.5" customHeight="1">
      <c r="B52" s="113" t="s">
        <v>95</v>
      </c>
      <c r="C52" s="141">
        <v>25000</v>
      </c>
      <c r="D52" s="117"/>
      <c r="E52" s="133" t="s">
        <v>82</v>
      </c>
      <c r="F52" s="134">
        <v>4</v>
      </c>
      <c r="G52" s="135">
        <f>SUM($B$6*F52)*C64</f>
        <v>0</v>
      </c>
      <c r="H52" s="136">
        <v>1</v>
      </c>
      <c r="I52" s="135">
        <f>IF(H52&gt;0,($B$7*C64),0)</f>
        <v>0</v>
      </c>
      <c r="J52" s="137"/>
      <c r="K52" s="135">
        <f>IF(J52&gt;0,($B$8*C64),0)</f>
        <v>0</v>
      </c>
      <c r="L52" s="136">
        <v>3</v>
      </c>
      <c r="M52" s="135">
        <f>IF(L52&gt;0,($B$9*L52),0)</f>
        <v>0</v>
      </c>
      <c r="N52" s="138">
        <v>1</v>
      </c>
      <c r="O52" s="135">
        <f>IF(N52&gt;0,($B$10*N52),0)</f>
        <v>0</v>
      </c>
      <c r="P52" s="139">
        <v>1</v>
      </c>
      <c r="Q52" s="135">
        <f>SUM(P52*$B$17)*C64</f>
        <v>0</v>
      </c>
      <c r="R52" s="140">
        <f t="shared" si="1"/>
        <v>0</v>
      </c>
    </row>
    <row r="53" spans="2:18" ht="16.5" customHeight="1">
      <c r="B53" s="113" t="s">
        <v>94</v>
      </c>
      <c r="C53" s="141">
        <v>5000</v>
      </c>
      <c r="D53" s="117"/>
      <c r="E53" s="133" t="s">
        <v>80</v>
      </c>
      <c r="F53" s="134"/>
      <c r="G53" s="135"/>
      <c r="H53" s="136"/>
      <c r="I53" s="135"/>
      <c r="J53" s="137"/>
      <c r="K53" s="135"/>
      <c r="L53" s="136"/>
      <c r="M53" s="135"/>
      <c r="N53" s="138"/>
      <c r="O53" s="135"/>
      <c r="P53" s="139"/>
      <c r="Q53" s="135"/>
      <c r="R53" s="140">
        <f t="shared" si="1"/>
        <v>0</v>
      </c>
    </row>
    <row r="54" spans="2:18" ht="16.5" customHeight="1">
      <c r="B54" s="113" t="s">
        <v>93</v>
      </c>
      <c r="C54" s="141">
        <v>175000</v>
      </c>
      <c r="D54" s="117"/>
      <c r="E54" s="133" t="s">
        <v>79</v>
      </c>
      <c r="F54" s="134"/>
      <c r="G54" s="135"/>
      <c r="H54" s="136"/>
      <c r="I54" s="135"/>
      <c r="J54" s="137"/>
      <c r="K54" s="135"/>
      <c r="L54" s="136"/>
      <c r="M54" s="135"/>
      <c r="N54" s="138"/>
      <c r="O54" s="135"/>
      <c r="P54" s="139"/>
      <c r="Q54" s="135"/>
      <c r="R54" s="140">
        <f t="shared" si="1"/>
        <v>0</v>
      </c>
    </row>
    <row r="55" spans="2:18" ht="16.5" customHeight="1">
      <c r="B55" s="113" t="s">
        <v>92</v>
      </c>
      <c r="C55" s="141">
        <v>175000</v>
      </c>
      <c r="D55" s="117"/>
      <c r="E55" s="133" t="s">
        <v>78</v>
      </c>
      <c r="F55" s="134"/>
      <c r="G55" s="135"/>
      <c r="H55" s="136"/>
      <c r="I55" s="135"/>
      <c r="J55" s="137"/>
      <c r="K55" s="135"/>
      <c r="L55" s="136"/>
      <c r="M55" s="135"/>
      <c r="N55" s="138"/>
      <c r="O55" s="135"/>
      <c r="P55" s="139"/>
      <c r="Q55" s="135"/>
      <c r="R55" s="140">
        <f t="shared" si="1"/>
        <v>0</v>
      </c>
    </row>
    <row r="56" spans="2:18" ht="16.5" customHeight="1">
      <c r="B56" s="113" t="s">
        <v>91</v>
      </c>
      <c r="C56" s="141">
        <v>12000</v>
      </c>
      <c r="D56" s="117"/>
      <c r="E56" s="133" t="s">
        <v>77</v>
      </c>
      <c r="F56" s="134"/>
      <c r="G56" s="135"/>
      <c r="H56" s="136"/>
      <c r="I56" s="135"/>
      <c r="J56" s="137"/>
      <c r="K56" s="135"/>
      <c r="L56" s="136"/>
      <c r="M56" s="135"/>
      <c r="N56" s="138"/>
      <c r="O56" s="135"/>
      <c r="P56" s="139"/>
      <c r="Q56" s="135"/>
      <c r="R56" s="140">
        <f t="shared" si="1"/>
        <v>0</v>
      </c>
    </row>
    <row r="57" spans="2:18" ht="16.5" customHeight="1">
      <c r="B57" s="113" t="s">
        <v>90</v>
      </c>
      <c r="C57" s="141">
        <v>25000</v>
      </c>
      <c r="D57" s="117"/>
      <c r="E57" s="133" t="s">
        <v>76</v>
      </c>
      <c r="F57" s="134"/>
      <c r="G57" s="135"/>
      <c r="H57" s="136"/>
      <c r="I57" s="135"/>
      <c r="J57" s="137"/>
      <c r="K57" s="135"/>
      <c r="L57" s="136"/>
      <c r="M57" s="135"/>
      <c r="N57" s="138"/>
      <c r="O57" s="135"/>
      <c r="P57" s="139"/>
      <c r="Q57" s="135"/>
      <c r="R57" s="140">
        <f t="shared" si="1"/>
        <v>0</v>
      </c>
    </row>
    <row r="58" spans="2:18" ht="16.5" customHeight="1">
      <c r="B58" s="142" t="s">
        <v>89</v>
      </c>
      <c r="C58" s="143">
        <v>92</v>
      </c>
      <c r="D58" s="117"/>
      <c r="E58" s="133" t="s">
        <v>75</v>
      </c>
      <c r="F58" s="134"/>
      <c r="G58" s="135"/>
      <c r="H58" s="136"/>
      <c r="I58" s="135"/>
      <c r="J58" s="137"/>
      <c r="K58" s="135"/>
      <c r="L58" s="136"/>
      <c r="M58" s="135"/>
      <c r="N58" s="138"/>
      <c r="O58" s="135"/>
      <c r="P58" s="139"/>
      <c r="Q58" s="135"/>
      <c r="R58" s="140">
        <f>SUM(Q58+O58+M58+K58+I58+G58)</f>
        <v>0</v>
      </c>
    </row>
    <row r="59" spans="2:18" ht="16.5" customHeight="1">
      <c r="B59" s="144" t="s">
        <v>88</v>
      </c>
      <c r="C59" s="145"/>
      <c r="D59" s="117"/>
      <c r="E59" s="133" t="s">
        <v>74</v>
      </c>
      <c r="F59" s="134"/>
      <c r="G59" s="135"/>
      <c r="H59" s="136"/>
      <c r="I59" s="135"/>
      <c r="J59" s="137"/>
      <c r="K59" s="135"/>
      <c r="L59" s="136"/>
      <c r="M59" s="135"/>
      <c r="N59" s="138"/>
      <c r="O59" s="135"/>
      <c r="P59" s="139"/>
      <c r="Q59" s="135"/>
      <c r="R59" s="140">
        <f t="shared" si="1"/>
        <v>0</v>
      </c>
    </row>
    <row r="60" spans="2:18" ht="16.5" customHeight="1">
      <c r="B60" s="146" t="s">
        <v>87</v>
      </c>
      <c r="C60" s="147">
        <v>1</v>
      </c>
      <c r="D60" s="117"/>
      <c r="E60" s="148"/>
      <c r="F60" s="149"/>
      <c r="G60" s="150"/>
      <c r="H60" s="151"/>
      <c r="I60" s="152"/>
      <c r="J60" s="153"/>
      <c r="K60" s="152"/>
      <c r="L60" s="151"/>
      <c r="M60" s="152"/>
      <c r="N60" s="154"/>
      <c r="O60" s="150"/>
      <c r="P60" s="151"/>
      <c r="Q60" s="152"/>
      <c r="R60" s="155"/>
    </row>
    <row r="61" spans="2:18" ht="16.5" customHeight="1" thickBot="1">
      <c r="B61" s="146" t="s">
        <v>86</v>
      </c>
      <c r="C61" s="146">
        <f>SUM(C60+(C60*$B$5))</f>
        <v>1</v>
      </c>
      <c r="D61" s="117"/>
      <c r="E61" s="156" t="s">
        <v>85</v>
      </c>
      <c r="F61" s="157"/>
      <c r="G61" s="158">
        <f>SUM(G48:G59)</f>
        <v>0</v>
      </c>
      <c r="H61" s="159"/>
      <c r="I61" s="158">
        <f>SUM(I48:I59)</f>
        <v>0</v>
      </c>
      <c r="J61" s="160"/>
      <c r="K61" s="158">
        <f>SUM(K48:K59)</f>
        <v>0</v>
      </c>
      <c r="L61" s="159"/>
      <c r="M61" s="158">
        <f>SUM(M48:M59)</f>
        <v>450</v>
      </c>
      <c r="N61" s="161"/>
      <c r="O61" s="158">
        <f>SUM(O48:O59)</f>
        <v>0</v>
      </c>
      <c r="P61" s="159"/>
      <c r="Q61" s="158">
        <f>SUM(Q48:Q59)</f>
        <v>0</v>
      </c>
      <c r="R61" s="162">
        <f>SUM(R48:R59)</f>
        <v>450</v>
      </c>
    </row>
    <row r="62" spans="2:18" ht="16.5" customHeight="1" thickTop="1" thickBot="1">
      <c r="B62" s="146" t="s">
        <v>84</v>
      </c>
      <c r="C62" s="146">
        <f>SUM(C61+(C61*$B$5))</f>
        <v>1</v>
      </c>
      <c r="D62" s="108"/>
      <c r="E62" s="163"/>
      <c r="F62" s="164"/>
      <c r="G62" s="165"/>
      <c r="H62" s="166"/>
      <c r="I62" s="165"/>
      <c r="J62" s="167"/>
      <c r="K62" s="165"/>
      <c r="L62" s="166"/>
      <c r="M62" s="165"/>
      <c r="N62" s="164"/>
      <c r="O62" s="168"/>
      <c r="P62" s="166"/>
      <c r="Q62" s="165"/>
      <c r="R62" s="169"/>
    </row>
    <row r="63" spans="2:18" ht="16.5" customHeight="1">
      <c r="B63" s="146" t="s">
        <v>83</v>
      </c>
      <c r="C63" s="170">
        <f t="shared" ref="C63:C71" si="2">SUM(C62+(C62*$B$5))</f>
        <v>1</v>
      </c>
      <c r="D63" s="108"/>
      <c r="E63" s="108"/>
      <c r="F63" s="171"/>
      <c r="G63" s="108"/>
      <c r="H63" s="172"/>
      <c r="I63" s="108"/>
      <c r="J63" s="173"/>
      <c r="K63" s="108"/>
      <c r="L63" s="172"/>
      <c r="M63" s="108"/>
      <c r="N63" s="171"/>
      <c r="O63" s="108"/>
      <c r="P63" s="172"/>
      <c r="Q63" s="108"/>
      <c r="R63" s="108"/>
    </row>
    <row r="64" spans="2:18" ht="16.5" customHeight="1">
      <c r="B64" s="146" t="s">
        <v>82</v>
      </c>
      <c r="C64" s="170">
        <f t="shared" si="2"/>
        <v>1</v>
      </c>
      <c r="D64" s="108"/>
      <c r="E64" s="108" t="s">
        <v>81</v>
      </c>
      <c r="F64" s="171"/>
      <c r="G64" s="108"/>
      <c r="H64" s="172"/>
      <c r="I64" s="108"/>
      <c r="J64" s="173"/>
      <c r="K64" s="108"/>
      <c r="L64" s="172"/>
      <c r="M64" s="108"/>
      <c r="N64" s="171"/>
      <c r="O64" s="108"/>
      <c r="P64" s="172"/>
      <c r="Q64" s="108"/>
      <c r="R64" s="108"/>
    </row>
    <row r="65" spans="2:18" ht="16.5" customHeight="1">
      <c r="B65" s="146" t="s">
        <v>80</v>
      </c>
      <c r="C65" s="170">
        <f t="shared" si="2"/>
        <v>1</v>
      </c>
      <c r="D65" s="108"/>
      <c r="E65" s="108"/>
      <c r="F65" s="171"/>
      <c r="G65" s="108"/>
      <c r="H65" s="172"/>
      <c r="I65" s="108"/>
      <c r="J65" s="173"/>
      <c r="K65" s="108"/>
      <c r="L65" s="172"/>
      <c r="M65" s="108"/>
      <c r="N65" s="171"/>
      <c r="O65" s="108"/>
      <c r="P65" s="172"/>
      <c r="Q65" s="108"/>
      <c r="R65" s="108"/>
    </row>
    <row r="66" spans="2:18" ht="16.5" customHeight="1">
      <c r="B66" s="146" t="s">
        <v>79</v>
      </c>
      <c r="C66" s="170">
        <f t="shared" si="2"/>
        <v>1</v>
      </c>
      <c r="D66" s="108"/>
      <c r="E66" s="108"/>
      <c r="F66" s="171"/>
      <c r="G66" s="174"/>
      <c r="H66" s="175"/>
      <c r="I66" s="108"/>
      <c r="J66" s="173"/>
      <c r="K66" s="108"/>
      <c r="L66" s="172"/>
      <c r="M66" s="108"/>
      <c r="N66" s="171"/>
      <c r="O66" s="108"/>
      <c r="P66" s="172"/>
      <c r="Q66" s="108"/>
      <c r="R66" s="108"/>
    </row>
    <row r="67" spans="2:18" ht="16.5" customHeight="1">
      <c r="B67" s="146" t="s">
        <v>78</v>
      </c>
      <c r="C67" s="170">
        <f t="shared" si="2"/>
        <v>1</v>
      </c>
      <c r="D67" s="108"/>
      <c r="E67" s="108"/>
      <c r="F67" s="171"/>
      <c r="G67" s="108"/>
      <c r="H67" s="172"/>
      <c r="I67" s="108"/>
      <c r="J67" s="173"/>
      <c r="K67" s="108"/>
      <c r="L67" s="172"/>
      <c r="M67" s="108"/>
      <c r="N67" s="171"/>
      <c r="O67" s="108"/>
      <c r="P67" s="172"/>
      <c r="Q67" s="108"/>
      <c r="R67" s="108"/>
    </row>
    <row r="68" spans="2:18" ht="16.5" customHeight="1">
      <c r="B68" s="146" t="s">
        <v>77</v>
      </c>
      <c r="C68" s="170">
        <f t="shared" si="2"/>
        <v>1</v>
      </c>
      <c r="D68" s="108"/>
      <c r="E68" s="108"/>
      <c r="F68" s="171"/>
      <c r="G68" s="108"/>
      <c r="H68" s="172"/>
      <c r="I68" s="108"/>
      <c r="J68" s="173"/>
      <c r="K68" s="108"/>
      <c r="L68" s="172"/>
      <c r="M68" s="108"/>
      <c r="N68" s="171"/>
      <c r="O68" s="108"/>
      <c r="P68" s="172"/>
      <c r="Q68" s="108"/>
      <c r="R68" s="108"/>
    </row>
    <row r="69" spans="2:18" ht="16.5" customHeight="1">
      <c r="B69" s="146" t="s">
        <v>76</v>
      </c>
      <c r="C69" s="170">
        <f t="shared" si="2"/>
        <v>1</v>
      </c>
      <c r="D69" s="108"/>
      <c r="E69" s="108"/>
      <c r="F69" s="171"/>
      <c r="G69" s="108"/>
      <c r="H69" s="172"/>
      <c r="I69" s="108"/>
      <c r="J69" s="173"/>
      <c r="K69" s="108"/>
      <c r="L69" s="172"/>
      <c r="M69" s="108"/>
      <c r="N69" s="171"/>
      <c r="O69" s="108"/>
      <c r="P69" s="172"/>
      <c r="Q69" s="108"/>
      <c r="R69" s="108"/>
    </row>
    <row r="70" spans="2:18" ht="16.5" customHeight="1">
      <c r="B70" s="146" t="s">
        <v>75</v>
      </c>
      <c r="C70" s="170">
        <f t="shared" si="2"/>
        <v>1</v>
      </c>
      <c r="D70" s="108"/>
      <c r="E70" s="108"/>
      <c r="F70" s="171"/>
      <c r="G70" s="108"/>
      <c r="H70" s="172"/>
      <c r="I70" s="108"/>
      <c r="J70" s="173"/>
      <c r="K70" s="108"/>
      <c r="L70" s="172"/>
      <c r="M70" s="108"/>
      <c r="N70" s="171"/>
      <c r="O70" s="108"/>
      <c r="P70" s="172"/>
      <c r="Q70" s="108"/>
      <c r="R70" s="108"/>
    </row>
    <row r="71" spans="2:18" ht="16.5" customHeight="1">
      <c r="B71" s="146" t="s">
        <v>74</v>
      </c>
      <c r="C71" s="170">
        <f t="shared" si="2"/>
        <v>1</v>
      </c>
      <c r="D71" s="108"/>
      <c r="E71" s="108"/>
      <c r="F71" s="171"/>
      <c r="G71" s="108"/>
      <c r="H71" s="172"/>
      <c r="I71" s="108"/>
      <c r="J71" s="173"/>
      <c r="K71" s="108"/>
      <c r="L71" s="172"/>
      <c r="M71" s="108"/>
      <c r="N71" s="171"/>
      <c r="O71" s="108"/>
      <c r="P71" s="172"/>
      <c r="Q71" s="108"/>
      <c r="R71" s="108"/>
    </row>
    <row r="73" spans="2:18" ht="16.5" customHeight="1">
      <c r="B73" s="107"/>
      <c r="C73" s="107"/>
      <c r="D73" s="108"/>
      <c r="E73" s="109" t="s">
        <v>118</v>
      </c>
      <c r="F73" s="109"/>
      <c r="G73" s="109"/>
      <c r="H73" s="109"/>
      <c r="I73" s="109"/>
      <c r="J73" s="109"/>
      <c r="K73" s="109"/>
      <c r="L73" s="109"/>
      <c r="M73" s="109"/>
      <c r="N73" s="109"/>
      <c r="O73" s="109"/>
      <c r="P73" s="109"/>
      <c r="Q73" s="109"/>
      <c r="R73" s="109"/>
    </row>
    <row r="74" spans="2:18" ht="16.5" customHeight="1">
      <c r="B74" s="110" t="s">
        <v>117</v>
      </c>
      <c r="C74" s="111" t="s">
        <v>116</v>
      </c>
      <c r="D74" s="108"/>
      <c r="E74" s="112" t="s">
        <v>1770</v>
      </c>
      <c r="F74" s="112"/>
      <c r="G74" s="112"/>
      <c r="H74" s="112"/>
      <c r="I74" s="112"/>
      <c r="J74" s="112"/>
      <c r="K74" s="112"/>
      <c r="L74" s="112"/>
      <c r="M74" s="112"/>
      <c r="N74" s="112"/>
      <c r="O74" s="112"/>
      <c r="P74" s="112"/>
      <c r="Q74" s="112"/>
      <c r="R74" s="112"/>
    </row>
    <row r="75" spans="2:18" ht="16.5" customHeight="1">
      <c r="B75" s="113" t="s">
        <v>115</v>
      </c>
      <c r="C75" s="114" t="s">
        <v>114</v>
      </c>
      <c r="D75" s="108"/>
      <c r="E75" s="109" t="s">
        <v>119</v>
      </c>
      <c r="F75" s="109"/>
      <c r="G75" s="109"/>
      <c r="H75" s="109"/>
      <c r="I75" s="109"/>
      <c r="J75" s="109"/>
      <c r="K75" s="109"/>
      <c r="L75" s="109"/>
      <c r="M75" s="109"/>
      <c r="N75" s="109"/>
      <c r="O75" s="109"/>
      <c r="P75" s="109"/>
      <c r="Q75" s="109"/>
      <c r="R75" s="109"/>
    </row>
    <row r="76" spans="2:18" ht="16.5" customHeight="1" thickBot="1">
      <c r="B76" s="113" t="s">
        <v>112</v>
      </c>
      <c r="C76" s="115">
        <v>67175</v>
      </c>
      <c r="D76" s="107"/>
      <c r="E76" s="176" t="s">
        <v>120</v>
      </c>
      <c r="F76" s="176"/>
      <c r="G76" s="176"/>
      <c r="H76" s="176"/>
      <c r="I76" s="176"/>
      <c r="J76" s="176"/>
      <c r="K76" s="176"/>
      <c r="L76" s="176"/>
      <c r="M76" s="176"/>
      <c r="N76" s="176"/>
      <c r="O76" s="176"/>
      <c r="P76" s="176"/>
      <c r="Q76" s="176"/>
      <c r="R76" s="176"/>
    </row>
    <row r="77" spans="2:18" ht="16.5" customHeight="1">
      <c r="B77" s="113" t="s">
        <v>110</v>
      </c>
      <c r="C77" s="116"/>
      <c r="D77" s="117"/>
      <c r="E77" s="118" t="s">
        <v>109</v>
      </c>
      <c r="F77" s="119" t="s">
        <v>108</v>
      </c>
      <c r="G77" s="120"/>
      <c r="H77" s="119" t="s">
        <v>107</v>
      </c>
      <c r="I77" s="120"/>
      <c r="J77" s="119" t="s">
        <v>106</v>
      </c>
      <c r="K77" s="120"/>
      <c r="L77" s="119" t="s">
        <v>105</v>
      </c>
      <c r="M77" s="120"/>
      <c r="N77" s="119" t="s">
        <v>96</v>
      </c>
      <c r="O77" s="120"/>
      <c r="P77" s="119" t="s">
        <v>104</v>
      </c>
      <c r="Q77" s="120"/>
      <c r="R77" s="123" t="s">
        <v>103</v>
      </c>
    </row>
    <row r="78" spans="2:18" ht="16.5" customHeight="1">
      <c r="B78" s="113" t="s">
        <v>102</v>
      </c>
      <c r="C78" s="125">
        <v>125</v>
      </c>
      <c r="D78" s="177"/>
      <c r="E78" s="133"/>
      <c r="F78" s="128" t="s">
        <v>101</v>
      </c>
      <c r="G78" s="178" t="s">
        <v>100</v>
      </c>
      <c r="H78" s="128" t="s">
        <v>101</v>
      </c>
      <c r="I78" s="178" t="s">
        <v>100</v>
      </c>
      <c r="J78" s="128" t="s">
        <v>101</v>
      </c>
      <c r="K78" s="178" t="s">
        <v>100</v>
      </c>
      <c r="L78" s="128" t="s">
        <v>101</v>
      </c>
      <c r="M78" s="178" t="s">
        <v>100</v>
      </c>
      <c r="N78" s="128" t="s">
        <v>101</v>
      </c>
      <c r="O78" s="178" t="s">
        <v>100</v>
      </c>
      <c r="P78" s="131" t="s">
        <v>101</v>
      </c>
      <c r="Q78" s="178" t="s">
        <v>100</v>
      </c>
      <c r="R78" s="133"/>
    </row>
    <row r="79" spans="2:18" ht="16.5" customHeight="1">
      <c r="B79" s="113" t="s">
        <v>107</v>
      </c>
      <c r="C79" s="132">
        <v>6867</v>
      </c>
      <c r="D79" s="117"/>
      <c r="E79" s="133" t="s">
        <v>87</v>
      </c>
      <c r="F79" s="134">
        <v>3</v>
      </c>
      <c r="G79" s="135" t="e">
        <f>SUM($B$47*F79)*G91</f>
        <v>#VALUE!</v>
      </c>
      <c r="H79" s="136"/>
      <c r="I79" s="135">
        <f>IF(H79&gt;0,($B$7*C91),0)</f>
        <v>0</v>
      </c>
      <c r="J79" s="137">
        <v>0</v>
      </c>
      <c r="K79" s="135">
        <f>IF(J79&gt;0,($B$8*C91),0)</f>
        <v>0</v>
      </c>
      <c r="L79" s="179">
        <v>1</v>
      </c>
      <c r="M79" s="135">
        <f t="shared" ref="M79:M90" si="3">IF(L79&gt;0,($B$9*L79),0)</f>
        <v>0</v>
      </c>
      <c r="N79" s="134">
        <v>0</v>
      </c>
      <c r="O79" s="135">
        <f t="shared" ref="O79:O90" si="4">IF(N79&gt;0,($B$10*N79),0)</f>
        <v>0</v>
      </c>
      <c r="P79" s="139"/>
      <c r="Q79" s="135">
        <f t="shared" ref="Q79:Q90" si="5">SUM(P79*$B$17)*C91</f>
        <v>0</v>
      </c>
      <c r="R79" s="140" t="e">
        <f>SUM(Q79+O79+M79+K79+I79+G79)</f>
        <v>#VALUE!</v>
      </c>
    </row>
    <row r="80" spans="2:18" ht="16.5" customHeight="1">
      <c r="B80" s="113" t="s">
        <v>121</v>
      </c>
      <c r="C80" s="132">
        <v>5460</v>
      </c>
      <c r="D80" s="117"/>
      <c r="E80" s="133" t="s">
        <v>86</v>
      </c>
      <c r="F80" s="134">
        <v>7</v>
      </c>
      <c r="G80" s="180">
        <f t="shared" ref="G80:G90" si="6">SUM($B$6*F80)*C92</f>
        <v>0</v>
      </c>
      <c r="H80" s="136"/>
      <c r="I80" s="135">
        <f t="shared" ref="I80:I90" si="7">IF(H80&gt;0,($B$7*C92),0)</f>
        <v>0</v>
      </c>
      <c r="J80" s="137"/>
      <c r="K80" s="135">
        <f t="shared" ref="K80:K90" si="8">IF(J80&gt;0,($B$8*C92),0)</f>
        <v>0</v>
      </c>
      <c r="L80" s="179">
        <v>2.5</v>
      </c>
      <c r="M80" s="135">
        <f t="shared" si="3"/>
        <v>0</v>
      </c>
      <c r="N80" s="181">
        <v>0.75</v>
      </c>
      <c r="O80" s="135">
        <f t="shared" si="4"/>
        <v>0</v>
      </c>
      <c r="P80" s="139"/>
      <c r="Q80" s="135">
        <f t="shared" si="5"/>
        <v>0</v>
      </c>
      <c r="R80" s="140">
        <f t="shared" ref="R80:R90" si="9">SUM(Q80+O80+M80+K80+I80+G80)</f>
        <v>0</v>
      </c>
    </row>
    <row r="81" spans="2:18" ht="16.5" customHeight="1">
      <c r="B81" s="113" t="s">
        <v>122</v>
      </c>
      <c r="C81" s="132">
        <v>324</v>
      </c>
      <c r="D81" s="117"/>
      <c r="E81" s="133" t="s">
        <v>84</v>
      </c>
      <c r="F81" s="134">
        <v>5</v>
      </c>
      <c r="G81" s="135">
        <f t="shared" si="6"/>
        <v>0</v>
      </c>
      <c r="H81" s="136"/>
      <c r="I81" s="135">
        <f t="shared" si="7"/>
        <v>0</v>
      </c>
      <c r="J81" s="137"/>
      <c r="K81" s="135">
        <f t="shared" si="8"/>
        <v>0</v>
      </c>
      <c r="L81" s="179"/>
      <c r="M81" s="135">
        <f t="shared" si="3"/>
        <v>0</v>
      </c>
      <c r="N81" s="134"/>
      <c r="O81" s="135">
        <f t="shared" si="4"/>
        <v>0</v>
      </c>
      <c r="P81" s="139"/>
      <c r="Q81" s="135">
        <f t="shared" si="5"/>
        <v>0</v>
      </c>
      <c r="R81" s="140">
        <f t="shared" si="9"/>
        <v>0</v>
      </c>
    </row>
    <row r="82" spans="2:18" ht="16.5" customHeight="1">
      <c r="B82" s="113" t="s">
        <v>123</v>
      </c>
      <c r="C82" s="132">
        <v>1050</v>
      </c>
      <c r="D82" s="117"/>
      <c r="E82" s="133" t="s">
        <v>83</v>
      </c>
      <c r="F82" s="134">
        <v>6</v>
      </c>
      <c r="G82" s="135">
        <f t="shared" si="6"/>
        <v>0</v>
      </c>
      <c r="H82" s="136"/>
      <c r="I82" s="135">
        <f t="shared" si="7"/>
        <v>0</v>
      </c>
      <c r="J82" s="137"/>
      <c r="K82" s="135">
        <f t="shared" si="8"/>
        <v>0</v>
      </c>
      <c r="L82" s="179">
        <v>2</v>
      </c>
      <c r="M82" s="135">
        <f t="shared" si="3"/>
        <v>0</v>
      </c>
      <c r="N82" s="181">
        <v>1</v>
      </c>
      <c r="O82" s="135">
        <f t="shared" si="4"/>
        <v>0</v>
      </c>
      <c r="P82" s="139"/>
      <c r="Q82" s="135">
        <f t="shared" si="5"/>
        <v>0</v>
      </c>
      <c r="R82" s="140">
        <f t="shared" si="9"/>
        <v>0</v>
      </c>
    </row>
    <row r="83" spans="2:18" ht="16.5" customHeight="1">
      <c r="B83" s="113" t="s">
        <v>95</v>
      </c>
      <c r="C83" s="141">
        <v>25000</v>
      </c>
      <c r="D83" s="117"/>
      <c r="E83" s="133" t="s">
        <v>82</v>
      </c>
      <c r="F83" s="134">
        <v>5</v>
      </c>
      <c r="G83" s="135">
        <f t="shared" si="6"/>
        <v>0</v>
      </c>
      <c r="H83" s="136"/>
      <c r="I83" s="135">
        <f t="shared" si="7"/>
        <v>0</v>
      </c>
      <c r="J83" s="137"/>
      <c r="K83" s="135">
        <f t="shared" si="8"/>
        <v>0</v>
      </c>
      <c r="L83" s="179"/>
      <c r="M83" s="135">
        <f t="shared" si="3"/>
        <v>0</v>
      </c>
      <c r="N83" s="134">
        <v>0.33</v>
      </c>
      <c r="O83" s="135">
        <f t="shared" si="4"/>
        <v>0</v>
      </c>
      <c r="P83" s="139"/>
      <c r="Q83" s="135">
        <f t="shared" si="5"/>
        <v>0</v>
      </c>
      <c r="R83" s="140">
        <f t="shared" si="9"/>
        <v>0</v>
      </c>
    </row>
    <row r="84" spans="2:18" ht="16.5" customHeight="1">
      <c r="B84" s="113" t="s">
        <v>94</v>
      </c>
      <c r="C84" s="141">
        <v>5000</v>
      </c>
      <c r="D84" s="117"/>
      <c r="E84" s="133" t="s">
        <v>80</v>
      </c>
      <c r="F84" s="134"/>
      <c r="G84" s="135">
        <f t="shared" si="6"/>
        <v>0</v>
      </c>
      <c r="H84" s="136"/>
      <c r="I84" s="135">
        <f t="shared" si="7"/>
        <v>0</v>
      </c>
      <c r="J84" s="137"/>
      <c r="K84" s="135">
        <f t="shared" si="8"/>
        <v>0</v>
      </c>
      <c r="L84" s="179"/>
      <c r="M84" s="135">
        <f t="shared" si="3"/>
        <v>0</v>
      </c>
      <c r="N84" s="182"/>
      <c r="O84" s="135">
        <f t="shared" si="4"/>
        <v>0</v>
      </c>
      <c r="P84" s="139"/>
      <c r="Q84" s="135">
        <f t="shared" si="5"/>
        <v>0</v>
      </c>
      <c r="R84" s="140">
        <f t="shared" si="9"/>
        <v>0</v>
      </c>
    </row>
    <row r="85" spans="2:18" ht="16.5" customHeight="1">
      <c r="B85" s="113" t="s">
        <v>93</v>
      </c>
      <c r="C85" s="141">
        <v>175000</v>
      </c>
      <c r="D85" s="117"/>
      <c r="E85" s="133" t="s">
        <v>79</v>
      </c>
      <c r="F85" s="134"/>
      <c r="G85" s="135">
        <f t="shared" si="6"/>
        <v>0</v>
      </c>
      <c r="H85" s="136"/>
      <c r="I85" s="135">
        <f t="shared" si="7"/>
        <v>0</v>
      </c>
      <c r="J85" s="137"/>
      <c r="K85" s="135">
        <f t="shared" si="8"/>
        <v>0</v>
      </c>
      <c r="L85" s="179"/>
      <c r="M85" s="135">
        <f t="shared" si="3"/>
        <v>0</v>
      </c>
      <c r="N85" s="182"/>
      <c r="O85" s="135">
        <f t="shared" si="4"/>
        <v>0</v>
      </c>
      <c r="P85" s="139"/>
      <c r="Q85" s="135">
        <f t="shared" si="5"/>
        <v>0</v>
      </c>
      <c r="R85" s="140">
        <f t="shared" si="9"/>
        <v>0</v>
      </c>
    </row>
    <row r="86" spans="2:18" ht="16.5" customHeight="1">
      <c r="B86" s="113" t="s">
        <v>92</v>
      </c>
      <c r="C86" s="141">
        <v>175000</v>
      </c>
      <c r="D86" s="117"/>
      <c r="E86" s="133" t="s">
        <v>78</v>
      </c>
      <c r="F86" s="134"/>
      <c r="G86" s="135">
        <f t="shared" si="6"/>
        <v>0</v>
      </c>
      <c r="H86" s="136"/>
      <c r="I86" s="135">
        <f t="shared" si="7"/>
        <v>0</v>
      </c>
      <c r="J86" s="137"/>
      <c r="K86" s="135">
        <f t="shared" si="8"/>
        <v>0</v>
      </c>
      <c r="L86" s="179"/>
      <c r="M86" s="135">
        <f t="shared" si="3"/>
        <v>0</v>
      </c>
      <c r="N86" s="182"/>
      <c r="O86" s="135">
        <f t="shared" si="4"/>
        <v>0</v>
      </c>
      <c r="P86" s="139"/>
      <c r="Q86" s="135">
        <f>SUM(P86*$B$17)*C98</f>
        <v>0</v>
      </c>
      <c r="R86" s="140">
        <f t="shared" si="9"/>
        <v>0</v>
      </c>
    </row>
    <row r="87" spans="2:18" ht="16.5" customHeight="1">
      <c r="B87" s="113" t="s">
        <v>91</v>
      </c>
      <c r="C87" s="141">
        <v>12000</v>
      </c>
      <c r="D87" s="117"/>
      <c r="E87" s="133" t="s">
        <v>77</v>
      </c>
      <c r="F87" s="134"/>
      <c r="G87" s="135">
        <f t="shared" si="6"/>
        <v>0</v>
      </c>
      <c r="H87" s="136"/>
      <c r="I87" s="135">
        <f t="shared" si="7"/>
        <v>0</v>
      </c>
      <c r="J87" s="137"/>
      <c r="K87" s="135">
        <f t="shared" si="8"/>
        <v>0</v>
      </c>
      <c r="L87" s="179"/>
      <c r="M87" s="135">
        <f t="shared" si="3"/>
        <v>0</v>
      </c>
      <c r="N87" s="134"/>
      <c r="O87" s="135">
        <f t="shared" si="4"/>
        <v>0</v>
      </c>
      <c r="P87" s="139"/>
      <c r="Q87" s="135">
        <f t="shared" si="5"/>
        <v>0</v>
      </c>
      <c r="R87" s="140">
        <f t="shared" si="9"/>
        <v>0</v>
      </c>
    </row>
    <row r="88" spans="2:18" ht="16.5" customHeight="1">
      <c r="B88" s="113" t="s">
        <v>90</v>
      </c>
      <c r="C88" s="141">
        <v>25000</v>
      </c>
      <c r="D88" s="117"/>
      <c r="E88" s="133" t="s">
        <v>76</v>
      </c>
      <c r="F88" s="134"/>
      <c r="G88" s="135">
        <f t="shared" si="6"/>
        <v>0</v>
      </c>
      <c r="H88" s="136"/>
      <c r="I88" s="135">
        <f>IF(H88&gt;0,($B$7*C100),0)</f>
        <v>0</v>
      </c>
      <c r="J88" s="137"/>
      <c r="K88" s="135">
        <f>IF(J88&gt;0,($B$8*C100),0)</f>
        <v>0</v>
      </c>
      <c r="L88" s="179"/>
      <c r="M88" s="135">
        <f t="shared" si="3"/>
        <v>0</v>
      </c>
      <c r="N88" s="182"/>
      <c r="O88" s="135">
        <f t="shared" si="4"/>
        <v>0</v>
      </c>
      <c r="P88" s="139"/>
      <c r="Q88" s="135">
        <f t="shared" si="5"/>
        <v>0</v>
      </c>
      <c r="R88" s="140">
        <f t="shared" si="9"/>
        <v>0</v>
      </c>
    </row>
    <row r="89" spans="2:18" ht="16.5" customHeight="1">
      <c r="B89" s="142" t="s">
        <v>89</v>
      </c>
      <c r="C89" s="143">
        <v>92</v>
      </c>
      <c r="D89" s="117"/>
      <c r="E89" s="133" t="s">
        <v>75</v>
      </c>
      <c r="F89" s="134"/>
      <c r="G89" s="135">
        <f t="shared" si="6"/>
        <v>0</v>
      </c>
      <c r="H89" s="136"/>
      <c r="I89" s="135">
        <f t="shared" si="7"/>
        <v>0</v>
      </c>
      <c r="J89" s="137"/>
      <c r="K89" s="135">
        <f t="shared" si="8"/>
        <v>0</v>
      </c>
      <c r="L89" s="179"/>
      <c r="M89" s="135">
        <f t="shared" si="3"/>
        <v>0</v>
      </c>
      <c r="N89" s="182"/>
      <c r="O89" s="135">
        <f t="shared" si="4"/>
        <v>0</v>
      </c>
      <c r="P89" s="139"/>
      <c r="Q89" s="135">
        <f t="shared" si="5"/>
        <v>0</v>
      </c>
      <c r="R89" s="140">
        <f>SUM(Q89+O89+M89+K89+I89+G89)</f>
        <v>0</v>
      </c>
    </row>
    <row r="90" spans="2:18" ht="16.5" customHeight="1">
      <c r="B90" s="144" t="s">
        <v>88</v>
      </c>
      <c r="C90" s="145"/>
      <c r="D90" s="117"/>
      <c r="E90" s="133" t="s">
        <v>74</v>
      </c>
      <c r="F90" s="134"/>
      <c r="G90" s="135">
        <f t="shared" si="6"/>
        <v>0</v>
      </c>
      <c r="H90" s="136"/>
      <c r="I90" s="135">
        <f t="shared" si="7"/>
        <v>0</v>
      </c>
      <c r="J90" s="137"/>
      <c r="K90" s="135">
        <f t="shared" si="8"/>
        <v>0</v>
      </c>
      <c r="L90" s="179"/>
      <c r="M90" s="135">
        <f t="shared" si="3"/>
        <v>0</v>
      </c>
      <c r="N90" s="182"/>
      <c r="O90" s="135">
        <f t="shared" si="4"/>
        <v>0</v>
      </c>
      <c r="P90" s="139"/>
      <c r="Q90" s="135">
        <f t="shared" si="5"/>
        <v>0</v>
      </c>
      <c r="R90" s="140">
        <f t="shared" si="9"/>
        <v>0</v>
      </c>
    </row>
    <row r="91" spans="2:18" ht="16.5" customHeight="1">
      <c r="B91" s="146" t="s">
        <v>87</v>
      </c>
      <c r="C91" s="147">
        <v>1</v>
      </c>
      <c r="D91" s="117"/>
      <c r="E91" s="148"/>
      <c r="F91" s="149"/>
      <c r="G91" s="150"/>
      <c r="H91" s="151"/>
      <c r="I91" s="152"/>
      <c r="J91" s="153"/>
      <c r="K91" s="152"/>
      <c r="L91" s="154"/>
      <c r="M91" s="152"/>
      <c r="N91" s="149"/>
      <c r="O91" s="152"/>
      <c r="P91" s="151"/>
      <c r="Q91" s="152"/>
      <c r="R91" s="155"/>
    </row>
    <row r="92" spans="2:18" ht="16.5" customHeight="1" thickBot="1">
      <c r="B92" s="146" t="s">
        <v>86</v>
      </c>
      <c r="C92" s="146">
        <f>SUM(C91+(C91*$B$5))</f>
        <v>1</v>
      </c>
      <c r="D92" s="117"/>
      <c r="E92" s="156" t="s">
        <v>85</v>
      </c>
      <c r="F92" s="157"/>
      <c r="G92" s="158" t="e">
        <f>SUM(G79:G90)</f>
        <v>#VALUE!</v>
      </c>
      <c r="H92" s="159"/>
      <c r="I92" s="158">
        <f>SUM(I79:I90)</f>
        <v>0</v>
      </c>
      <c r="J92" s="160"/>
      <c r="K92" s="158">
        <f>SUM(K79:K90)</f>
        <v>0</v>
      </c>
      <c r="L92" s="159"/>
      <c r="M92" s="158">
        <f>SUM(M79:M90)</f>
        <v>0</v>
      </c>
      <c r="N92" s="161"/>
      <c r="O92" s="158">
        <f>SUM(O79:O90)</f>
        <v>0</v>
      </c>
      <c r="P92" s="159"/>
      <c r="Q92" s="158">
        <f>SUM(Q79:Q90)</f>
        <v>0</v>
      </c>
      <c r="R92" s="162" t="e">
        <f>SUM(R79:R90)</f>
        <v>#VALUE!</v>
      </c>
    </row>
    <row r="93" spans="2:18" ht="16.5" customHeight="1" thickTop="1" thickBot="1">
      <c r="B93" s="146" t="s">
        <v>84</v>
      </c>
      <c r="C93" s="146">
        <f>SUM(C92+(C92*$B$5))</f>
        <v>1</v>
      </c>
      <c r="D93" s="108"/>
      <c r="E93" s="163"/>
      <c r="F93" s="164"/>
      <c r="G93" s="165"/>
      <c r="H93" s="166"/>
      <c r="I93" s="165"/>
      <c r="J93" s="167"/>
      <c r="K93" s="165"/>
      <c r="L93" s="166"/>
      <c r="M93" s="165"/>
      <c r="N93" s="164"/>
      <c r="O93" s="165"/>
      <c r="P93" s="166"/>
      <c r="Q93" s="165"/>
      <c r="R93" s="169"/>
    </row>
    <row r="94" spans="2:18" ht="16.5" customHeight="1">
      <c r="B94" s="146" t="s">
        <v>83</v>
      </c>
      <c r="C94" s="170">
        <f t="shared" ref="C94:C102" si="10">SUM(C93+(C93*$B$5))</f>
        <v>1</v>
      </c>
      <c r="D94" s="108"/>
      <c r="E94" s="108"/>
      <c r="F94" s="183"/>
      <c r="G94" s="108"/>
      <c r="H94" s="172"/>
      <c r="I94" s="108"/>
      <c r="J94" s="172"/>
      <c r="K94" s="108"/>
      <c r="L94" s="172"/>
      <c r="M94" s="108"/>
      <c r="N94" s="172"/>
      <c r="O94" s="108"/>
      <c r="P94" s="172"/>
      <c r="Q94" s="108"/>
      <c r="R94" s="108"/>
    </row>
    <row r="95" spans="2:18" ht="16.5" customHeight="1">
      <c r="B95" s="146" t="s">
        <v>82</v>
      </c>
      <c r="C95" s="170">
        <f t="shared" si="10"/>
        <v>1</v>
      </c>
      <c r="D95" s="108"/>
      <c r="E95" s="108" t="s">
        <v>124</v>
      </c>
      <c r="F95" s="183"/>
      <c r="G95" s="108"/>
      <c r="H95" s="172"/>
      <c r="I95" s="108"/>
      <c r="J95" s="172"/>
      <c r="K95" s="108"/>
      <c r="L95" s="172"/>
      <c r="M95" s="108"/>
      <c r="N95" s="172"/>
      <c r="O95" s="108"/>
      <c r="P95" s="172"/>
      <c r="Q95" s="108"/>
      <c r="R95" s="108"/>
    </row>
    <row r="96" spans="2:18" ht="16.5" customHeight="1">
      <c r="B96" s="146" t="s">
        <v>80</v>
      </c>
      <c r="C96" s="170">
        <f t="shared" si="10"/>
        <v>1</v>
      </c>
      <c r="D96" s="108"/>
      <c r="E96" s="108"/>
      <c r="F96" s="183"/>
      <c r="G96" s="108"/>
      <c r="H96" s="172"/>
      <c r="I96" s="108"/>
      <c r="J96" s="172"/>
      <c r="K96" s="108"/>
      <c r="L96" s="172"/>
      <c r="M96" s="108"/>
      <c r="N96" s="172"/>
      <c r="O96" s="108"/>
      <c r="P96" s="172"/>
      <c r="Q96" s="108"/>
      <c r="R96" s="108"/>
    </row>
    <row r="97" spans="2:18" ht="16.5" customHeight="1">
      <c r="B97" s="146" t="s">
        <v>79</v>
      </c>
      <c r="C97" s="170">
        <f t="shared" si="10"/>
        <v>1</v>
      </c>
      <c r="D97" s="108"/>
      <c r="E97" s="108"/>
      <c r="F97" s="183"/>
      <c r="G97" s="174"/>
      <c r="H97" s="175"/>
      <c r="I97" s="108"/>
      <c r="J97" s="172"/>
      <c r="K97" s="108"/>
      <c r="L97" s="172"/>
      <c r="M97" s="108"/>
      <c r="N97" s="172"/>
      <c r="O97" s="108"/>
      <c r="P97" s="172"/>
      <c r="Q97" s="108"/>
      <c r="R97" s="108"/>
    </row>
    <row r="98" spans="2:18" ht="16.5" customHeight="1">
      <c r="B98" s="146" t="s">
        <v>78</v>
      </c>
      <c r="C98" s="170">
        <f t="shared" si="10"/>
        <v>1</v>
      </c>
      <c r="D98" s="108"/>
      <c r="E98" s="108"/>
      <c r="F98" s="183"/>
      <c r="G98" s="108"/>
      <c r="H98" s="172"/>
      <c r="I98" s="108"/>
      <c r="J98" s="172"/>
      <c r="K98" s="108"/>
      <c r="L98" s="172"/>
      <c r="M98" s="108"/>
      <c r="N98" s="172"/>
      <c r="O98" s="108"/>
      <c r="P98" s="172"/>
      <c r="Q98" s="108"/>
      <c r="R98" s="108"/>
    </row>
    <row r="99" spans="2:18" ht="16.5" customHeight="1">
      <c r="B99" s="146" t="s">
        <v>77</v>
      </c>
      <c r="C99" s="170">
        <f t="shared" si="10"/>
        <v>1</v>
      </c>
      <c r="D99" s="108"/>
      <c r="E99" s="108"/>
      <c r="F99" s="183"/>
      <c r="G99" s="108"/>
      <c r="H99" s="172"/>
      <c r="I99" s="108"/>
      <c r="J99" s="172"/>
      <c r="K99" s="108"/>
      <c r="L99" s="172"/>
      <c r="M99" s="108"/>
      <c r="N99" s="172"/>
      <c r="O99" s="108"/>
      <c r="P99" s="172"/>
      <c r="Q99" s="108"/>
      <c r="R99" s="108"/>
    </row>
    <row r="100" spans="2:18" ht="16.5" customHeight="1">
      <c r="B100" s="146" t="s">
        <v>76</v>
      </c>
      <c r="C100" s="170">
        <f t="shared" si="10"/>
        <v>1</v>
      </c>
      <c r="D100" s="108"/>
      <c r="E100" s="108"/>
      <c r="F100" s="183"/>
      <c r="G100" s="108"/>
      <c r="H100" s="172"/>
      <c r="I100" s="108"/>
      <c r="J100" s="172"/>
      <c r="K100" s="108"/>
      <c r="L100" s="172"/>
      <c r="M100" s="108"/>
      <c r="N100" s="172"/>
      <c r="O100" s="108"/>
      <c r="P100" s="172"/>
      <c r="Q100" s="108"/>
      <c r="R100" s="108"/>
    </row>
    <row r="101" spans="2:18" ht="16.5" customHeight="1">
      <c r="B101" s="146" t="s">
        <v>75</v>
      </c>
      <c r="C101" s="170">
        <f t="shared" si="10"/>
        <v>1</v>
      </c>
      <c r="D101" s="108"/>
      <c r="E101" s="108"/>
      <c r="F101" s="183"/>
      <c r="G101" s="108"/>
      <c r="H101" s="172"/>
      <c r="I101" s="108"/>
      <c r="J101" s="172"/>
      <c r="K101" s="108"/>
      <c r="L101" s="172"/>
      <c r="M101" s="108"/>
      <c r="N101" s="172"/>
      <c r="O101" s="108"/>
      <c r="P101" s="172"/>
      <c r="Q101" s="108"/>
      <c r="R101" s="108"/>
    </row>
    <row r="102" spans="2:18" ht="16.5" customHeight="1">
      <c r="B102" s="146" t="s">
        <v>74</v>
      </c>
      <c r="C102" s="170">
        <f t="shared" si="10"/>
        <v>1</v>
      </c>
      <c r="D102" s="108"/>
      <c r="E102" s="108"/>
      <c r="F102" s="183"/>
      <c r="G102" s="108"/>
      <c r="H102" s="172"/>
      <c r="I102" s="108"/>
      <c r="J102" s="172"/>
      <c r="K102" s="108"/>
      <c r="L102" s="172"/>
      <c r="M102" s="108"/>
      <c r="N102" s="172"/>
      <c r="O102" s="108"/>
      <c r="P102" s="172"/>
      <c r="Q102" s="108"/>
      <c r="R102" s="108"/>
    </row>
  </sheetData>
  <mergeCells count="20">
    <mergeCell ref="E42:R42"/>
    <mergeCell ref="E43:R43"/>
    <mergeCell ref="E44:R44"/>
    <mergeCell ref="E45:R45"/>
    <mergeCell ref="F46:G46"/>
    <mergeCell ref="H46:I46"/>
    <mergeCell ref="J46:K46"/>
    <mergeCell ref="L46:M46"/>
    <mergeCell ref="N46:O46"/>
    <mergeCell ref="P46:Q46"/>
    <mergeCell ref="E73:R73"/>
    <mergeCell ref="E74:R74"/>
    <mergeCell ref="E75:R75"/>
    <mergeCell ref="E76:R76"/>
    <mergeCell ref="F77:G77"/>
    <mergeCell ref="H77:I77"/>
    <mergeCell ref="J77:K77"/>
    <mergeCell ref="L77:M77"/>
    <mergeCell ref="N77:O77"/>
    <mergeCell ref="P77:Q77"/>
  </mergeCells>
  <printOptions horizontalCentered="1"/>
  <pageMargins left="0.7" right="0.7" top="0.75" bottom="0.75" header="0.3" footer="0.3"/>
  <pageSetup scale="31" fitToWidth="0"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manualMax="0" manualMin="0" displayEmptyCellsAs="gap" markers="1" last="1">
          <x14:colorSeries rgb="FF0070C0"/>
          <x14:colorNegative rgb="FF000000"/>
          <x14:colorAxis rgb="FF000000"/>
          <x14:colorMarkers rgb="FF000000"/>
          <x14:colorFirst rgb="FF000000"/>
          <x14:colorLast rgb="FF000000"/>
          <x14:colorHigh rgb="FF000000"/>
          <x14:colorLow rgb="FF000000"/>
          <x14:sparklines>
            <x14:sparkline>
              <xm:f>'Bus 201 summary'!C19:N19</xm:f>
              <xm:sqref>P19</xm:sqref>
            </x14:sparkline>
            <x14:sparkline>
              <xm:f>'Bus 201 summary'!C20:N20</xm:f>
              <xm:sqref>P20</xm:sqref>
            </x14:sparkline>
            <x14:sparkline>
              <xm:f>'Bus 201 summary'!C21:N21</xm:f>
              <xm:sqref>P21</xm:sqref>
            </x14:sparkline>
            <x14:sparkline>
              <xm:f>'Bus 201 summary'!C22:N22</xm:f>
              <xm:sqref>P22</xm:sqref>
            </x14:sparkline>
            <x14:sparkline>
              <xm:f>'Bus 201 summary'!C23:N23</xm:f>
              <xm:sqref>P23</xm:sqref>
            </x14:sparkline>
            <x14:sparkline>
              <xm:f>'Bus 201 summary'!C24:N24</xm:f>
              <xm:sqref>P24</xm:sqref>
            </x14:sparkline>
            <x14:sparkline>
              <xm:f>'Bus 201 summary'!C25:N25</xm:f>
              <xm:sqref>P25</xm:sqref>
            </x14:sparkline>
            <x14:sparkline>
              <xm:f>'Bus 201 summary'!C26:N26</xm:f>
              <xm:sqref>P26</xm:sqref>
            </x14:sparkline>
            <x14:sparkline>
              <xm:f>'Bus 201 summary'!C27:N27</xm:f>
              <xm:sqref>P27</xm:sqref>
            </x14:sparkline>
            <x14:sparkline>
              <xm:f>'Bus 201 summary'!C28:N28</xm:f>
              <xm:sqref>P28</xm:sqref>
            </x14:sparkline>
            <x14:sparkline>
              <xm:f>'Bus 201 summary'!C29:N29</xm:f>
              <xm:sqref>P29</xm:sqref>
            </x14:sparkline>
            <x14:sparkline>
              <xm:f>'Bus 201 summary'!C30:N30</xm:f>
              <xm:sqref>P30</xm:sqref>
            </x14:sparkline>
            <x14:sparkline>
              <xm:f>'Bus 201 summary'!C31:N31</xm:f>
              <xm:sqref>P31</xm:sqref>
            </x14:sparkline>
            <x14:sparkline>
              <xm:f>'Bus 201 summary'!C32:N32</xm:f>
              <xm:sqref>P32</xm:sqref>
            </x14:sparkline>
            <x14:sparkline>
              <xm:f>'Bus 201 summary'!C33:N33</xm:f>
              <xm:sqref>P33</xm:sqref>
            </x14:sparkline>
            <x14:sparkline>
              <xm:f>'Bus 201 summary'!C34:N34</xm:f>
              <xm:sqref>P34</xm:sqref>
            </x14:sparkline>
            <x14:sparkline>
              <xm:f>'Bus 201 summary'!C35:N35</xm:f>
              <xm:sqref>P35</xm:sqref>
            </x14:sparkline>
            <x14:sparkline>
              <xm:f>'Bus 201 summary'!C36:N36</xm:f>
              <xm:sqref>P36</xm:sqref>
            </x14:sparkline>
            <x14:sparkline>
              <xm:f>'Bus 201 summary'!C37:N37</xm:f>
              <xm:sqref>P37</xm:sqref>
            </x14:sparkline>
            <x14:sparkline>
              <xm:f>'Bus 201 summary'!C38:N38</xm:f>
              <xm:sqref>P38</xm:sqref>
            </x14:sparkline>
          </x14:sparklines>
        </x14:sparklineGroup>
        <x14:sparklineGroup manualMax="0" manualMin="0"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201 summary'!C39:N39</xm:f>
              <xm:sqref>P39</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Q18"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'[13]Projected Maint Practices'!Q7</f>
        <v>5237</v>
      </c>
      <c r="D6" s="264">
        <f>'[13]True Maint Practices'!Q7</f>
        <v>2698</v>
      </c>
    </row>
    <row r="7" spans="1:6" ht="15">
      <c r="B7" s="263">
        <v>2</v>
      </c>
      <c r="C7" s="264">
        <f>'[13]Projected Maint Practices'!Q8</f>
        <v>5237</v>
      </c>
      <c r="D7" s="264">
        <f>'[13]True Maint Practices'!Q8</f>
        <v>2897</v>
      </c>
    </row>
    <row r="8" spans="1:6" ht="15">
      <c r="B8" s="263">
        <v>3</v>
      </c>
      <c r="C8" s="264">
        <f>'[13]Projected Maint Practices'!Q9</f>
        <v>5237</v>
      </c>
      <c r="D8" s="264">
        <f>'[13]True Maint Practices'!Q9</f>
        <v>9047.25</v>
      </c>
    </row>
    <row r="9" spans="1:6" ht="15">
      <c r="B9" s="263">
        <v>4</v>
      </c>
      <c r="C9" s="264">
        <f>'[13]Projected Maint Practices'!Q10</f>
        <v>5237</v>
      </c>
      <c r="D9" s="264">
        <f>'[13]True Maint Practices'!Q10</f>
        <v>12911.25</v>
      </c>
    </row>
    <row r="10" spans="1:6" ht="15">
      <c r="B10" s="263">
        <v>5</v>
      </c>
      <c r="C10" s="264">
        <f>'[13]Projected Maint Practices'!Q11</f>
        <v>14091.25</v>
      </c>
      <c r="D10" s="264">
        <f>'[13]True Maint Practices'!Q11</f>
        <v>8526.25</v>
      </c>
    </row>
    <row r="11" spans="1:6" ht="15">
      <c r="B11" s="263">
        <v>6</v>
      </c>
      <c r="C11" s="264">
        <f>'[13]Projected Maint Practices'!Q12</f>
        <v>5237</v>
      </c>
      <c r="D11" s="264">
        <f>'[13]True Maint Practices'!Q12</f>
        <v>0</v>
      </c>
    </row>
    <row r="12" spans="1:6" ht="15">
      <c r="B12" s="263">
        <v>7</v>
      </c>
      <c r="C12" s="264">
        <f>'[13]Projected Maint Practices'!Q13</f>
        <v>5237</v>
      </c>
      <c r="D12" s="264">
        <f>'[13]True Maint Practices'!Q13</f>
        <v>0</v>
      </c>
    </row>
    <row r="13" spans="1:6" ht="15">
      <c r="B13" s="263">
        <v>8</v>
      </c>
      <c r="C13" s="264">
        <f>'[13]Projected Maint Practices'!Q14</f>
        <v>5237</v>
      </c>
      <c r="D13" s="264">
        <f>'[13]True Maint Practices'!Q14</f>
        <v>0</v>
      </c>
    </row>
    <row r="14" spans="1:6" ht="15">
      <c r="B14" s="263">
        <v>9</v>
      </c>
      <c r="C14" s="264">
        <f>'[13]Projected Maint Practices'!Q15</f>
        <v>5237</v>
      </c>
      <c r="D14" s="264">
        <f>'[13]True Maint Practices'!Q15</f>
        <v>0</v>
      </c>
    </row>
    <row r="15" spans="1:6" ht="15">
      <c r="B15" s="263">
        <v>10</v>
      </c>
      <c r="C15" s="264">
        <f>'[13]Projected Maint Practices'!Q16</f>
        <v>5237</v>
      </c>
      <c r="D15" s="264">
        <f>'[13]True Maint Practices'!Q16</f>
        <v>0</v>
      </c>
    </row>
    <row r="16" spans="1:6" ht="15">
      <c r="B16" s="263">
        <v>11</v>
      </c>
      <c r="C16" s="264">
        <f>'[13]Projected Maint Practices'!Q17</f>
        <v>5237</v>
      </c>
      <c r="D16" s="264">
        <f>'[13]True Maint Practices'!Q17</f>
        <v>0</v>
      </c>
    </row>
    <row r="17" spans="2:4" ht="15">
      <c r="B17" s="263">
        <v>12</v>
      </c>
      <c r="C17" s="264">
        <f>'[13]Projected Maint Practices'!Q18</f>
        <v>5237</v>
      </c>
      <c r="D17" s="264">
        <f>'[13]True Maint Practices'!Q18</f>
        <v>0</v>
      </c>
    </row>
    <row r="18" spans="2:4" ht="15">
      <c r="B18" s="260" t="s">
        <v>1</v>
      </c>
      <c r="C18" s="264">
        <f>SUM(C6:C17)</f>
        <v>71698.25</v>
      </c>
      <c r="D18" s="264">
        <f>SUM(D6:D17)</f>
        <v>36079.75</v>
      </c>
    </row>
  </sheetData>
  <printOptions horizontalCentered="1" verticalCentered="1"/>
  <pageMargins left="0.5" right="0.5" top="0.75" bottom="0.75" header="0.5" footer="0.5"/>
  <pageSetup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43"/>
  <sheetViews>
    <sheetView showGridLines="0" topLeftCell="A7" zoomScaleNormal="100" workbookViewId="0">
      <selection activeCell="J25" sqref="J25"/>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ht="16.5" customHeight="1">
      <c r="B1" s="43"/>
      <c r="C1" s="43"/>
      <c r="D1" s="43"/>
      <c r="E1" s="43"/>
      <c r="F1" s="43"/>
      <c r="G1" s="43"/>
      <c r="H1" s="43"/>
      <c r="I1" s="43"/>
      <c r="J1" s="43"/>
      <c r="K1" s="43"/>
      <c r="L1" s="43"/>
      <c r="M1" s="43"/>
      <c r="N1" s="43"/>
      <c r="O1" s="43"/>
      <c r="P1" s="43"/>
    </row>
    <row r="2" spans="2:22" ht="31.5" customHeight="1">
      <c r="B2" s="404" t="s">
        <v>730</v>
      </c>
      <c r="C2" s="43"/>
      <c r="D2" s="43"/>
      <c r="E2" s="43"/>
      <c r="F2" s="43"/>
      <c r="G2" s="43"/>
      <c r="H2" s="43"/>
      <c r="I2" s="43"/>
      <c r="J2" s="43"/>
      <c r="K2" s="43"/>
      <c r="L2" s="43"/>
      <c r="M2" s="43"/>
      <c r="N2" s="43"/>
      <c r="O2" s="43" t="s">
        <v>233</v>
      </c>
      <c r="P2" s="43"/>
    </row>
    <row r="3" spans="2:22" ht="16.5" customHeight="1">
      <c r="B3" s="43"/>
      <c r="C3" s="43"/>
      <c r="D3" s="43"/>
      <c r="E3" s="43"/>
      <c r="F3" s="43"/>
      <c r="G3" s="43"/>
      <c r="H3" s="43"/>
      <c r="I3" s="43"/>
      <c r="J3" s="43"/>
      <c r="K3" s="43"/>
      <c r="L3" s="43"/>
      <c r="M3" s="43"/>
      <c r="N3" s="43"/>
      <c r="O3" s="43"/>
      <c r="P3" s="43"/>
    </row>
    <row r="12" spans="2:22" ht="16.5" customHeight="1">
      <c r="V12" s="1" t="s">
        <v>32</v>
      </c>
    </row>
    <row r="18" spans="2:16"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ht="16.5" customHeight="1">
      <c r="B19" s="101" t="s">
        <v>17</v>
      </c>
      <c r="C19" s="8"/>
      <c r="D19" s="8"/>
      <c r="E19" s="8"/>
      <c r="F19" s="8"/>
      <c r="G19" s="8"/>
      <c r="H19" s="8"/>
      <c r="I19" s="8">
        <v>116.87</v>
      </c>
      <c r="J19" s="8">
        <v>1069.29</v>
      </c>
      <c r="K19" s="8">
        <v>683.58</v>
      </c>
      <c r="L19" s="8"/>
      <c r="M19" s="30"/>
      <c r="N19" s="8"/>
      <c r="O19" s="4">
        <f t="shared" ref="O19:O38" si="0">SUM(C19:N19)</f>
        <v>1869.7399999999998</v>
      </c>
      <c r="P19" s="102"/>
    </row>
    <row r="20" spans="2:16" ht="16.5" customHeight="1">
      <c r="B20" s="101" t="s">
        <v>16</v>
      </c>
      <c r="C20" s="8"/>
      <c r="D20" s="8"/>
      <c r="E20" s="8"/>
      <c r="F20" s="8"/>
      <c r="G20" s="8"/>
      <c r="H20" s="8"/>
      <c r="I20" s="8"/>
      <c r="J20" s="8"/>
      <c r="K20" s="8"/>
      <c r="L20" s="8"/>
      <c r="M20" s="30"/>
      <c r="N20" s="8"/>
      <c r="O20" s="4">
        <f t="shared" si="0"/>
        <v>0</v>
      </c>
      <c r="P20" s="102"/>
    </row>
    <row r="21" spans="2:16" ht="16.5" customHeight="1">
      <c r="B21" s="101" t="s">
        <v>15</v>
      </c>
      <c r="C21" s="8"/>
      <c r="D21" s="8"/>
      <c r="E21" s="8"/>
      <c r="F21" s="8"/>
      <c r="G21" s="8"/>
      <c r="H21" s="8"/>
      <c r="I21" s="8">
        <v>48.09</v>
      </c>
      <c r="J21" s="8"/>
      <c r="K21" s="8"/>
      <c r="L21" s="8"/>
      <c r="M21" s="30"/>
      <c r="N21" s="8"/>
      <c r="O21" s="4">
        <f t="shared" si="0"/>
        <v>48.09</v>
      </c>
      <c r="P21" s="102"/>
    </row>
    <row r="22" spans="2:16" ht="16.5" customHeight="1">
      <c r="B22" s="101" t="s">
        <v>14</v>
      </c>
      <c r="C22" s="8"/>
      <c r="D22" s="8"/>
      <c r="E22" s="8"/>
      <c r="F22" s="8"/>
      <c r="G22" s="8"/>
      <c r="H22" s="8"/>
      <c r="I22" s="8">
        <v>42.89</v>
      </c>
      <c r="J22" s="8"/>
      <c r="K22" s="8"/>
      <c r="L22" s="8"/>
      <c r="M22" s="30"/>
      <c r="N22" s="8"/>
      <c r="O22" s="4">
        <f t="shared" si="0"/>
        <v>42.89</v>
      </c>
      <c r="P22" s="102"/>
    </row>
    <row r="23" spans="2:16" ht="16.5" customHeight="1">
      <c r="B23" s="101" t="s">
        <v>13</v>
      </c>
      <c r="C23" s="8"/>
      <c r="D23" s="8"/>
      <c r="E23" s="8"/>
      <c r="F23" s="8"/>
      <c r="G23" s="8"/>
      <c r="H23" s="8"/>
      <c r="I23" s="8"/>
      <c r="J23" s="8"/>
      <c r="K23" s="8"/>
      <c r="L23" s="8"/>
      <c r="M23" s="30"/>
      <c r="N23" s="8"/>
      <c r="O23" s="4">
        <f t="shared" si="0"/>
        <v>0</v>
      </c>
      <c r="P23" s="102"/>
    </row>
    <row r="24" spans="2:16" ht="16.5" customHeight="1">
      <c r="B24" s="103" t="s">
        <v>12</v>
      </c>
      <c r="C24" s="17"/>
      <c r="D24" s="17"/>
      <c r="E24" s="17"/>
      <c r="F24" s="17"/>
      <c r="G24" s="17"/>
      <c r="H24" s="17"/>
      <c r="I24" s="17"/>
      <c r="J24" s="17"/>
      <c r="K24" s="17"/>
      <c r="L24" s="17"/>
      <c r="M24" s="35"/>
      <c r="N24" s="17"/>
      <c r="O24" s="4">
        <f t="shared" si="0"/>
        <v>0</v>
      </c>
      <c r="P24" s="102"/>
    </row>
    <row r="25" spans="2:16" ht="16.5" customHeight="1">
      <c r="B25" s="103" t="s">
        <v>11</v>
      </c>
      <c r="C25" s="17"/>
      <c r="D25" s="17"/>
      <c r="E25" s="17"/>
      <c r="F25" s="17"/>
      <c r="G25" s="17"/>
      <c r="H25" s="17"/>
      <c r="I25" s="17"/>
      <c r="J25" s="17"/>
      <c r="K25" s="17"/>
      <c r="L25" s="17"/>
      <c r="M25" s="35"/>
      <c r="N25" s="17"/>
      <c r="O25" s="4">
        <f t="shared" si="0"/>
        <v>0</v>
      </c>
      <c r="P25" s="102"/>
    </row>
    <row r="26" spans="2:16" ht="16.5" customHeight="1">
      <c r="B26" s="103" t="s">
        <v>10</v>
      </c>
      <c r="C26" s="17"/>
      <c r="D26" s="17"/>
      <c r="E26" s="17"/>
      <c r="F26" s="17"/>
      <c r="G26" s="17"/>
      <c r="H26" s="17"/>
      <c r="I26" s="17"/>
      <c r="J26" s="17"/>
      <c r="K26" s="17"/>
      <c r="L26" s="17"/>
      <c r="M26" s="35"/>
      <c r="N26" s="17"/>
      <c r="O26" s="4">
        <f t="shared" si="0"/>
        <v>0</v>
      </c>
      <c r="P26" s="102"/>
    </row>
    <row r="27" spans="2:16" ht="16.5" customHeight="1">
      <c r="B27" s="103" t="s">
        <v>9</v>
      </c>
      <c r="C27" s="17"/>
      <c r="D27" s="17"/>
      <c r="E27" s="17"/>
      <c r="F27" s="17"/>
      <c r="G27" s="17"/>
      <c r="H27" s="17"/>
      <c r="I27" s="17"/>
      <c r="J27" s="17"/>
      <c r="K27" s="17"/>
      <c r="L27" s="17"/>
      <c r="M27" s="35"/>
      <c r="N27" s="17"/>
      <c r="O27" s="4">
        <f t="shared" si="0"/>
        <v>0</v>
      </c>
      <c r="P27" s="102"/>
    </row>
    <row r="28" spans="2:16" ht="16.5" hidden="1" customHeight="1">
      <c r="B28" s="7"/>
      <c r="C28" s="15"/>
      <c r="D28" s="15"/>
      <c r="E28" s="15"/>
      <c r="F28" s="15"/>
      <c r="G28" s="15"/>
      <c r="H28" s="15"/>
      <c r="I28" s="15"/>
      <c r="J28" s="15"/>
      <c r="K28" s="15"/>
      <c r="L28" s="15"/>
      <c r="M28" s="16"/>
      <c r="N28" s="15"/>
      <c r="O28" s="4">
        <f t="shared" si="0"/>
        <v>0</v>
      </c>
      <c r="P28" s="3"/>
    </row>
    <row r="29" spans="2:16" ht="16.5" hidden="1" customHeight="1">
      <c r="B29" s="7"/>
      <c r="C29" s="15"/>
      <c r="D29" s="15"/>
      <c r="E29" s="15"/>
      <c r="F29" s="15"/>
      <c r="G29" s="15"/>
      <c r="H29" s="15"/>
      <c r="I29" s="15"/>
      <c r="J29" s="15"/>
      <c r="K29" s="15"/>
      <c r="L29" s="15"/>
      <c r="M29" s="16"/>
      <c r="N29" s="15"/>
      <c r="O29" s="4">
        <f t="shared" si="0"/>
        <v>0</v>
      </c>
      <c r="P29" s="3"/>
    </row>
    <row r="30" spans="2:16" ht="16.5" hidden="1" customHeight="1">
      <c r="B30" s="7"/>
      <c r="C30" s="15"/>
      <c r="D30" s="15"/>
      <c r="E30" s="15"/>
      <c r="F30" s="15"/>
      <c r="G30" s="15"/>
      <c r="H30" s="15"/>
      <c r="I30" s="15"/>
      <c r="J30" s="15"/>
      <c r="K30" s="15"/>
      <c r="L30" s="15"/>
      <c r="M30" s="16"/>
      <c r="N30" s="15"/>
      <c r="O30" s="4">
        <f t="shared" si="0"/>
        <v>0</v>
      </c>
      <c r="P30" s="3"/>
    </row>
    <row r="31" spans="2:16" ht="16.5" hidden="1" customHeight="1">
      <c r="B31" s="7"/>
      <c r="C31" s="15"/>
      <c r="D31" s="15"/>
      <c r="E31" s="15"/>
      <c r="F31" s="15"/>
      <c r="G31" s="15"/>
      <c r="H31" s="15"/>
      <c r="I31" s="15"/>
      <c r="J31" s="15"/>
      <c r="K31" s="15"/>
      <c r="L31" s="15"/>
      <c r="M31" s="16"/>
      <c r="N31" s="15"/>
      <c r="O31" s="4">
        <f t="shared" si="0"/>
        <v>0</v>
      </c>
      <c r="P31" s="3"/>
    </row>
    <row r="32" spans="2:16" ht="16.5" customHeight="1">
      <c r="B32" s="103" t="s">
        <v>8</v>
      </c>
      <c r="C32" s="49"/>
      <c r="D32" s="49"/>
      <c r="E32" s="49"/>
      <c r="F32" s="49"/>
      <c r="G32" s="49"/>
      <c r="H32" s="49"/>
      <c r="I32" s="49"/>
      <c r="J32" s="49"/>
      <c r="K32" s="49"/>
      <c r="L32" s="49"/>
      <c r="M32" s="50"/>
      <c r="N32" s="49"/>
      <c r="O32" s="4">
        <f t="shared" si="0"/>
        <v>0</v>
      </c>
      <c r="P32" s="102"/>
    </row>
    <row r="33" spans="2:16" ht="16.5" customHeight="1">
      <c r="B33" s="103" t="s">
        <v>7</v>
      </c>
      <c r="C33" s="4"/>
      <c r="D33" s="4"/>
      <c r="E33" s="4"/>
      <c r="F33" s="4"/>
      <c r="G33" s="4"/>
      <c r="H33" s="4"/>
      <c r="I33" s="4"/>
      <c r="J33" s="4"/>
      <c r="K33" s="4"/>
      <c r="L33" s="4"/>
      <c r="M33" s="33"/>
      <c r="N33" s="4"/>
      <c r="O33" s="4">
        <f t="shared" si="0"/>
        <v>0</v>
      </c>
      <c r="P33" s="102"/>
    </row>
    <row r="34" spans="2:16" ht="16.5" customHeight="1">
      <c r="B34" s="103" t="s">
        <v>6</v>
      </c>
      <c r="C34" s="41"/>
      <c r="D34" s="41"/>
      <c r="E34" s="41"/>
      <c r="F34" s="41"/>
      <c r="G34" s="41"/>
      <c r="H34" s="41"/>
      <c r="I34" s="41"/>
      <c r="J34" s="41"/>
      <c r="K34" s="41"/>
      <c r="L34" s="41"/>
      <c r="M34" s="42"/>
      <c r="N34" s="41"/>
      <c r="O34" s="4">
        <f t="shared" si="0"/>
        <v>0</v>
      </c>
      <c r="P34" s="102"/>
    </row>
    <row r="35" spans="2:16" ht="16.5" customHeight="1">
      <c r="B35" s="103" t="s">
        <v>5</v>
      </c>
      <c r="C35" s="8"/>
      <c r="D35" s="8"/>
      <c r="E35" s="8"/>
      <c r="F35" s="8"/>
      <c r="G35" s="8"/>
      <c r="H35" s="8"/>
      <c r="I35" s="8"/>
      <c r="J35" s="8"/>
      <c r="K35" s="8">
        <v>31.32</v>
      </c>
      <c r="L35" s="8"/>
      <c r="M35" s="30"/>
      <c r="N35" s="8"/>
      <c r="O35" s="4">
        <f t="shared" si="0"/>
        <v>31.32</v>
      </c>
      <c r="P35" s="102"/>
    </row>
    <row r="36" spans="2:16" ht="16.5" customHeight="1">
      <c r="B36" s="103" t="s">
        <v>171</v>
      </c>
      <c r="C36" s="8"/>
      <c r="D36" s="8"/>
      <c r="E36" s="8"/>
      <c r="F36" s="8"/>
      <c r="G36" s="8"/>
      <c r="H36" s="8"/>
      <c r="I36" s="8">
        <v>16.05</v>
      </c>
      <c r="J36" s="8"/>
      <c r="K36" s="8"/>
      <c r="L36" s="8"/>
      <c r="M36" s="30"/>
      <c r="N36" s="8"/>
      <c r="O36" s="4">
        <f t="shared" si="0"/>
        <v>16.05</v>
      </c>
      <c r="P36" s="102"/>
    </row>
    <row r="37" spans="2:16" ht="16.5" customHeight="1">
      <c r="B37" s="103" t="s">
        <v>3</v>
      </c>
      <c r="C37" s="8"/>
      <c r="D37" s="8"/>
      <c r="E37" s="8"/>
      <c r="F37" s="8"/>
      <c r="G37" s="8"/>
      <c r="H37" s="8"/>
      <c r="I37" s="8">
        <v>134.66</v>
      </c>
      <c r="J37" s="8">
        <v>235.68</v>
      </c>
      <c r="K37" s="8">
        <v>84.66</v>
      </c>
      <c r="L37" s="8"/>
      <c r="M37" s="30"/>
      <c r="N37" s="8"/>
      <c r="O37" s="4">
        <f t="shared" si="0"/>
        <v>455</v>
      </c>
      <c r="P37" s="102"/>
    </row>
    <row r="38" spans="2:16" ht="16.5" customHeight="1">
      <c r="B38" s="103" t="s">
        <v>2</v>
      </c>
      <c r="C38" s="5"/>
      <c r="D38" s="5"/>
      <c r="E38" s="5"/>
      <c r="F38" s="5"/>
      <c r="G38" s="5"/>
      <c r="H38" s="5"/>
      <c r="I38" s="5">
        <v>200</v>
      </c>
      <c r="J38" s="5">
        <v>50</v>
      </c>
      <c r="K38" s="5">
        <v>170</v>
      </c>
      <c r="L38" s="5"/>
      <c r="M38" s="29"/>
      <c r="N38" s="5"/>
      <c r="O38" s="4">
        <f t="shared" si="0"/>
        <v>420</v>
      </c>
      <c r="P38" s="102"/>
    </row>
    <row r="39" spans="2:16" ht="16.5" customHeight="1">
      <c r="B39" s="101" t="s">
        <v>1</v>
      </c>
      <c r="C39" s="104">
        <f>SUBTOTAL(109,ExpenseSummary56[Jan])</f>
        <v>0</v>
      </c>
      <c r="D39" s="105">
        <f>SUBTOTAL(109,ExpenseSummary56[Feb])</f>
        <v>0</v>
      </c>
      <c r="E39" s="104">
        <f>SUBTOTAL(109,ExpenseSummary56[Mar])</f>
        <v>0</v>
      </c>
      <c r="F39" s="105">
        <f>SUBTOTAL(109,ExpenseSummary56[Apr])</f>
        <v>0</v>
      </c>
      <c r="G39" s="104">
        <f>SUBTOTAL(109,ExpenseSummary56[May])</f>
        <v>0</v>
      </c>
      <c r="H39" s="105">
        <f>SUBTOTAL(109,ExpenseSummary56[Jun])</f>
        <v>0</v>
      </c>
      <c r="I39" s="104">
        <f>SUBTOTAL(109,ExpenseSummary56[Jul])</f>
        <v>558.56000000000006</v>
      </c>
      <c r="J39" s="105">
        <f>SUBTOTAL(109,ExpenseSummary56[Aug])</f>
        <v>1354.97</v>
      </c>
      <c r="K39" s="104">
        <f>SUBTOTAL(109,ExpenseSummary56[Sep])</f>
        <v>969.56000000000006</v>
      </c>
      <c r="L39" s="105">
        <f>SUBTOTAL(109,ExpenseSummary56[Oct])</f>
        <v>0</v>
      </c>
      <c r="M39" s="267">
        <f>SUBTOTAL(109,ExpenseSummary56[Nov])</f>
        <v>0</v>
      </c>
      <c r="N39" s="105">
        <f>SUBTOTAL(109,ExpenseSummary56[Dec])</f>
        <v>0</v>
      </c>
      <c r="O39" s="106">
        <f>SUBTOTAL(109,ExpenseSummary56[Total])</f>
        <v>2883.0899999999997</v>
      </c>
      <c r="P39" s="102"/>
    </row>
    <row r="40" spans="2:16" ht="16.5" customHeight="1">
      <c r="B40" s="28"/>
      <c r="C40" s="28"/>
    </row>
    <row r="41" spans="2:16" ht="16.5" customHeight="1">
      <c r="B41" s="48" t="s">
        <v>729</v>
      </c>
      <c r="C41" s="48"/>
    </row>
    <row r="42" spans="2:16" ht="16.5" customHeight="1">
      <c r="B42" s="47"/>
      <c r="C42" s="47"/>
    </row>
    <row r="43" spans="2:16" ht="16.5" customHeight="1">
      <c r="B43" s="47"/>
      <c r="C43" s="47"/>
    </row>
  </sheetData>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markers="1" last="1">
          <x14:colorSeries rgb="FF323232"/>
          <x14:colorNegative rgb="FFD00000"/>
          <x14:colorAxis rgb="FF000000"/>
          <x14:colorMarkers rgb="FFD00000"/>
          <x14:colorFirst rgb="FFD00000"/>
          <x14:colorLast rgb="FFD00000"/>
          <x14:colorHigh rgb="FFD00000"/>
          <x14:colorLow rgb="FFD00000"/>
          <x14:sparklines>
            <x14:sparkline>
              <xm:f>'Bus 305 summary'!C19:N19</xm:f>
              <xm:sqref>P19</xm:sqref>
            </x14:sparkline>
            <x14:sparkline>
              <xm:f>'Bus 305 summary'!C20:N20</xm:f>
              <xm:sqref>P20</xm:sqref>
            </x14:sparkline>
            <x14:sparkline>
              <xm:f>'Bus 305 summary'!C21:N21</xm:f>
              <xm:sqref>P21</xm:sqref>
            </x14:sparkline>
            <x14:sparkline>
              <xm:f>'Bus 305 summary'!C22:N22</xm:f>
              <xm:sqref>P22</xm:sqref>
            </x14:sparkline>
            <x14:sparkline>
              <xm:f>'Bus 305 summary'!C23:N23</xm:f>
              <xm:sqref>P23</xm:sqref>
            </x14:sparkline>
            <x14:sparkline>
              <xm:f>'Bus 305 summary'!C24:N24</xm:f>
              <xm:sqref>P24</xm:sqref>
            </x14:sparkline>
            <x14:sparkline>
              <xm:f>'Bus 305 summary'!C25:N25</xm:f>
              <xm:sqref>P25</xm:sqref>
            </x14:sparkline>
            <x14:sparkline>
              <xm:f>'Bus 305 summary'!C26:N26</xm:f>
              <xm:sqref>P26</xm:sqref>
            </x14:sparkline>
            <x14:sparkline>
              <xm:f>'Bus 305 summary'!C27:N27</xm:f>
              <xm:sqref>P27</xm:sqref>
            </x14:sparkline>
            <x14:sparkline>
              <xm:f>'Bus 305 summary'!C28:N28</xm:f>
              <xm:sqref>P28</xm:sqref>
            </x14:sparkline>
            <x14:sparkline>
              <xm:f>'Bus 305 summary'!C29:N29</xm:f>
              <xm:sqref>P29</xm:sqref>
            </x14:sparkline>
            <x14:sparkline>
              <xm:f>'Bus 305 summary'!C30:N30</xm:f>
              <xm:sqref>P30</xm:sqref>
            </x14:sparkline>
            <x14:sparkline>
              <xm:f>'Bus 305 summary'!C31:N31</xm:f>
              <xm:sqref>P31</xm:sqref>
            </x14:sparkline>
            <x14:sparkline>
              <xm:f>'Bus 305 summary'!C32:N32</xm:f>
              <xm:sqref>P32</xm:sqref>
            </x14:sparkline>
            <x14:sparkline>
              <xm:f>'Bus 305 summary'!C33:N33</xm:f>
              <xm:sqref>P33</xm:sqref>
            </x14:sparkline>
            <x14:sparkline>
              <xm:f>'Bus 305 summary'!C34:N34</xm:f>
              <xm:sqref>P34</xm:sqref>
            </x14:sparkline>
            <x14:sparkline>
              <xm:f>'Bus 305 summary'!C35:N35</xm:f>
              <xm:sqref>P35</xm:sqref>
            </x14:sparkline>
            <x14:sparkline>
              <xm:f>'Bus 305 summary'!C36:N36</xm:f>
              <xm:sqref>P36</xm:sqref>
            </x14:sparkline>
            <x14:sparkline>
              <xm:f>'Bus 305 summary'!C37:N37</xm:f>
              <xm:sqref>P37</xm:sqref>
            </x14:sparkline>
            <x14:sparkline>
              <xm:f>'Bus 305 summary'!C38:N38</xm:f>
              <xm:sqref>P38</xm:sqref>
            </x14:sparkline>
          </x14:sparklines>
        </x14:sparklineGroup>
        <x14:sparklineGroup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305 summary'!C39:N39</xm:f>
              <xm:sqref>P39</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209"/>
  <sheetViews>
    <sheetView showGridLines="0" topLeftCell="A52" zoomScale="115" zoomScaleNormal="115" workbookViewId="0">
      <selection activeCell="F66" sqref="A1:XFD1048576"/>
    </sheetView>
  </sheetViews>
  <sheetFormatPr defaultColWidth="9.140625" defaultRowHeight="16.5" customHeight="1"/>
  <cols>
    <col min="1" max="1" width="3.140625" style="1" customWidth="1"/>
    <col min="2" max="4" width="12.28515625" style="1" customWidth="1"/>
    <col min="5" max="5" width="15.7109375" style="1" customWidth="1"/>
    <col min="6" max="6" width="40.28515625"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660</v>
      </c>
      <c r="G4" s="185" t="s">
        <v>45</v>
      </c>
    </row>
    <row r="5" spans="2:8" s="1" customFormat="1" ht="16.5" customHeight="1">
      <c r="B5" s="189">
        <v>42919</v>
      </c>
      <c r="C5" s="190">
        <v>10613</v>
      </c>
      <c r="D5" s="52">
        <v>134.66</v>
      </c>
      <c r="E5" s="190" t="s">
        <v>3</v>
      </c>
      <c r="F5" s="190" t="s">
        <v>746</v>
      </c>
      <c r="G5" s="191" t="s">
        <v>745</v>
      </c>
    </row>
    <row r="6" spans="2:8" s="1" customFormat="1" ht="16.5" customHeight="1">
      <c r="B6" s="189">
        <v>42919</v>
      </c>
      <c r="C6" s="190">
        <v>10613</v>
      </c>
      <c r="D6" s="52">
        <v>3.75</v>
      </c>
      <c r="E6" s="190" t="s">
        <v>171</v>
      </c>
      <c r="F6" s="190" t="s">
        <v>744</v>
      </c>
      <c r="G6" s="191" t="s">
        <v>743</v>
      </c>
    </row>
    <row r="7" spans="2:8" s="1" customFormat="1" ht="16.5" customHeight="1">
      <c r="B7" s="189">
        <v>42919</v>
      </c>
      <c r="C7" s="190">
        <v>10613</v>
      </c>
      <c r="D7" s="52">
        <v>48.09</v>
      </c>
      <c r="E7" s="190" t="s">
        <v>15</v>
      </c>
      <c r="F7" s="190" t="s">
        <v>742</v>
      </c>
      <c r="G7" s="191" t="s">
        <v>741</v>
      </c>
    </row>
    <row r="8" spans="2:8" s="1" customFormat="1" ht="16.5" customHeight="1">
      <c r="B8" s="189">
        <v>42919</v>
      </c>
      <c r="C8" s="190">
        <v>10613</v>
      </c>
      <c r="D8" s="52">
        <v>160</v>
      </c>
      <c r="E8" s="190" t="s">
        <v>2</v>
      </c>
      <c r="F8" s="190" t="s">
        <v>740</v>
      </c>
      <c r="G8" s="191"/>
    </row>
    <row r="9" spans="2:8" s="1" customFormat="1" ht="16.5" customHeight="1">
      <c r="B9" s="187">
        <v>42923</v>
      </c>
      <c r="C9" s="188">
        <v>10621</v>
      </c>
      <c r="D9" s="8">
        <v>2.87</v>
      </c>
      <c r="E9" s="188" t="s">
        <v>17</v>
      </c>
      <c r="F9" s="188" t="s">
        <v>739</v>
      </c>
      <c r="G9" s="188" t="s">
        <v>738</v>
      </c>
    </row>
    <row r="10" spans="2:8" s="1" customFormat="1" ht="16.5" customHeight="1">
      <c r="B10" s="187">
        <v>42923</v>
      </c>
      <c r="C10" s="188">
        <v>10621</v>
      </c>
      <c r="D10" s="8">
        <v>14</v>
      </c>
      <c r="E10" s="188" t="s">
        <v>17</v>
      </c>
      <c r="F10" s="188" t="s">
        <v>737</v>
      </c>
      <c r="G10" s="188" t="s">
        <v>736</v>
      </c>
    </row>
    <row r="11" spans="2:8" s="1" customFormat="1" ht="16.5" customHeight="1">
      <c r="B11" s="187">
        <v>42923</v>
      </c>
      <c r="C11" s="188">
        <v>10621</v>
      </c>
      <c r="D11" s="8">
        <v>100</v>
      </c>
      <c r="E11" s="188" t="s">
        <v>17</v>
      </c>
      <c r="F11" s="188" t="s">
        <v>735</v>
      </c>
      <c r="G11" s="188"/>
    </row>
    <row r="12" spans="2:8" s="1" customFormat="1" ht="16.5" customHeight="1">
      <c r="B12" s="189">
        <v>42944</v>
      </c>
      <c r="C12" s="190">
        <v>10662</v>
      </c>
      <c r="D12" s="52">
        <v>42.89</v>
      </c>
      <c r="E12" s="190" t="s">
        <v>14</v>
      </c>
      <c r="F12" s="190" t="s">
        <v>734</v>
      </c>
      <c r="G12" s="191" t="s">
        <v>733</v>
      </c>
    </row>
    <row r="13" spans="2:8" s="1" customFormat="1" ht="16.5" customHeight="1">
      <c r="B13" s="189">
        <v>42944</v>
      </c>
      <c r="C13" s="190">
        <v>10662</v>
      </c>
      <c r="D13" s="52">
        <v>12.3</v>
      </c>
      <c r="E13" s="190" t="s">
        <v>171</v>
      </c>
      <c r="F13" s="190" t="s">
        <v>732</v>
      </c>
      <c r="G13" s="191" t="s">
        <v>731</v>
      </c>
    </row>
    <row r="14" spans="2:8" s="1" customFormat="1" ht="16.5" customHeight="1">
      <c r="B14" s="189">
        <v>42944</v>
      </c>
      <c r="C14" s="190">
        <v>10662</v>
      </c>
      <c r="D14" s="52">
        <v>40</v>
      </c>
      <c r="E14" s="190" t="s">
        <v>2</v>
      </c>
      <c r="F14" s="190" t="s">
        <v>256</v>
      </c>
      <c r="G14" s="191"/>
    </row>
    <row r="15" spans="2:8" s="1" customFormat="1" ht="16.5" customHeight="1">
      <c r="B15" s="189"/>
      <c r="C15" s="190"/>
      <c r="D15" s="52"/>
      <c r="E15" s="190"/>
      <c r="F15" s="190"/>
      <c r="G15" s="191"/>
    </row>
    <row r="16" spans="2:8" s="1" customFormat="1" ht="16.5" customHeight="1">
      <c r="B16" s="189"/>
      <c r="C16" s="190"/>
      <c r="D16" s="52"/>
      <c r="E16" s="190"/>
      <c r="F16" s="190"/>
      <c r="G16" s="191"/>
    </row>
    <row r="17" spans="2:8" s="1" customFormat="1" ht="16.5" customHeight="1">
      <c r="B17" s="192" t="s">
        <v>1</v>
      </c>
      <c r="C17" s="193"/>
      <c r="D17" s="194">
        <f>SUBTOTAL(109,ExpJul94[Amount])</f>
        <v>558.55999999999995</v>
      </c>
      <c r="E17" s="193"/>
      <c r="F17" s="193"/>
      <c r="G17" s="192"/>
    </row>
    <row r="18" spans="2:8" s="1" customFormat="1" ht="16.5" customHeight="1">
      <c r="B18" s="195"/>
      <c r="C18" s="196"/>
      <c r="D18" s="197"/>
      <c r="E18" s="196"/>
      <c r="F18" s="196"/>
      <c r="G18" s="196"/>
      <c r="H18" s="47"/>
    </row>
    <row r="19" spans="2:8" s="1" customFormat="1" ht="25.5" customHeight="1">
      <c r="B19" s="205" t="s">
        <v>52</v>
      </c>
      <c r="C19" s="117"/>
      <c r="D19" s="117"/>
      <c r="E19" s="117"/>
      <c r="F19" s="117"/>
      <c r="G19" s="117"/>
      <c r="H19" s="47"/>
    </row>
    <row r="20" spans="2:8" s="1" customFormat="1" ht="16.5" customHeight="1">
      <c r="B20" s="117"/>
      <c r="C20" s="117"/>
      <c r="D20" s="117"/>
      <c r="E20" s="117"/>
      <c r="F20" s="117"/>
      <c r="G20" s="117"/>
      <c r="H20" s="47"/>
    </row>
    <row r="21" spans="2:8" s="1" customFormat="1" ht="16.5" customHeight="1">
      <c r="B21" s="206" t="s">
        <v>50</v>
      </c>
      <c r="C21" s="207" t="s">
        <v>53</v>
      </c>
      <c r="D21" s="206" t="s">
        <v>48</v>
      </c>
      <c r="E21" s="207" t="s">
        <v>47</v>
      </c>
      <c r="F21" s="207" t="s">
        <v>660</v>
      </c>
      <c r="G21" s="206" t="s">
        <v>45</v>
      </c>
      <c r="H21" s="47"/>
    </row>
    <row r="22" spans="2:8" s="1" customFormat="1" ht="16.5" customHeight="1">
      <c r="B22" s="25">
        <v>42950</v>
      </c>
      <c r="C22" s="51">
        <v>10681</v>
      </c>
      <c r="D22" s="211">
        <v>149.72</v>
      </c>
      <c r="E22" s="51" t="s">
        <v>3</v>
      </c>
      <c r="F22" s="51" t="s">
        <v>747</v>
      </c>
      <c r="G22" s="27" t="s">
        <v>748</v>
      </c>
      <c r="H22" s="47"/>
    </row>
    <row r="23" spans="2:8" s="1" customFormat="1" ht="16.5" customHeight="1">
      <c r="B23" s="25">
        <v>42950</v>
      </c>
      <c r="C23" s="51">
        <v>10681</v>
      </c>
      <c r="D23" s="211">
        <v>20</v>
      </c>
      <c r="E23" s="51" t="s">
        <v>2</v>
      </c>
      <c r="F23" s="51" t="s">
        <v>178</v>
      </c>
      <c r="G23" s="27"/>
      <c r="H23" s="47"/>
    </row>
    <row r="24" spans="2:8" s="1" customFormat="1" ht="16.5" customHeight="1">
      <c r="B24" s="25">
        <v>42954</v>
      </c>
      <c r="C24" s="51">
        <v>10691</v>
      </c>
      <c r="D24" s="211">
        <v>6.06</v>
      </c>
      <c r="E24" s="51" t="s">
        <v>3</v>
      </c>
      <c r="F24" s="51" t="s">
        <v>749</v>
      </c>
      <c r="G24" s="27" t="s">
        <v>750</v>
      </c>
      <c r="H24" s="47"/>
    </row>
    <row r="25" spans="2:8" s="1" customFormat="1" ht="16.5" customHeight="1">
      <c r="B25" s="25">
        <v>42954</v>
      </c>
      <c r="C25" s="51">
        <v>10691</v>
      </c>
      <c r="D25" s="211">
        <v>20</v>
      </c>
      <c r="E25" s="51" t="s">
        <v>2</v>
      </c>
      <c r="F25" s="51" t="s">
        <v>178</v>
      </c>
      <c r="G25" s="27"/>
    </row>
    <row r="26" spans="2:8" s="1" customFormat="1" ht="16.5" customHeight="1">
      <c r="B26" s="208">
        <v>42964</v>
      </c>
      <c r="C26" s="209">
        <v>10718</v>
      </c>
      <c r="D26" s="210">
        <v>2.87</v>
      </c>
      <c r="E26" s="209" t="s">
        <v>17</v>
      </c>
      <c r="F26" s="209" t="s">
        <v>751</v>
      </c>
      <c r="G26" s="209" t="s">
        <v>752</v>
      </c>
    </row>
    <row r="27" spans="2:8" s="1" customFormat="1" ht="16.5" customHeight="1">
      <c r="B27" s="208">
        <v>42964</v>
      </c>
      <c r="C27" s="209">
        <v>10718</v>
      </c>
      <c r="D27" s="210">
        <v>42.89</v>
      </c>
      <c r="E27" s="209" t="s">
        <v>17</v>
      </c>
      <c r="F27" s="209" t="s">
        <v>753</v>
      </c>
      <c r="G27" s="209" t="s">
        <v>754</v>
      </c>
    </row>
    <row r="28" spans="2:8" s="1" customFormat="1" ht="16.5" customHeight="1">
      <c r="B28" s="208">
        <v>42964</v>
      </c>
      <c r="C28" s="209">
        <v>10718</v>
      </c>
      <c r="D28" s="210">
        <v>96.18</v>
      </c>
      <c r="E28" s="209" t="s">
        <v>17</v>
      </c>
      <c r="F28" s="209" t="s">
        <v>755</v>
      </c>
      <c r="G28" s="209" t="s">
        <v>756</v>
      </c>
    </row>
    <row r="29" spans="2:8" s="1" customFormat="1" ht="16.5" customHeight="1">
      <c r="B29" s="208">
        <v>42964</v>
      </c>
      <c r="C29" s="209">
        <v>10718</v>
      </c>
      <c r="D29" s="210">
        <v>210.36</v>
      </c>
      <c r="E29" s="209" t="s">
        <v>17</v>
      </c>
      <c r="F29" s="209" t="s">
        <v>757</v>
      </c>
      <c r="G29" s="209" t="s">
        <v>758</v>
      </c>
    </row>
    <row r="30" spans="2:8" s="1" customFormat="1" ht="16.5" customHeight="1">
      <c r="B30" s="208">
        <v>42964</v>
      </c>
      <c r="C30" s="209">
        <v>10718</v>
      </c>
      <c r="D30" s="210">
        <v>42.91</v>
      </c>
      <c r="E30" s="209" t="s">
        <v>17</v>
      </c>
      <c r="F30" s="209" t="s">
        <v>759</v>
      </c>
      <c r="G30" s="209" t="s">
        <v>760</v>
      </c>
    </row>
    <row r="31" spans="2:8" s="1" customFormat="1" ht="16.5" customHeight="1">
      <c r="B31" s="208">
        <v>42964</v>
      </c>
      <c r="C31" s="209">
        <v>10718</v>
      </c>
      <c r="D31" s="210">
        <v>418.88</v>
      </c>
      <c r="E31" s="209" t="s">
        <v>17</v>
      </c>
      <c r="F31" s="209" t="s">
        <v>761</v>
      </c>
      <c r="G31" s="209" t="s">
        <v>762</v>
      </c>
    </row>
    <row r="32" spans="2:8" s="1" customFormat="1" ht="16.5" customHeight="1">
      <c r="B32" s="208">
        <v>42964</v>
      </c>
      <c r="C32" s="209">
        <v>10718</v>
      </c>
      <c r="D32" s="210">
        <v>1.2</v>
      </c>
      <c r="E32" s="209" t="s">
        <v>17</v>
      </c>
      <c r="F32" s="209" t="s">
        <v>763</v>
      </c>
      <c r="G32" s="209" t="s">
        <v>764</v>
      </c>
    </row>
    <row r="33" spans="2:7" s="1" customFormat="1" ht="16.5" customHeight="1">
      <c r="B33" s="341">
        <v>42964</v>
      </c>
      <c r="C33" s="342">
        <v>10718</v>
      </c>
      <c r="D33" s="343">
        <v>14</v>
      </c>
      <c r="E33" s="342" t="s">
        <v>17</v>
      </c>
      <c r="F33" s="342" t="s">
        <v>765</v>
      </c>
      <c r="G33" s="342" t="s">
        <v>766</v>
      </c>
    </row>
    <row r="34" spans="2:7" s="1" customFormat="1" ht="16.5" customHeight="1">
      <c r="B34" s="341">
        <v>42964</v>
      </c>
      <c r="C34" s="342">
        <v>10718</v>
      </c>
      <c r="D34" s="343">
        <v>240</v>
      </c>
      <c r="E34" s="342" t="s">
        <v>17</v>
      </c>
      <c r="F34" s="342" t="s">
        <v>767</v>
      </c>
      <c r="G34" s="342"/>
    </row>
    <row r="35" spans="2:7" s="1" customFormat="1" ht="16.5" customHeight="1">
      <c r="B35" s="337">
        <v>42975</v>
      </c>
      <c r="C35" s="338">
        <v>10748</v>
      </c>
      <c r="D35" s="339">
        <v>44.61</v>
      </c>
      <c r="E35" s="338" t="s">
        <v>3</v>
      </c>
      <c r="F35" s="338" t="s">
        <v>768</v>
      </c>
      <c r="G35" s="340" t="s">
        <v>769</v>
      </c>
    </row>
    <row r="36" spans="2:7" s="1" customFormat="1" ht="16.5" customHeight="1">
      <c r="B36" s="337">
        <v>42975</v>
      </c>
      <c r="C36" s="338">
        <v>10748</v>
      </c>
      <c r="D36" s="339">
        <v>35.29</v>
      </c>
      <c r="E36" s="338" t="s">
        <v>3</v>
      </c>
      <c r="F36" s="338" t="s">
        <v>770</v>
      </c>
      <c r="G36" s="340" t="s">
        <v>771</v>
      </c>
    </row>
    <row r="37" spans="2:7" s="1" customFormat="1" ht="16.5" customHeight="1">
      <c r="B37" s="337">
        <v>42975</v>
      </c>
      <c r="C37" s="338">
        <v>10748</v>
      </c>
      <c r="D37" s="339">
        <v>10</v>
      </c>
      <c r="E37" s="338" t="s">
        <v>2</v>
      </c>
      <c r="F37" s="338" t="s">
        <v>772</v>
      </c>
      <c r="G37" s="340"/>
    </row>
    <row r="38" spans="2:7" s="1" customFormat="1" ht="16.5" customHeight="1">
      <c r="B38" s="337"/>
      <c r="C38" s="338"/>
      <c r="D38" s="339"/>
      <c r="E38" s="338"/>
      <c r="F38" s="338"/>
      <c r="G38" s="340"/>
    </row>
    <row r="39" spans="2:7" s="1" customFormat="1" ht="16.5" customHeight="1">
      <c r="B39" s="212" t="s">
        <v>1</v>
      </c>
      <c r="C39" s="213"/>
      <c r="D39" s="214">
        <f>SUBTOTAL(109,ExpAug95[Amount])</f>
        <v>1354.97</v>
      </c>
      <c r="E39" s="213"/>
      <c r="F39" s="213"/>
      <c r="G39" s="212"/>
    </row>
    <row r="41" spans="2:7" s="1" customFormat="1" ht="24" customHeight="1">
      <c r="B41" s="205" t="s">
        <v>56</v>
      </c>
      <c r="C41" s="117"/>
      <c r="D41" s="117"/>
      <c r="E41" s="117"/>
      <c r="F41" s="117"/>
      <c r="G41" s="117"/>
    </row>
    <row r="42" spans="2:7" s="1" customFormat="1" ht="16.5" customHeight="1">
      <c r="B42" s="117"/>
      <c r="C42" s="117"/>
      <c r="D42" s="117"/>
      <c r="E42" s="117"/>
      <c r="F42" s="117"/>
      <c r="G42" s="117"/>
    </row>
    <row r="43" spans="2:7" s="1" customFormat="1" ht="16.5" customHeight="1">
      <c r="B43" s="206" t="s">
        <v>50</v>
      </c>
      <c r="C43" s="207" t="s">
        <v>53</v>
      </c>
      <c r="D43" s="206" t="s">
        <v>48</v>
      </c>
      <c r="E43" s="207" t="s">
        <v>47</v>
      </c>
      <c r="F43" s="207" t="s">
        <v>660</v>
      </c>
      <c r="G43" s="206" t="s">
        <v>45</v>
      </c>
    </row>
    <row r="44" spans="2:7" s="1" customFormat="1" ht="16.5" customHeight="1">
      <c r="B44" s="25">
        <v>42984</v>
      </c>
      <c r="C44" s="51">
        <v>10774</v>
      </c>
      <c r="D44" s="211">
        <v>7.83</v>
      </c>
      <c r="E44" s="51" t="s">
        <v>3</v>
      </c>
      <c r="F44" s="51" t="s">
        <v>773</v>
      </c>
      <c r="G44" s="27" t="s">
        <v>774</v>
      </c>
    </row>
    <row r="45" spans="2:7" s="1" customFormat="1" ht="16.5" customHeight="1">
      <c r="B45" s="25">
        <v>42984</v>
      </c>
      <c r="C45" s="51">
        <v>10774</v>
      </c>
      <c r="D45" s="211">
        <v>10</v>
      </c>
      <c r="E45" s="51" t="s">
        <v>2</v>
      </c>
      <c r="F45" s="51" t="s">
        <v>663</v>
      </c>
      <c r="G45" s="27"/>
    </row>
    <row r="46" spans="2:7" s="1" customFormat="1" ht="16.5" customHeight="1">
      <c r="B46" s="25">
        <v>42984</v>
      </c>
      <c r="C46" s="51">
        <v>10775</v>
      </c>
      <c r="D46" s="211">
        <v>6.06</v>
      </c>
      <c r="E46" s="51" t="s">
        <v>3</v>
      </c>
      <c r="F46" s="51" t="s">
        <v>775</v>
      </c>
      <c r="G46" s="27" t="s">
        <v>776</v>
      </c>
    </row>
    <row r="47" spans="2:7" s="1" customFormat="1" ht="16.5" customHeight="1">
      <c r="B47" s="25">
        <v>42984</v>
      </c>
      <c r="C47" s="51">
        <v>10775</v>
      </c>
      <c r="D47" s="211">
        <v>10</v>
      </c>
      <c r="E47" s="51" t="s">
        <v>2</v>
      </c>
      <c r="F47" s="51" t="s">
        <v>663</v>
      </c>
      <c r="G47" s="27"/>
    </row>
    <row r="48" spans="2:7" s="1" customFormat="1" ht="16.5" customHeight="1">
      <c r="B48" s="25">
        <v>42986</v>
      </c>
      <c r="C48" s="51">
        <v>10780</v>
      </c>
      <c r="D48" s="211">
        <v>33.950000000000003</v>
      </c>
      <c r="E48" s="51" t="s">
        <v>3</v>
      </c>
      <c r="F48" s="51" t="s">
        <v>777</v>
      </c>
      <c r="G48" s="27" t="s">
        <v>778</v>
      </c>
    </row>
    <row r="49" spans="2:7" s="1" customFormat="1" ht="16.5" customHeight="1">
      <c r="B49" s="25">
        <v>42986</v>
      </c>
      <c r="C49" s="51">
        <v>10780</v>
      </c>
      <c r="D49" s="211">
        <v>20</v>
      </c>
      <c r="E49" s="51" t="s">
        <v>2</v>
      </c>
      <c r="F49" s="51" t="s">
        <v>399</v>
      </c>
      <c r="G49" s="27"/>
    </row>
    <row r="50" spans="2:7" s="1" customFormat="1" ht="16.5" customHeight="1">
      <c r="B50" s="25">
        <v>42989</v>
      </c>
      <c r="C50" s="51">
        <v>10784</v>
      </c>
      <c r="D50" s="211">
        <v>36.82</v>
      </c>
      <c r="E50" s="51" t="s">
        <v>3</v>
      </c>
      <c r="F50" s="51" t="s">
        <v>779</v>
      </c>
      <c r="G50" s="27" t="s">
        <v>780</v>
      </c>
    </row>
    <row r="51" spans="2:7" s="1" customFormat="1" ht="16.5" customHeight="1">
      <c r="B51" s="25">
        <v>42989</v>
      </c>
      <c r="C51" s="51">
        <v>10784</v>
      </c>
      <c r="D51" s="211">
        <v>120</v>
      </c>
      <c r="E51" s="51" t="s">
        <v>2</v>
      </c>
      <c r="F51" s="51" t="s">
        <v>781</v>
      </c>
      <c r="G51" s="27"/>
    </row>
    <row r="52" spans="2:7" s="1" customFormat="1" ht="16.5" customHeight="1">
      <c r="B52" s="25">
        <v>43005</v>
      </c>
      <c r="C52" s="51">
        <v>10825</v>
      </c>
      <c r="D52" s="211">
        <v>7.83</v>
      </c>
      <c r="E52" s="51" t="s">
        <v>5</v>
      </c>
      <c r="F52" s="51" t="s">
        <v>782</v>
      </c>
      <c r="G52" s="27" t="s">
        <v>783</v>
      </c>
    </row>
    <row r="53" spans="2:7" s="1" customFormat="1" ht="16.5" customHeight="1">
      <c r="B53" s="337">
        <v>43006</v>
      </c>
      <c r="C53" s="338">
        <v>10829</v>
      </c>
      <c r="D53" s="339">
        <v>15.66</v>
      </c>
      <c r="E53" s="338" t="s">
        <v>5</v>
      </c>
      <c r="F53" s="338" t="s">
        <v>784</v>
      </c>
      <c r="G53" s="340" t="s">
        <v>783</v>
      </c>
    </row>
    <row r="54" spans="2:7" s="1" customFormat="1" ht="16.5" customHeight="1">
      <c r="B54" s="337">
        <v>43006</v>
      </c>
      <c r="C54" s="338">
        <v>10832</v>
      </c>
      <c r="D54" s="339">
        <v>7.83</v>
      </c>
      <c r="E54" s="338" t="s">
        <v>5</v>
      </c>
      <c r="F54" s="338" t="s">
        <v>785</v>
      </c>
      <c r="G54" s="340" t="s">
        <v>786</v>
      </c>
    </row>
    <row r="55" spans="2:7" s="1" customFormat="1" ht="16.5" customHeight="1">
      <c r="B55" s="337">
        <v>43006</v>
      </c>
      <c r="C55" s="338">
        <v>10832</v>
      </c>
      <c r="D55" s="339">
        <v>10</v>
      </c>
      <c r="E55" s="338" t="s">
        <v>2</v>
      </c>
      <c r="F55" s="338" t="s">
        <v>33</v>
      </c>
      <c r="G55" s="340"/>
    </row>
    <row r="56" spans="2:7" s="1" customFormat="1" ht="16.5" customHeight="1">
      <c r="B56" s="341">
        <v>43006</v>
      </c>
      <c r="C56" s="342">
        <v>10835</v>
      </c>
      <c r="D56" s="343">
        <v>2.87</v>
      </c>
      <c r="E56" s="342" t="s">
        <v>17</v>
      </c>
      <c r="F56" s="342" t="s">
        <v>787</v>
      </c>
      <c r="G56" s="342" t="s">
        <v>788</v>
      </c>
    </row>
    <row r="57" spans="2:7" s="1" customFormat="1" ht="16.5" customHeight="1">
      <c r="B57" s="341">
        <v>43006</v>
      </c>
      <c r="C57" s="342">
        <v>10835</v>
      </c>
      <c r="D57" s="343">
        <v>15.12</v>
      </c>
      <c r="E57" s="342" t="s">
        <v>789</v>
      </c>
      <c r="F57" s="342" t="s">
        <v>790</v>
      </c>
      <c r="G57" s="342" t="s">
        <v>791</v>
      </c>
    </row>
    <row r="58" spans="2:7" s="1" customFormat="1" ht="16.5" customHeight="1">
      <c r="B58" s="341">
        <v>43006</v>
      </c>
      <c r="C58" s="342">
        <v>10835</v>
      </c>
      <c r="D58" s="343">
        <v>3.47</v>
      </c>
      <c r="E58" s="342" t="s">
        <v>17</v>
      </c>
      <c r="F58" s="342" t="s">
        <v>792</v>
      </c>
      <c r="G58" s="342" t="s">
        <v>793</v>
      </c>
    </row>
    <row r="59" spans="2:7" s="1" customFormat="1" ht="16.5" customHeight="1">
      <c r="B59" s="341">
        <v>43006</v>
      </c>
      <c r="C59" s="342">
        <v>10835</v>
      </c>
      <c r="D59" s="343">
        <v>6.06</v>
      </c>
      <c r="E59" s="342" t="s">
        <v>17</v>
      </c>
      <c r="F59" s="342" t="s">
        <v>794</v>
      </c>
      <c r="G59" s="342" t="s">
        <v>795</v>
      </c>
    </row>
    <row r="60" spans="2:7" s="1" customFormat="1" ht="16.5" customHeight="1">
      <c r="B60" s="341">
        <v>43006</v>
      </c>
      <c r="C60" s="342">
        <v>10835</v>
      </c>
      <c r="D60" s="343">
        <v>502.06</v>
      </c>
      <c r="E60" s="342" t="s">
        <v>17</v>
      </c>
      <c r="F60" s="342" t="s">
        <v>796</v>
      </c>
      <c r="G60" s="342" t="s">
        <v>797</v>
      </c>
    </row>
    <row r="61" spans="2:7" s="1" customFormat="1" ht="16.5" customHeight="1">
      <c r="B61" s="341">
        <v>43006</v>
      </c>
      <c r="C61" s="342">
        <v>10835</v>
      </c>
      <c r="D61" s="343">
        <v>14</v>
      </c>
      <c r="E61" s="342" t="s">
        <v>17</v>
      </c>
      <c r="F61" s="342" t="s">
        <v>798</v>
      </c>
      <c r="G61" s="342" t="s">
        <v>799</v>
      </c>
    </row>
    <row r="62" spans="2:7" s="1" customFormat="1" ht="16.5" customHeight="1">
      <c r="B62" s="341">
        <v>43006</v>
      </c>
      <c r="C62" s="342">
        <v>10835</v>
      </c>
      <c r="D62" s="343">
        <v>140</v>
      </c>
      <c r="E62" s="342" t="s">
        <v>17</v>
      </c>
      <c r="F62" s="342" t="s">
        <v>800</v>
      </c>
      <c r="G62" s="342"/>
    </row>
    <row r="63" spans="2:7" s="1" customFormat="1" ht="16.5" customHeight="1">
      <c r="B63" s="337"/>
      <c r="C63" s="338"/>
      <c r="D63" s="339"/>
      <c r="E63" s="338"/>
      <c r="F63" s="338"/>
      <c r="G63" s="340"/>
    </row>
    <row r="64" spans="2:7" s="1" customFormat="1" ht="16.5" customHeight="1">
      <c r="B64" s="212" t="s">
        <v>1</v>
      </c>
      <c r="C64" s="213"/>
      <c r="D64" s="214">
        <f>SUBTOTAL(109,ExpSep96[Amount])</f>
        <v>969.56000000000006</v>
      </c>
      <c r="E64" s="213"/>
      <c r="F64" s="213"/>
      <c r="G64" s="212"/>
    </row>
    <row r="66" spans="2:7" s="1" customFormat="1" ht="27" customHeight="1">
      <c r="B66" s="205" t="s">
        <v>70</v>
      </c>
      <c r="C66" s="117"/>
      <c r="D66" s="117"/>
      <c r="E66" s="117"/>
      <c r="F66" s="117"/>
      <c r="G66" s="117"/>
    </row>
    <row r="67" spans="2:7" s="1" customFormat="1" ht="16.5" customHeight="1">
      <c r="B67" s="117"/>
      <c r="C67" s="117"/>
      <c r="D67" s="117"/>
      <c r="E67" s="117"/>
      <c r="F67" s="117"/>
      <c r="G67" s="117"/>
    </row>
    <row r="68" spans="2:7" s="1" customFormat="1" ht="16.5" customHeight="1">
      <c r="B68" s="206" t="s">
        <v>50</v>
      </c>
      <c r="C68" s="207" t="s">
        <v>71</v>
      </c>
      <c r="D68" s="206" t="s">
        <v>48</v>
      </c>
      <c r="E68" s="207" t="s">
        <v>47</v>
      </c>
      <c r="F68" s="207" t="s">
        <v>660</v>
      </c>
      <c r="G68" s="206" t="s">
        <v>45</v>
      </c>
    </row>
    <row r="69" spans="2:7" s="1" customFormat="1" ht="16.5" customHeight="1">
      <c r="B69" s="25">
        <v>43020</v>
      </c>
      <c r="C69" s="51">
        <v>10865</v>
      </c>
      <c r="D69" s="211">
        <v>7.83</v>
      </c>
      <c r="E69" s="51" t="s">
        <v>5</v>
      </c>
      <c r="F69" s="51" t="s">
        <v>1693</v>
      </c>
      <c r="G69" s="27" t="s">
        <v>1694</v>
      </c>
    </row>
    <row r="70" spans="2:7" s="1" customFormat="1" ht="16.5" customHeight="1">
      <c r="B70" s="25">
        <v>43020</v>
      </c>
      <c r="C70" s="51">
        <v>10865</v>
      </c>
      <c r="D70" s="211">
        <v>10</v>
      </c>
      <c r="E70" s="51" t="s">
        <v>2</v>
      </c>
      <c r="F70" s="51" t="s">
        <v>555</v>
      </c>
      <c r="G70" s="27"/>
    </row>
    <row r="71" spans="2:7" s="1" customFormat="1" ht="16.5" customHeight="1">
      <c r="B71" s="25">
        <v>43021</v>
      </c>
      <c r="C71" s="51" t="s">
        <v>1707</v>
      </c>
      <c r="D71" s="211">
        <v>12</v>
      </c>
      <c r="E71" s="51" t="s">
        <v>1708</v>
      </c>
      <c r="F71" s="51" t="s">
        <v>1709</v>
      </c>
      <c r="G71" s="27"/>
    </row>
    <row r="72" spans="2:7" s="1" customFormat="1" ht="16.5" customHeight="1">
      <c r="B72" s="25">
        <v>43026</v>
      </c>
      <c r="C72" s="51">
        <v>10874</v>
      </c>
      <c r="D72" s="211">
        <v>221.94</v>
      </c>
      <c r="E72" s="51" t="s">
        <v>3</v>
      </c>
      <c r="F72" s="51" t="s">
        <v>1729</v>
      </c>
      <c r="G72" s="27" t="s">
        <v>1730</v>
      </c>
    </row>
    <row r="73" spans="2:7" s="1" customFormat="1" ht="16.5" customHeight="1">
      <c r="B73" s="25">
        <v>43026</v>
      </c>
      <c r="C73" s="51">
        <v>10874</v>
      </c>
      <c r="D73" s="211">
        <v>73.599999999999994</v>
      </c>
      <c r="E73" s="51" t="s">
        <v>3</v>
      </c>
      <c r="F73" s="51" t="s">
        <v>1731</v>
      </c>
      <c r="G73" s="27" t="s">
        <v>1732</v>
      </c>
    </row>
    <row r="74" spans="2:7" s="1" customFormat="1" ht="16.5" customHeight="1">
      <c r="B74" s="25">
        <v>43026</v>
      </c>
      <c r="C74" s="51">
        <v>10874</v>
      </c>
      <c r="D74" s="211">
        <v>41.9</v>
      </c>
      <c r="E74" s="51" t="s">
        <v>3</v>
      </c>
      <c r="F74" s="51" t="s">
        <v>1733</v>
      </c>
      <c r="G74" s="27" t="s">
        <v>1734</v>
      </c>
    </row>
    <row r="75" spans="2:7" s="1" customFormat="1" ht="16.5" customHeight="1">
      <c r="B75" s="25">
        <v>43026</v>
      </c>
      <c r="C75" s="51">
        <v>10874</v>
      </c>
      <c r="D75" s="211">
        <v>74.22</v>
      </c>
      <c r="E75" s="51" t="s">
        <v>3</v>
      </c>
      <c r="F75" s="51" t="s">
        <v>1735</v>
      </c>
      <c r="G75" s="27" t="s">
        <v>1736</v>
      </c>
    </row>
    <row r="76" spans="2:7" s="1" customFormat="1" ht="16.5" customHeight="1">
      <c r="B76" s="25">
        <v>43026</v>
      </c>
      <c r="C76" s="51">
        <v>10874</v>
      </c>
      <c r="D76" s="211">
        <v>29.33</v>
      </c>
      <c r="E76" s="51" t="s">
        <v>3</v>
      </c>
      <c r="F76" s="51" t="s">
        <v>1737</v>
      </c>
      <c r="G76" s="27" t="s">
        <v>1738</v>
      </c>
    </row>
    <row r="77" spans="2:7" s="1" customFormat="1" ht="16.5" customHeight="1">
      <c r="B77" s="25">
        <v>43026</v>
      </c>
      <c r="C77" s="51">
        <v>10874</v>
      </c>
      <c r="D77" s="211">
        <v>160</v>
      </c>
      <c r="E77" s="51" t="s">
        <v>2</v>
      </c>
      <c r="F77" s="51" t="s">
        <v>1739</v>
      </c>
      <c r="G77" s="27"/>
    </row>
    <row r="78" spans="2:7" s="1" customFormat="1" ht="16.5" customHeight="1">
      <c r="B78" s="25"/>
      <c r="C78" s="51"/>
      <c r="D78" s="211"/>
      <c r="E78" s="51"/>
      <c r="F78" s="51"/>
      <c r="G78" s="27"/>
    </row>
    <row r="79" spans="2:7" s="1" customFormat="1" ht="16.5" customHeight="1">
      <c r="B79" s="25"/>
      <c r="C79" s="51"/>
      <c r="D79" s="211"/>
      <c r="E79" s="51"/>
      <c r="F79" s="51"/>
      <c r="G79" s="27"/>
    </row>
    <row r="80" spans="2:7" s="1" customFormat="1" ht="16.5" customHeight="1">
      <c r="B80" s="212" t="s">
        <v>1</v>
      </c>
      <c r="C80" s="213"/>
      <c r="D80" s="214">
        <f>SUBTOTAL(109,ExpOct97[Amount])</f>
        <v>630.81999999999994</v>
      </c>
      <c r="E80" s="213"/>
      <c r="F80" s="213"/>
      <c r="G80" s="212"/>
    </row>
    <row r="82" spans="2:7" s="1" customFormat="1" ht="28.5" customHeight="1">
      <c r="B82" s="205" t="s">
        <v>159</v>
      </c>
      <c r="C82" s="117"/>
      <c r="D82" s="117"/>
      <c r="E82" s="117"/>
      <c r="F82" s="117"/>
      <c r="G82" s="117"/>
    </row>
    <row r="83" spans="2:7" s="1" customFormat="1" ht="16.5" customHeight="1">
      <c r="B83" s="117"/>
      <c r="C83" s="117"/>
      <c r="D83" s="117"/>
      <c r="E83" s="117"/>
      <c r="F83" s="117"/>
      <c r="G83" s="117"/>
    </row>
    <row r="84" spans="2:7" s="1" customFormat="1" ht="16.5" customHeight="1">
      <c r="B84" s="206" t="s">
        <v>50</v>
      </c>
      <c r="C84" s="207" t="s">
        <v>71</v>
      </c>
      <c r="D84" s="206" t="s">
        <v>48</v>
      </c>
      <c r="E84" s="207" t="s">
        <v>47</v>
      </c>
      <c r="F84" s="207" t="s">
        <v>161</v>
      </c>
      <c r="G84" s="206" t="s">
        <v>160</v>
      </c>
    </row>
    <row r="85" spans="2:7" s="1" customFormat="1" ht="16.5" customHeight="1">
      <c r="B85" s="25"/>
      <c r="C85" s="51"/>
      <c r="D85" s="211"/>
      <c r="E85" s="51"/>
      <c r="F85" s="51"/>
      <c r="G85" s="27"/>
    </row>
    <row r="86" spans="2:7" s="1" customFormat="1" ht="16.5" customHeight="1">
      <c r="B86" s="25"/>
      <c r="C86" s="51"/>
      <c r="D86" s="211"/>
      <c r="E86" s="51"/>
      <c r="F86" s="51"/>
      <c r="G86" s="27"/>
    </row>
    <row r="87" spans="2:7" s="1" customFormat="1" ht="16.5" customHeight="1">
      <c r="B87" s="25"/>
      <c r="C87" s="51"/>
      <c r="D87" s="211"/>
      <c r="E87" s="51"/>
      <c r="F87" s="51"/>
      <c r="G87" s="27"/>
    </row>
    <row r="88" spans="2:7" s="1" customFormat="1" ht="16.5" customHeight="1">
      <c r="B88" s="25"/>
      <c r="C88" s="51"/>
      <c r="D88" s="211"/>
      <c r="E88" s="51"/>
      <c r="F88" s="51"/>
      <c r="G88" s="27"/>
    </row>
    <row r="89" spans="2:7" s="1" customFormat="1" ht="16.5" customHeight="1">
      <c r="B89" s="25"/>
      <c r="C89" s="51"/>
      <c r="D89" s="211"/>
      <c r="E89" s="51"/>
      <c r="F89" s="51"/>
      <c r="G89" s="27"/>
    </row>
    <row r="90" spans="2:7" s="1" customFormat="1" ht="16.5" customHeight="1">
      <c r="B90" s="25"/>
      <c r="C90" s="51"/>
      <c r="D90" s="211"/>
      <c r="E90" s="51"/>
      <c r="F90" s="51"/>
      <c r="G90" s="27"/>
    </row>
    <row r="91" spans="2:7" s="1" customFormat="1" ht="16.5" customHeight="1">
      <c r="B91" s="25"/>
      <c r="C91" s="51"/>
      <c r="D91" s="211"/>
      <c r="E91" s="51"/>
      <c r="F91" s="51"/>
      <c r="G91" s="27"/>
    </row>
    <row r="92" spans="2:7" s="1" customFormat="1" ht="16.5" customHeight="1">
      <c r="B92" s="25"/>
      <c r="C92" s="51"/>
      <c r="D92" s="211"/>
      <c r="E92" s="51"/>
      <c r="F92" s="51"/>
      <c r="G92" s="27"/>
    </row>
    <row r="93" spans="2:7" s="1" customFormat="1" ht="16.5" customHeight="1">
      <c r="B93" s="25"/>
      <c r="C93" s="51"/>
      <c r="D93" s="211"/>
      <c r="E93" s="51"/>
      <c r="F93" s="51"/>
      <c r="G93" s="27"/>
    </row>
    <row r="94" spans="2:7" s="1" customFormat="1" ht="16.5" customHeight="1">
      <c r="B94" s="25"/>
      <c r="C94" s="51"/>
      <c r="D94" s="211"/>
      <c r="E94" s="51"/>
      <c r="F94" s="51"/>
      <c r="G94" s="27"/>
    </row>
    <row r="95" spans="2:7" s="1" customFormat="1" ht="16.5" customHeight="1">
      <c r="B95" s="212" t="s">
        <v>1</v>
      </c>
      <c r="C95" s="213"/>
      <c r="D95" s="214">
        <f>SUBTOTAL(109,ExpNov98[Amount])</f>
        <v>0</v>
      </c>
      <c r="E95" s="213"/>
      <c r="F95" s="213"/>
      <c r="G95" s="212"/>
    </row>
    <row r="97" spans="2:7" s="1" customFormat="1" ht="26.25" customHeight="1">
      <c r="B97" s="205" t="s">
        <v>162</v>
      </c>
      <c r="C97" s="117"/>
      <c r="D97" s="117"/>
      <c r="E97" s="117"/>
      <c r="F97" s="117"/>
      <c r="G97" s="117"/>
    </row>
    <row r="98" spans="2:7" s="1" customFormat="1" ht="16.5" customHeight="1">
      <c r="B98" s="117"/>
      <c r="C98" s="117"/>
      <c r="D98" s="117"/>
      <c r="E98" s="117"/>
      <c r="F98" s="117"/>
      <c r="G98" s="117"/>
    </row>
    <row r="99" spans="2:7" s="1" customFormat="1" ht="16.5" customHeight="1">
      <c r="B99" s="206" t="s">
        <v>50</v>
      </c>
      <c r="C99" s="207" t="s">
        <v>71</v>
      </c>
      <c r="D99" s="206" t="s">
        <v>48</v>
      </c>
      <c r="E99" s="207" t="s">
        <v>47</v>
      </c>
      <c r="F99" s="207" t="s">
        <v>161</v>
      </c>
      <c r="G99" s="206" t="s">
        <v>160</v>
      </c>
    </row>
    <row r="100" spans="2:7" s="1" customFormat="1" ht="16.5" customHeight="1">
      <c r="B100" s="25"/>
      <c r="C100" s="51"/>
      <c r="D100" s="211"/>
      <c r="E100" s="51"/>
      <c r="F100" s="51"/>
      <c r="G100" s="27"/>
    </row>
    <row r="101" spans="2:7" s="1" customFormat="1" ht="16.5" customHeight="1">
      <c r="B101" s="25"/>
      <c r="C101" s="51"/>
      <c r="D101" s="211"/>
      <c r="E101" s="51"/>
      <c r="F101" s="51"/>
      <c r="G101" s="27"/>
    </row>
    <row r="102" spans="2:7" s="1" customFormat="1" ht="16.5" customHeight="1">
      <c r="B102" s="25"/>
      <c r="C102" s="51"/>
      <c r="D102" s="211"/>
      <c r="E102" s="51"/>
      <c r="F102" s="51"/>
      <c r="G102" s="27"/>
    </row>
    <row r="103" spans="2:7" s="1" customFormat="1" ht="16.5" customHeight="1">
      <c r="B103" s="25"/>
      <c r="C103" s="51"/>
      <c r="D103" s="211"/>
      <c r="E103" s="51"/>
      <c r="F103" s="51"/>
      <c r="G103" s="27"/>
    </row>
    <row r="104" spans="2:7" s="1" customFormat="1" ht="16.5" customHeight="1">
      <c r="B104" s="25"/>
      <c r="C104" s="51"/>
      <c r="D104" s="211"/>
      <c r="E104" s="51"/>
      <c r="F104" s="51"/>
      <c r="G104" s="27"/>
    </row>
    <row r="105" spans="2:7" s="1" customFormat="1" ht="16.5" customHeight="1">
      <c r="B105" s="25"/>
      <c r="C105" s="51"/>
      <c r="D105" s="211"/>
      <c r="E105" s="51"/>
      <c r="F105" s="51"/>
      <c r="G105" s="27"/>
    </row>
    <row r="106" spans="2:7" s="1" customFormat="1" ht="16.5" customHeight="1">
      <c r="B106" s="25"/>
      <c r="C106" s="51"/>
      <c r="D106" s="211"/>
      <c r="E106" s="51"/>
      <c r="F106" s="51"/>
      <c r="G106" s="27"/>
    </row>
    <row r="107" spans="2:7" s="1" customFormat="1" ht="16.5" customHeight="1">
      <c r="B107" s="25"/>
      <c r="C107" s="51"/>
      <c r="D107" s="211"/>
      <c r="E107" s="51"/>
      <c r="F107" s="51"/>
      <c r="G107" s="27"/>
    </row>
    <row r="108" spans="2:7" s="1" customFormat="1" ht="16.5" customHeight="1">
      <c r="B108" s="25"/>
      <c r="C108" s="51"/>
      <c r="D108" s="211"/>
      <c r="E108" s="51"/>
      <c r="F108" s="51"/>
      <c r="G108" s="27"/>
    </row>
    <row r="109" spans="2:7" s="1" customFormat="1" ht="16.5" customHeight="1">
      <c r="B109" s="212" t="s">
        <v>1</v>
      </c>
      <c r="C109" s="213"/>
      <c r="D109" s="214">
        <f>SUBTOTAL(109,ExpDec99[Amount])</f>
        <v>0</v>
      </c>
      <c r="E109" s="213"/>
      <c r="F109" s="213"/>
      <c r="G109" s="212"/>
    </row>
    <row r="111" spans="2:7" s="1" customFormat="1" ht="27" customHeight="1">
      <c r="B111" s="205" t="s">
        <v>163</v>
      </c>
      <c r="C111" s="117"/>
      <c r="D111" s="117"/>
      <c r="E111" s="117"/>
      <c r="F111" s="117"/>
      <c r="G111" s="117"/>
    </row>
    <row r="112" spans="2:7" s="1" customFormat="1" ht="16.5" customHeight="1">
      <c r="B112" s="117"/>
      <c r="C112" s="117"/>
      <c r="D112" s="117"/>
      <c r="E112" s="117"/>
      <c r="F112" s="117"/>
      <c r="G112" s="117"/>
    </row>
    <row r="113" spans="2:7" s="1" customFormat="1" ht="16.5" customHeight="1">
      <c r="B113" s="206" t="s">
        <v>50</v>
      </c>
      <c r="C113" s="207" t="s">
        <v>164</v>
      </c>
      <c r="D113" s="206" t="s">
        <v>48</v>
      </c>
      <c r="E113" s="207" t="s">
        <v>47</v>
      </c>
      <c r="F113" s="207" t="s">
        <v>161</v>
      </c>
      <c r="G113" s="206" t="s">
        <v>160</v>
      </c>
    </row>
    <row r="114" spans="2:7" s="1" customFormat="1" ht="16.5" customHeight="1">
      <c r="B114" s="25"/>
      <c r="C114" s="51"/>
      <c r="D114" s="211"/>
      <c r="E114" s="51"/>
      <c r="F114" s="51"/>
      <c r="G114" s="27"/>
    </row>
    <row r="115" spans="2:7" s="1" customFormat="1" ht="16.5" customHeight="1">
      <c r="B115" s="25"/>
      <c r="C115" s="51"/>
      <c r="D115" s="211"/>
      <c r="E115" s="51"/>
      <c r="F115" s="51"/>
      <c r="G115" s="27"/>
    </row>
    <row r="116" spans="2:7" s="1" customFormat="1" ht="16.5" customHeight="1">
      <c r="B116" s="25"/>
      <c r="C116" s="51"/>
      <c r="D116" s="211"/>
      <c r="E116" s="51"/>
      <c r="F116" s="51"/>
      <c r="G116" s="27"/>
    </row>
    <row r="117" spans="2:7" s="1" customFormat="1" ht="16.5" customHeight="1">
      <c r="B117" s="27"/>
      <c r="C117" s="26"/>
      <c r="D117" s="211"/>
      <c r="E117" s="26"/>
      <c r="F117" s="26"/>
      <c r="G117" s="27"/>
    </row>
    <row r="118" spans="2:7" s="1" customFormat="1" ht="16.5" customHeight="1">
      <c r="B118" s="27"/>
      <c r="C118" s="26"/>
      <c r="D118" s="211"/>
      <c r="E118" s="26"/>
      <c r="F118" s="26"/>
      <c r="G118" s="27"/>
    </row>
    <row r="119" spans="2:7" s="1" customFormat="1" ht="16.5" customHeight="1">
      <c r="B119" s="27"/>
      <c r="C119" s="26"/>
      <c r="D119" s="211"/>
      <c r="E119" s="26"/>
      <c r="F119" s="26"/>
      <c r="G119" s="27"/>
    </row>
    <row r="120" spans="2:7" s="1" customFormat="1" ht="16.5" customHeight="1">
      <c r="B120" s="27"/>
      <c r="C120" s="26"/>
      <c r="D120" s="211"/>
      <c r="E120" s="26"/>
      <c r="F120" s="26"/>
      <c r="G120" s="27"/>
    </row>
    <row r="121" spans="2:7" s="1" customFormat="1" ht="16.5" customHeight="1">
      <c r="B121" s="27"/>
      <c r="C121" s="26"/>
      <c r="D121" s="211"/>
      <c r="E121" s="26"/>
      <c r="F121" s="26"/>
      <c r="G121" s="27"/>
    </row>
    <row r="122" spans="2:7" s="1" customFormat="1" ht="16.5" customHeight="1">
      <c r="B122" s="212" t="s">
        <v>1</v>
      </c>
      <c r="C122" s="213"/>
      <c r="D122" s="214">
        <f>SUBTOTAL(109,ExpJan100[Amount])</f>
        <v>0</v>
      </c>
      <c r="E122" s="213"/>
      <c r="F122" s="213"/>
      <c r="G122" s="212"/>
    </row>
    <row r="124" spans="2:7" s="1" customFormat="1" ht="26.25" customHeight="1">
      <c r="B124" s="205" t="s">
        <v>165</v>
      </c>
      <c r="C124" s="117"/>
      <c r="D124" s="117"/>
      <c r="E124" s="117"/>
      <c r="F124" s="117"/>
      <c r="G124" s="117"/>
    </row>
    <row r="125" spans="2:7" s="1" customFormat="1" ht="16.5" customHeight="1">
      <c r="B125" s="117"/>
      <c r="C125" s="117"/>
      <c r="D125" s="117"/>
      <c r="E125" s="117"/>
      <c r="F125" s="117"/>
      <c r="G125" s="117"/>
    </row>
    <row r="126" spans="2:7" s="1" customFormat="1" ht="16.5" customHeight="1">
      <c r="B126" s="206" t="s">
        <v>50</v>
      </c>
      <c r="C126" s="207" t="s">
        <v>71</v>
      </c>
      <c r="D126" s="206" t="s">
        <v>48</v>
      </c>
      <c r="E126" s="207" t="s">
        <v>47</v>
      </c>
      <c r="F126" s="206" t="s">
        <v>660</v>
      </c>
      <c r="G126" s="430" t="s">
        <v>45</v>
      </c>
    </row>
    <row r="127" spans="2:7" s="1" customFormat="1" ht="16.5" customHeight="1">
      <c r="B127" s="25"/>
      <c r="C127" s="51"/>
      <c r="D127" s="211"/>
      <c r="E127" s="51"/>
      <c r="F127" s="27"/>
      <c r="G127" s="27"/>
    </row>
    <row r="128" spans="2:7" s="1" customFormat="1" ht="16.5" customHeight="1">
      <c r="B128" s="25"/>
      <c r="C128" s="51"/>
      <c r="D128" s="211"/>
      <c r="E128" s="51"/>
      <c r="F128" s="27"/>
      <c r="G128" s="27"/>
    </row>
    <row r="129" spans="2:7" s="1" customFormat="1" ht="16.5" customHeight="1">
      <c r="B129" s="25"/>
      <c r="C129" s="51"/>
      <c r="D129" s="211"/>
      <c r="E129" s="51"/>
      <c r="F129" s="27"/>
      <c r="G129" s="27"/>
    </row>
    <row r="130" spans="2:7" s="1" customFormat="1" ht="16.5" customHeight="1">
      <c r="B130" s="25"/>
      <c r="C130" s="51"/>
      <c r="D130" s="211"/>
      <c r="E130" s="51"/>
      <c r="F130" s="27"/>
      <c r="G130" s="27"/>
    </row>
    <row r="131" spans="2:7" s="1" customFormat="1" ht="16.5" customHeight="1">
      <c r="B131" s="25"/>
      <c r="C131" s="51"/>
      <c r="D131" s="211"/>
      <c r="E131" s="51"/>
      <c r="F131" s="27"/>
      <c r="G131" s="27"/>
    </row>
    <row r="132" spans="2:7" s="1" customFormat="1" ht="16.5" customHeight="1">
      <c r="B132" s="25"/>
      <c r="C132" s="51"/>
      <c r="D132" s="211"/>
      <c r="E132" s="51"/>
      <c r="F132" s="27"/>
      <c r="G132" s="27"/>
    </row>
    <row r="133" spans="2:7" s="1" customFormat="1" ht="16.5" customHeight="1">
      <c r="B133" s="25"/>
      <c r="C133" s="51"/>
      <c r="D133" s="211"/>
      <c r="E133" s="51"/>
      <c r="F133" s="27"/>
      <c r="G133" s="27"/>
    </row>
    <row r="134" spans="2:7" s="1" customFormat="1" ht="16.5" customHeight="1">
      <c r="B134" s="25"/>
      <c r="C134" s="51"/>
      <c r="D134" s="211"/>
      <c r="E134" s="51"/>
      <c r="F134" s="27"/>
      <c r="G134" s="27"/>
    </row>
    <row r="135" spans="2:7" s="1" customFormat="1" ht="16.5" customHeight="1">
      <c r="B135" s="25"/>
      <c r="C135" s="51"/>
      <c r="D135" s="211"/>
      <c r="E135" s="51"/>
      <c r="F135" s="27"/>
      <c r="G135" s="27"/>
    </row>
    <row r="136" spans="2:7" s="1" customFormat="1" ht="16.5" customHeight="1">
      <c r="B136" s="25"/>
      <c r="C136" s="51"/>
      <c r="D136" s="211"/>
      <c r="E136" s="51"/>
      <c r="F136" s="27"/>
      <c r="G136" s="27"/>
    </row>
    <row r="137" spans="2:7" s="1" customFormat="1" ht="16.5" customHeight="1">
      <c r="B137" s="25"/>
      <c r="C137" s="51"/>
      <c r="D137" s="211"/>
      <c r="E137" s="51"/>
      <c r="F137" s="27"/>
      <c r="G137" s="27"/>
    </row>
    <row r="138" spans="2:7" s="1" customFormat="1" ht="16.5" customHeight="1">
      <c r="B138" s="25"/>
      <c r="C138" s="51"/>
      <c r="D138" s="211"/>
      <c r="E138" s="51"/>
      <c r="F138" s="27"/>
      <c r="G138" s="27"/>
    </row>
    <row r="139" spans="2:7" s="1" customFormat="1" ht="16.5" customHeight="1">
      <c r="B139" s="25"/>
      <c r="C139" s="51"/>
      <c r="D139" s="211"/>
      <c r="E139" s="51"/>
      <c r="F139" s="27"/>
      <c r="G139" s="27"/>
    </row>
    <row r="140" spans="2:7" s="1" customFormat="1" ht="16.5" customHeight="1">
      <c r="B140" s="224" t="s">
        <v>1</v>
      </c>
      <c r="C140" s="225"/>
      <c r="D140" s="226">
        <f>SUBTOTAL(109,ExpFeb101[Amount])</f>
        <v>0</v>
      </c>
      <c r="E140" s="225"/>
      <c r="F140" s="224"/>
      <c r="G140" s="395"/>
    </row>
    <row r="142" spans="2:7" s="1" customFormat="1" ht="24.75" customHeight="1">
      <c r="B142" s="205" t="s">
        <v>166</v>
      </c>
      <c r="C142" s="117"/>
      <c r="D142" s="117"/>
      <c r="E142" s="117"/>
      <c r="F142" s="117"/>
      <c r="G142" s="117"/>
    </row>
    <row r="143" spans="2:7" s="1" customFormat="1" ht="16.5" customHeight="1">
      <c r="B143" s="117"/>
      <c r="C143" s="117"/>
      <c r="D143" s="117"/>
      <c r="E143" s="117"/>
      <c r="F143" s="117"/>
      <c r="G143" s="117"/>
    </row>
    <row r="144" spans="2:7" s="1" customFormat="1" ht="16.5" customHeight="1">
      <c r="B144" s="206" t="s">
        <v>50</v>
      </c>
      <c r="C144" s="207" t="s">
        <v>71</v>
      </c>
      <c r="D144" s="206" t="s">
        <v>48</v>
      </c>
      <c r="E144" s="207" t="s">
        <v>47</v>
      </c>
      <c r="F144" s="207" t="s">
        <v>660</v>
      </c>
      <c r="G144" s="206" t="s">
        <v>45</v>
      </c>
    </row>
    <row r="145" spans="2:7" s="1" customFormat="1" ht="16.5" customHeight="1">
      <c r="B145" s="25"/>
      <c r="C145" s="51"/>
      <c r="D145" s="211"/>
      <c r="E145" s="51"/>
      <c r="F145" s="51"/>
      <c r="G145" s="27"/>
    </row>
    <row r="146" spans="2:7" s="1" customFormat="1" ht="16.5" customHeight="1">
      <c r="B146" s="25"/>
      <c r="C146" s="51"/>
      <c r="D146" s="211"/>
      <c r="E146" s="51"/>
      <c r="F146" s="51"/>
      <c r="G146" s="27"/>
    </row>
    <row r="147" spans="2:7" s="1" customFormat="1" ht="16.5" customHeight="1">
      <c r="B147" s="25"/>
      <c r="C147" s="51"/>
      <c r="D147" s="211"/>
      <c r="E147" s="51"/>
      <c r="F147" s="51"/>
      <c r="G147" s="27"/>
    </row>
    <row r="148" spans="2:7" s="1" customFormat="1" ht="16.5" customHeight="1">
      <c r="B148" s="25"/>
      <c r="C148" s="51"/>
      <c r="D148" s="211"/>
      <c r="E148" s="51"/>
      <c r="F148" s="51"/>
      <c r="G148" s="27"/>
    </row>
    <row r="149" spans="2:7" s="1" customFormat="1" ht="16.5" customHeight="1">
      <c r="B149" s="25"/>
      <c r="C149" s="51"/>
      <c r="D149" s="211"/>
      <c r="E149" s="51"/>
      <c r="F149" s="51"/>
      <c r="G149" s="27"/>
    </row>
    <row r="150" spans="2:7" s="1" customFormat="1" ht="16.5" customHeight="1">
      <c r="B150" s="25"/>
      <c r="C150" s="51"/>
      <c r="D150" s="211"/>
      <c r="E150" s="51"/>
      <c r="F150" s="51"/>
      <c r="G150" s="27"/>
    </row>
    <row r="151" spans="2:7" s="1" customFormat="1" ht="16.5" customHeight="1">
      <c r="B151" s="25"/>
      <c r="C151" s="51"/>
      <c r="D151" s="211"/>
      <c r="E151" s="51"/>
      <c r="F151" s="51"/>
      <c r="G151" s="27"/>
    </row>
    <row r="152" spans="2:7" s="1" customFormat="1" ht="16.5" customHeight="1">
      <c r="B152" s="25"/>
      <c r="C152" s="51"/>
      <c r="D152" s="211"/>
      <c r="E152" s="51"/>
      <c r="F152" s="51"/>
      <c r="G152" s="27"/>
    </row>
    <row r="153" spans="2:7" s="1" customFormat="1" ht="16.5" customHeight="1">
      <c r="B153" s="25"/>
      <c r="C153" s="51"/>
      <c r="D153" s="211"/>
      <c r="E153" s="51"/>
      <c r="F153" s="51"/>
      <c r="G153" s="27"/>
    </row>
    <row r="154" spans="2:7" s="1" customFormat="1" ht="16.5" customHeight="1">
      <c r="B154" s="212" t="s">
        <v>1</v>
      </c>
      <c r="C154" s="213"/>
      <c r="D154" s="214">
        <f>SUBTOTAL(109,ExpMar102[Amount])</f>
        <v>0</v>
      </c>
      <c r="E154" s="213"/>
      <c r="F154" s="213"/>
      <c r="G154" s="212"/>
    </row>
    <row r="156" spans="2:7" s="1" customFormat="1" ht="26.25" customHeight="1">
      <c r="B156" s="205" t="s">
        <v>167</v>
      </c>
      <c r="C156" s="117"/>
      <c r="D156" s="117"/>
      <c r="E156" s="117"/>
      <c r="F156" s="117"/>
      <c r="G156" s="117"/>
    </row>
    <row r="157" spans="2:7" s="1" customFormat="1" ht="16.5" customHeight="1">
      <c r="B157" s="117"/>
      <c r="C157" s="117"/>
      <c r="D157" s="117"/>
      <c r="E157" s="117"/>
      <c r="F157" s="117"/>
      <c r="G157" s="117"/>
    </row>
    <row r="158" spans="2:7" s="1" customFormat="1" ht="16.5" customHeight="1">
      <c r="B158" s="206" t="s">
        <v>50</v>
      </c>
      <c r="C158" s="207" t="s">
        <v>168</v>
      </c>
      <c r="D158" s="206" t="s">
        <v>48</v>
      </c>
      <c r="E158" s="207" t="s">
        <v>47</v>
      </c>
      <c r="F158" s="207" t="s">
        <v>660</v>
      </c>
      <c r="G158" s="206" t="s">
        <v>45</v>
      </c>
    </row>
    <row r="159" spans="2:7" s="1" customFormat="1" ht="16.5" customHeight="1">
      <c r="B159" s="215"/>
      <c r="C159" s="51"/>
      <c r="D159" s="216"/>
      <c r="E159" s="51"/>
      <c r="F159" s="51"/>
      <c r="G159" s="51"/>
    </row>
    <row r="160" spans="2:7" s="1" customFormat="1" ht="16.5" customHeight="1">
      <c r="B160" s="215"/>
      <c r="C160" s="51"/>
      <c r="D160" s="216"/>
      <c r="E160" s="51"/>
      <c r="F160" s="51"/>
      <c r="G160" s="51"/>
    </row>
    <row r="161" spans="2:7" s="1" customFormat="1" ht="16.5" customHeight="1">
      <c r="B161" s="215"/>
      <c r="C161" s="51"/>
      <c r="D161" s="216"/>
      <c r="E161" s="51"/>
      <c r="F161" s="51"/>
      <c r="G161" s="51"/>
    </row>
    <row r="162" spans="2:7" s="1" customFormat="1" ht="16.5" customHeight="1">
      <c r="B162" s="215"/>
      <c r="C162" s="51"/>
      <c r="D162" s="216"/>
      <c r="E162" s="51"/>
      <c r="F162" s="51"/>
      <c r="G162" s="51"/>
    </row>
    <row r="163" spans="2:7" s="1" customFormat="1" ht="16.5" customHeight="1">
      <c r="B163" s="215"/>
      <c r="C163" s="51"/>
      <c r="D163" s="216"/>
      <c r="E163" s="51"/>
      <c r="F163" s="51"/>
      <c r="G163" s="51"/>
    </row>
    <row r="164" spans="2:7" s="1" customFormat="1" ht="16.5" customHeight="1">
      <c r="B164" s="215"/>
      <c r="C164" s="51"/>
      <c r="D164" s="216"/>
      <c r="E164" s="51"/>
      <c r="F164" s="51"/>
      <c r="G164" s="51"/>
    </row>
    <row r="165" spans="2:7" s="1" customFormat="1" ht="16.5" customHeight="1">
      <c r="B165" s="215"/>
      <c r="C165" s="51"/>
      <c r="D165" s="216"/>
      <c r="E165" s="51"/>
      <c r="F165" s="51"/>
      <c r="G165" s="51"/>
    </row>
    <row r="166" spans="2:7" s="1" customFormat="1" ht="16.5" customHeight="1">
      <c r="B166" s="215"/>
      <c r="C166" s="51"/>
      <c r="D166" s="216"/>
      <c r="E166" s="51"/>
      <c r="F166" s="51"/>
      <c r="G166" s="51"/>
    </row>
    <row r="167" spans="2:7" s="1" customFormat="1" ht="16.5" customHeight="1">
      <c r="B167" s="431"/>
      <c r="C167" s="338"/>
      <c r="D167" s="432"/>
      <c r="E167" s="338"/>
      <c r="F167" s="338"/>
      <c r="G167" s="338"/>
    </row>
    <row r="168" spans="2:7" s="1" customFormat="1" ht="16.5" customHeight="1">
      <c r="B168" s="431"/>
      <c r="C168" s="338"/>
      <c r="D168" s="432"/>
      <c r="E168" s="338"/>
      <c r="F168" s="338"/>
      <c r="G168" s="338"/>
    </row>
    <row r="169" spans="2:7" s="1" customFormat="1" ht="16.5" customHeight="1">
      <c r="B169" s="431"/>
      <c r="C169" s="338"/>
      <c r="D169" s="432"/>
      <c r="E169" s="338"/>
      <c r="F169" s="338"/>
      <c r="G169" s="338"/>
    </row>
    <row r="170" spans="2:7" s="1" customFormat="1" ht="16.5" customHeight="1">
      <c r="B170" s="431"/>
      <c r="C170" s="338"/>
      <c r="D170" s="432"/>
      <c r="E170" s="338"/>
      <c r="F170" s="338"/>
      <c r="G170" s="338"/>
    </row>
    <row r="171" spans="2:7" s="1" customFormat="1" ht="16.5" customHeight="1">
      <c r="B171" s="431"/>
      <c r="C171" s="338"/>
      <c r="D171" s="432"/>
      <c r="E171" s="338"/>
      <c r="F171" s="338"/>
      <c r="G171" s="338"/>
    </row>
    <row r="172" spans="2:7" s="1" customFormat="1" ht="16.5" customHeight="1">
      <c r="B172" s="431"/>
      <c r="C172" s="338"/>
      <c r="D172" s="432"/>
      <c r="E172" s="338"/>
      <c r="F172" s="338"/>
      <c r="G172" s="338"/>
    </row>
    <row r="173" spans="2:7" s="1" customFormat="1" ht="16.5" customHeight="1">
      <c r="B173" s="337"/>
      <c r="C173" s="338"/>
      <c r="D173" s="339"/>
      <c r="E173" s="338"/>
      <c r="F173" s="338"/>
      <c r="G173" s="340"/>
    </row>
    <row r="174" spans="2:7" s="1" customFormat="1" ht="16.5" customHeight="1">
      <c r="B174" s="212" t="s">
        <v>1</v>
      </c>
      <c r="C174" s="213"/>
      <c r="D174" s="214">
        <f>SUBTOTAL(109,ExpApr103[Amount])</f>
        <v>0</v>
      </c>
      <c r="E174" s="213"/>
      <c r="F174" s="213"/>
      <c r="G174" s="212"/>
    </row>
    <row r="176" spans="2:7" s="1" customFormat="1" ht="29.25" customHeight="1">
      <c r="B176" s="205" t="s">
        <v>169</v>
      </c>
      <c r="C176" s="117"/>
      <c r="D176" s="117"/>
      <c r="E176" s="117"/>
      <c r="F176" s="117"/>
      <c r="G176" s="117"/>
    </row>
    <row r="177" spans="2:7" s="1" customFormat="1" ht="16.5" customHeight="1">
      <c r="B177" s="117"/>
      <c r="C177" s="117"/>
      <c r="D177" s="117"/>
      <c r="E177" s="117"/>
      <c r="F177" s="117"/>
      <c r="G177" s="117"/>
    </row>
    <row r="178" spans="2:7" s="1" customFormat="1" ht="16.5" customHeight="1">
      <c r="B178" s="206" t="s">
        <v>50</v>
      </c>
      <c r="C178" s="207" t="s">
        <v>71</v>
      </c>
      <c r="D178" s="206" t="s">
        <v>48</v>
      </c>
      <c r="E178" s="207" t="s">
        <v>47</v>
      </c>
      <c r="F178" s="207" t="s">
        <v>660</v>
      </c>
      <c r="G178" s="206" t="s">
        <v>45</v>
      </c>
    </row>
    <row r="179" spans="2:7" s="1" customFormat="1" ht="16.5" customHeight="1">
      <c r="B179" s="215"/>
      <c r="C179" s="51"/>
      <c r="D179" s="216"/>
      <c r="E179" s="51"/>
      <c r="F179" s="51"/>
      <c r="G179" s="51"/>
    </row>
    <row r="180" spans="2:7" s="1" customFormat="1" ht="16.5" customHeight="1">
      <c r="B180" s="215"/>
      <c r="C180" s="51"/>
      <c r="D180" s="216"/>
      <c r="E180" s="51"/>
      <c r="F180" s="51"/>
      <c r="G180" s="51"/>
    </row>
    <row r="181" spans="2:7" s="1" customFormat="1" ht="16.5" customHeight="1">
      <c r="B181" s="215"/>
      <c r="C181" s="51"/>
      <c r="D181" s="216"/>
      <c r="E181" s="51"/>
      <c r="F181" s="51"/>
      <c r="G181" s="51"/>
    </row>
    <row r="182" spans="2:7" s="1" customFormat="1" ht="16.5" customHeight="1">
      <c r="B182" s="215"/>
      <c r="C182" s="51"/>
      <c r="D182" s="216"/>
      <c r="E182" s="51"/>
      <c r="F182" s="51"/>
      <c r="G182" s="51"/>
    </row>
    <row r="183" spans="2:7" s="1" customFormat="1" ht="16.5" customHeight="1">
      <c r="B183" s="215"/>
      <c r="C183" s="51"/>
      <c r="D183" s="216"/>
      <c r="E183" s="51"/>
      <c r="F183" s="51"/>
      <c r="G183" s="51"/>
    </row>
    <row r="184" spans="2:7" s="1" customFormat="1" ht="16.5" customHeight="1">
      <c r="B184" s="215"/>
      <c r="C184" s="51"/>
      <c r="D184" s="216"/>
      <c r="E184" s="51"/>
      <c r="F184" s="51"/>
      <c r="G184" s="51"/>
    </row>
    <row r="185" spans="2:7" s="1" customFormat="1" ht="16.5" customHeight="1">
      <c r="B185" s="215"/>
      <c r="C185" s="51"/>
      <c r="D185" s="216"/>
      <c r="E185" s="51"/>
      <c r="F185" s="51"/>
      <c r="G185" s="51"/>
    </row>
    <row r="186" spans="2:7" s="1" customFormat="1" ht="16.5" customHeight="1">
      <c r="B186" s="215"/>
      <c r="C186" s="51"/>
      <c r="D186" s="216"/>
      <c r="E186" s="51"/>
      <c r="F186" s="51"/>
      <c r="G186" s="51"/>
    </row>
    <row r="187" spans="2:7" s="1" customFormat="1" ht="16.5" customHeight="1">
      <c r="B187" s="215"/>
      <c r="C187" s="51"/>
      <c r="D187" s="216"/>
      <c r="E187" s="51"/>
      <c r="F187" s="51"/>
      <c r="G187" s="51"/>
    </row>
    <row r="188" spans="2:7" s="1" customFormat="1" ht="16.5" customHeight="1">
      <c r="B188" s="224" t="s">
        <v>1</v>
      </c>
      <c r="C188" s="225"/>
      <c r="D188" s="226">
        <f>SUBTOTAL(109,ExpMay104[Amount])</f>
        <v>0</v>
      </c>
      <c r="E188" s="225"/>
      <c r="F188" s="225"/>
      <c r="G188" s="224"/>
    </row>
    <row r="190" spans="2:7" s="1" customFormat="1" ht="27" customHeight="1">
      <c r="B190" s="205" t="s">
        <v>170</v>
      </c>
      <c r="C190" s="117"/>
      <c r="D190" s="117"/>
      <c r="E190" s="117"/>
      <c r="F190" s="117"/>
      <c r="G190" s="117"/>
    </row>
    <row r="191" spans="2:7" s="1" customFormat="1" ht="16.5" customHeight="1">
      <c r="B191" s="117"/>
      <c r="C191" s="117"/>
      <c r="D191" s="117"/>
      <c r="E191" s="117"/>
      <c r="F191" s="117"/>
      <c r="G191" s="117"/>
    </row>
    <row r="192" spans="2:7" s="1" customFormat="1" ht="16.5" customHeight="1">
      <c r="B192" s="206" t="s">
        <v>50</v>
      </c>
      <c r="C192" s="207" t="s">
        <v>155</v>
      </c>
      <c r="D192" s="206" t="s">
        <v>48</v>
      </c>
      <c r="E192" s="207" t="s">
        <v>47</v>
      </c>
      <c r="F192" s="207" t="s">
        <v>660</v>
      </c>
      <c r="G192" s="206" t="s">
        <v>45</v>
      </c>
    </row>
    <row r="193" spans="2:7" s="1" customFormat="1" ht="16.5" customHeight="1">
      <c r="B193" s="215"/>
      <c r="C193" s="51"/>
      <c r="D193" s="216"/>
      <c r="E193" s="51"/>
      <c r="F193" s="51"/>
      <c r="G193" s="51"/>
    </row>
    <row r="194" spans="2:7" s="1" customFormat="1" ht="16.5" customHeight="1">
      <c r="B194" s="215"/>
      <c r="C194" s="51"/>
      <c r="D194" s="216"/>
      <c r="E194" s="51"/>
      <c r="F194" s="51"/>
      <c r="G194" s="51"/>
    </row>
    <row r="195" spans="2:7" s="1" customFormat="1" ht="16.5" customHeight="1">
      <c r="B195" s="215"/>
      <c r="C195" s="51"/>
      <c r="D195" s="216"/>
      <c r="E195" s="51"/>
      <c r="F195" s="51"/>
      <c r="G195" s="51"/>
    </row>
    <row r="196" spans="2:7" s="1" customFormat="1" ht="16.5" customHeight="1">
      <c r="B196" s="215"/>
      <c r="C196" s="51"/>
      <c r="D196" s="216"/>
      <c r="E196" s="51"/>
      <c r="F196" s="51"/>
      <c r="G196" s="51"/>
    </row>
    <row r="197" spans="2:7" s="1" customFormat="1" ht="16.5" customHeight="1">
      <c r="B197" s="215"/>
      <c r="C197" s="51"/>
      <c r="D197" s="216"/>
      <c r="E197" s="51"/>
      <c r="F197" s="51"/>
      <c r="G197" s="51"/>
    </row>
    <row r="198" spans="2:7" s="1" customFormat="1" ht="16.5" customHeight="1">
      <c r="B198" s="215"/>
      <c r="C198" s="51"/>
      <c r="D198" s="216"/>
      <c r="E198" s="51"/>
      <c r="F198" s="51"/>
      <c r="G198" s="51"/>
    </row>
    <row r="199" spans="2:7" s="1" customFormat="1" ht="16.5" customHeight="1">
      <c r="B199" s="215"/>
      <c r="C199" s="51"/>
      <c r="D199" s="216"/>
      <c r="E199" s="51"/>
      <c r="F199" s="51"/>
      <c r="G199" s="51"/>
    </row>
    <row r="200" spans="2:7" s="1" customFormat="1" ht="16.5" customHeight="1">
      <c r="B200" s="215"/>
      <c r="C200" s="51"/>
      <c r="D200" s="216"/>
      <c r="E200" s="51"/>
      <c r="F200" s="51"/>
      <c r="G200" s="51"/>
    </row>
    <row r="201" spans="2:7" s="1" customFormat="1" ht="16.5" customHeight="1">
      <c r="B201" s="215"/>
      <c r="C201" s="51"/>
      <c r="D201" s="216"/>
      <c r="E201" s="51"/>
      <c r="F201" s="51"/>
      <c r="G201" s="51"/>
    </row>
    <row r="202" spans="2:7" s="1" customFormat="1" ht="16.5" customHeight="1">
      <c r="B202" s="215"/>
      <c r="C202" s="51"/>
      <c r="D202" s="216"/>
      <c r="E202" s="51"/>
      <c r="F202" s="51"/>
      <c r="G202" s="51"/>
    </row>
    <row r="203" spans="2:7" s="1" customFormat="1" ht="16.5" customHeight="1">
      <c r="B203" s="215"/>
      <c r="C203" s="51"/>
      <c r="D203" s="216"/>
      <c r="E203" s="51"/>
      <c r="F203" s="51"/>
      <c r="G203" s="51"/>
    </row>
    <row r="204" spans="2:7" s="1" customFormat="1" ht="16.5" customHeight="1">
      <c r="B204" s="215"/>
      <c r="C204" s="51"/>
      <c r="D204" s="216"/>
      <c r="E204" s="51"/>
      <c r="F204" s="51"/>
      <c r="G204" s="51"/>
    </row>
    <row r="205" spans="2:7" s="1" customFormat="1" ht="16.5" customHeight="1">
      <c r="B205" s="215"/>
      <c r="C205" s="51"/>
      <c r="D205" s="216"/>
      <c r="E205" s="51"/>
      <c r="F205" s="51"/>
      <c r="G205" s="51"/>
    </row>
    <row r="206" spans="2:7" s="1" customFormat="1" ht="16.5" customHeight="1">
      <c r="B206" s="215"/>
      <c r="C206" s="51"/>
      <c r="D206" s="216"/>
      <c r="E206" s="51"/>
      <c r="F206" s="51"/>
      <c r="G206" s="51"/>
    </row>
    <row r="207" spans="2:7" s="1" customFormat="1" ht="16.5" customHeight="1">
      <c r="B207" s="215"/>
      <c r="C207" s="51"/>
      <c r="D207" s="216"/>
      <c r="E207" s="51"/>
      <c r="F207" s="51"/>
      <c r="G207" s="51"/>
    </row>
    <row r="208" spans="2:7" s="1" customFormat="1" ht="16.5" customHeight="1">
      <c r="B208" s="337"/>
      <c r="C208" s="338"/>
      <c r="D208" s="339"/>
      <c r="E208" s="338"/>
      <c r="F208" s="338"/>
      <c r="G208" s="340"/>
    </row>
    <row r="209" spans="2:7" s="1" customFormat="1" ht="16.5" customHeight="1">
      <c r="B209" s="224" t="s">
        <v>1</v>
      </c>
      <c r="C209" s="225"/>
      <c r="D209" s="226">
        <f>SUBTOTAL(109,ExpJun105[Amount])</f>
        <v>0</v>
      </c>
      <c r="E209" s="225"/>
      <c r="F209" s="225"/>
      <c r="G209" s="224"/>
    </row>
  </sheetData>
  <dataValidations count="14">
    <dataValidation type="custom" errorStyle="warning" allowBlank="1" showInputMessage="1" showErrorMessage="1" errorTitle="Amount Validation" error="Amount should be a number." sqref="D5:D16 D18 D22:D38 D44:D63 D69:D79 D85:D94 D100:D108 D114:D121 D127:D139 D145:D153 D159:D173 D179:D187 D193:D208">
      <formula1>ISNUMBER($D5)</formula1>
    </dataValidation>
    <dataValidation type="custom" errorStyle="warning" allowBlank="1" showInputMessage="1" showErrorMessage="1" errorTitle="Date Validation" error="A date in July needs be entered  in order for this expense to be added to the Summary sheet." sqref="B5:B16 B18">
      <formula1>MONTH($B5)=7</formula1>
    </dataValidation>
    <dataValidation type="list" errorStyle="warning" allowBlank="1" showInputMessage="1" showErrorMessage="1" errorTitle="Unknown Category" error="An expense from the drop down should be selected in order for it to be included on the Summary sheet." sqref="E5:F16 E18:F18 E22:F38 E44:F63 E69:F79 E85:F94 E100:F108 E114:F121 E127:E139 E145:F153 E159:F173 E179:F187 E193:F208">
      <formula1>ExpenseCategories</formula1>
    </dataValidation>
    <dataValidation type="custom" errorStyle="warning" allowBlank="1" showInputMessage="1" showErrorMessage="1" errorTitle="Date Validation" error="A date in August needs be entered  in order for this expense to be added to the Summary sheet." sqref="B22:B38">
      <formula1>MONTH($B22)=8</formula1>
    </dataValidation>
    <dataValidation type="custom" errorStyle="warning" allowBlank="1" showInputMessage="1" showErrorMessage="1" errorTitle="Date Validation" error="A date in September needs be entered  in order for this expense to be added to the Summary sheet." sqref="B44:B63">
      <formula1>MONTH($B44)=9</formula1>
    </dataValidation>
    <dataValidation type="custom" errorStyle="warning" allowBlank="1" showInputMessage="1" showErrorMessage="1" errorTitle="Date Validation" error="A date in October needs be entered  in order for this expense to be added to the Summary sheet." sqref="B69:B79">
      <formula1>MONTH($B69)=10</formula1>
    </dataValidation>
    <dataValidation type="custom" errorStyle="warning" allowBlank="1" showInputMessage="1" showErrorMessage="1" errorTitle="Date Validation" error="A date in November needs be entered  in order for this expense to be added to the Summary sheet." sqref="B85:B94">
      <formula1>MONTH($B85)=11</formula1>
    </dataValidation>
    <dataValidation type="custom" errorStyle="warning" allowBlank="1" showInputMessage="1" showErrorMessage="1" errorTitle="Date Validation" error="A date in December needs be entered  in order for this expense to be added to the Summary sheet." sqref="B100:B108">
      <formula1>MONTH($B100)=12</formula1>
    </dataValidation>
    <dataValidation type="custom" errorStyle="warning" allowBlank="1" showInputMessage="1" showErrorMessage="1" errorTitle="Date Validation" error="A date in January needs be entered in order for this expense to be added to the Summary sheet." sqref="B114:B121">
      <formula1>MONTH($B114)=1</formula1>
    </dataValidation>
    <dataValidation type="custom" errorStyle="warning" allowBlank="1" showInputMessage="1" showErrorMessage="1" errorTitle="Date Validation" error="A date in February needs be entered in order for this expense to be added to the Summary sheet." sqref="B127:B139">
      <formula1>MONTH($B127)=2</formula1>
    </dataValidation>
    <dataValidation type="custom" errorStyle="warning" allowBlank="1" showInputMessage="1" showErrorMessage="1" errorTitle="Date Validation" error="A date in March needs be entered in order for this expense to be added to the Summary sheet." sqref="B145:B153">
      <formula1>MONTH($B145)=3</formula1>
    </dataValidation>
    <dataValidation type="custom" errorStyle="warning" allowBlank="1" showInputMessage="1" showErrorMessage="1" errorTitle="Date Validation" error="A date in April needs be entered  in order for this expense to be added to the Summary sheet." sqref="B159:B173">
      <formula1>MONTH($B159)=4</formula1>
    </dataValidation>
    <dataValidation type="custom" errorStyle="warning" allowBlank="1" showInputMessage="1" showErrorMessage="1" errorTitle="Date Validation" error="A date in May needs be entered  in order for this expense to be added to the Summary sheet." sqref="B179:B187">
      <formula1>MONTH($B179)=5</formula1>
    </dataValidation>
    <dataValidation type="custom" errorStyle="warning" allowBlank="1" showInputMessage="1" showErrorMessage="1" errorTitle="Date Validation" error="A date in June needs be entered  in order for this expense to be added to the Summary sheet." sqref="B193:B208">
      <formula1>MONTH($B193)=6</formula1>
    </dataValidation>
  </dataValidations>
  <printOptions horizontalCentered="1"/>
  <pageMargins left="0.25" right="0.25" top="0.75" bottom="0.75" header="0.3" footer="0.3"/>
  <pageSetup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78"/>
  <sheetViews>
    <sheetView topLeftCell="A19" workbookViewId="0">
      <selection activeCell="F39" sqref="A1:XFD1048576"/>
    </sheetView>
  </sheetViews>
  <sheetFormatPr defaultColWidth="9.140625" defaultRowHeight="12.75"/>
  <cols>
    <col min="1" max="1" width="15.42578125" style="260" customWidth="1"/>
    <col min="2" max="2" width="14" style="260" customWidth="1"/>
    <col min="3" max="3" width="13.28515625" style="260" customWidth="1"/>
    <col min="4" max="4" width="13.5703125" style="260" customWidth="1"/>
    <col min="5" max="5" width="13.7109375" style="260" customWidth="1"/>
    <col min="6" max="6" width="14.7109375" style="260" customWidth="1"/>
    <col min="7" max="7" width="17.7109375" style="260" customWidth="1"/>
    <col min="8" max="16384" width="9.140625" style="260"/>
  </cols>
  <sheetData>
    <row r="1" spans="1:7" ht="13.5" customHeight="1">
      <c r="A1" s="278" t="s">
        <v>155</v>
      </c>
      <c r="B1" s="279" t="s">
        <v>154</v>
      </c>
      <c r="C1" s="280"/>
      <c r="D1" s="279" t="s">
        <v>153</v>
      </c>
      <c r="E1" s="280"/>
      <c r="F1" s="279" t="s">
        <v>152</v>
      </c>
      <c r="G1" s="280"/>
    </row>
    <row r="2" spans="1:7">
      <c r="A2" s="348"/>
      <c r="B2" s="349"/>
      <c r="C2" s="350"/>
      <c r="D2" s="351" t="s">
        <v>833</v>
      </c>
      <c r="E2" s="352">
        <v>5011</v>
      </c>
      <c r="F2" s="285"/>
      <c r="G2" s="353" t="b">
        <f t="shared" ref="G2:G38" si="0">IF(F2&gt;5250,"OVER")</f>
        <v>0</v>
      </c>
    </row>
    <row r="3" spans="1:7">
      <c r="A3" s="348">
        <v>7434</v>
      </c>
      <c r="B3" s="354" t="str">
        <f t="shared" ref="B3:B38" si="1">D2</f>
        <v>1.17.13</v>
      </c>
      <c r="C3" s="355">
        <v>5011</v>
      </c>
      <c r="D3" s="356" t="s">
        <v>832</v>
      </c>
      <c r="E3" s="357">
        <v>9993</v>
      </c>
      <c r="F3" s="358">
        <f t="shared" ref="F3:F38" si="2">SUM(E3-E2)</f>
        <v>4982</v>
      </c>
      <c r="G3" s="359" t="b">
        <f t="shared" si="0"/>
        <v>0</v>
      </c>
    </row>
    <row r="4" spans="1:7">
      <c r="A4" s="348">
        <v>7488</v>
      </c>
      <c r="B4" s="354" t="str">
        <f t="shared" si="1"/>
        <v>2.27.13</v>
      </c>
      <c r="C4" s="355">
        <v>9993</v>
      </c>
      <c r="D4" s="356" t="s">
        <v>831</v>
      </c>
      <c r="E4" s="357">
        <v>14926</v>
      </c>
      <c r="F4" s="358">
        <f t="shared" si="2"/>
        <v>4933</v>
      </c>
      <c r="G4" s="359" t="b">
        <f t="shared" si="0"/>
        <v>0</v>
      </c>
    </row>
    <row r="5" spans="1:7">
      <c r="A5" s="348">
        <v>7535</v>
      </c>
      <c r="B5" s="354" t="str">
        <f t="shared" si="1"/>
        <v>4.8.13</v>
      </c>
      <c r="C5" s="355">
        <v>14926</v>
      </c>
      <c r="D5" s="356" t="s">
        <v>830</v>
      </c>
      <c r="E5" s="357">
        <v>19883</v>
      </c>
      <c r="F5" s="358">
        <f t="shared" si="2"/>
        <v>4957</v>
      </c>
      <c r="G5" s="359" t="b">
        <f t="shared" si="0"/>
        <v>0</v>
      </c>
    </row>
    <row r="6" spans="1:7">
      <c r="A6" s="348">
        <v>7592</v>
      </c>
      <c r="B6" s="354" t="str">
        <f t="shared" si="1"/>
        <v>5.17.13</v>
      </c>
      <c r="C6" s="355">
        <v>19883</v>
      </c>
      <c r="D6" s="356" t="s">
        <v>150</v>
      </c>
      <c r="E6" s="357">
        <v>25055</v>
      </c>
      <c r="F6" s="358">
        <f t="shared" si="2"/>
        <v>5172</v>
      </c>
      <c r="G6" s="359" t="b">
        <f t="shared" si="0"/>
        <v>0</v>
      </c>
    </row>
    <row r="7" spans="1:7">
      <c r="A7" s="348">
        <v>7643</v>
      </c>
      <c r="B7" s="354" t="str">
        <f t="shared" si="1"/>
        <v>6.26.13</v>
      </c>
      <c r="C7" s="355">
        <v>25055</v>
      </c>
      <c r="D7" s="356" t="s">
        <v>829</v>
      </c>
      <c r="E7" s="357">
        <v>30078</v>
      </c>
      <c r="F7" s="358">
        <f t="shared" si="2"/>
        <v>5023</v>
      </c>
      <c r="G7" s="359" t="b">
        <f t="shared" si="0"/>
        <v>0</v>
      </c>
    </row>
    <row r="8" spans="1:7">
      <c r="A8" s="348">
        <v>7741</v>
      </c>
      <c r="B8" s="354" t="str">
        <f t="shared" si="1"/>
        <v>8.6.13</v>
      </c>
      <c r="C8" s="355">
        <v>30078</v>
      </c>
      <c r="D8" s="356" t="s">
        <v>828</v>
      </c>
      <c r="E8" s="357">
        <v>35005</v>
      </c>
      <c r="F8" s="358">
        <f t="shared" si="2"/>
        <v>4927</v>
      </c>
      <c r="G8" s="359" t="b">
        <f t="shared" si="0"/>
        <v>0</v>
      </c>
    </row>
    <row r="9" spans="1:7">
      <c r="A9" s="348">
        <v>7814</v>
      </c>
      <c r="B9" s="354" t="str">
        <f t="shared" si="1"/>
        <v>9.16.13</v>
      </c>
      <c r="C9" s="355">
        <v>35005</v>
      </c>
      <c r="D9" s="356" t="s">
        <v>827</v>
      </c>
      <c r="E9" s="357">
        <v>40005</v>
      </c>
      <c r="F9" s="358">
        <f t="shared" si="2"/>
        <v>5000</v>
      </c>
      <c r="G9" s="359" t="b">
        <f t="shared" si="0"/>
        <v>0</v>
      </c>
    </row>
    <row r="10" spans="1:7">
      <c r="A10" s="348">
        <v>7910</v>
      </c>
      <c r="B10" s="354" t="str">
        <f t="shared" si="1"/>
        <v>10.30.13</v>
      </c>
      <c r="C10" s="355">
        <v>40005</v>
      </c>
      <c r="D10" s="356" t="s">
        <v>826</v>
      </c>
      <c r="E10" s="357">
        <v>45072</v>
      </c>
      <c r="F10" s="358">
        <f t="shared" si="2"/>
        <v>5067</v>
      </c>
      <c r="G10" s="359" t="b">
        <f t="shared" si="0"/>
        <v>0</v>
      </c>
    </row>
    <row r="11" spans="1:7">
      <c r="A11" s="348">
        <v>8033</v>
      </c>
      <c r="B11" s="354" t="str">
        <f t="shared" si="1"/>
        <v>12.16.13</v>
      </c>
      <c r="C11" s="355">
        <v>45072</v>
      </c>
      <c r="D11" s="356" t="s">
        <v>825</v>
      </c>
      <c r="E11" s="357">
        <v>49941</v>
      </c>
      <c r="F11" s="358">
        <f t="shared" si="2"/>
        <v>4869</v>
      </c>
      <c r="G11" s="359" t="b">
        <f t="shared" si="0"/>
        <v>0</v>
      </c>
    </row>
    <row r="12" spans="1:7">
      <c r="A12" s="348">
        <v>8118</v>
      </c>
      <c r="B12" s="354" t="str">
        <f t="shared" si="1"/>
        <v>1.30.14</v>
      </c>
      <c r="C12" s="355">
        <v>49941</v>
      </c>
      <c r="D12" s="356" t="s">
        <v>824</v>
      </c>
      <c r="E12" s="357">
        <v>55078</v>
      </c>
      <c r="F12" s="358">
        <f t="shared" si="2"/>
        <v>5137</v>
      </c>
      <c r="G12" s="359" t="b">
        <f t="shared" si="0"/>
        <v>0</v>
      </c>
    </row>
    <row r="13" spans="1:7">
      <c r="A13" s="348">
        <v>8227</v>
      </c>
      <c r="B13" s="354" t="str">
        <f t="shared" si="1"/>
        <v>3.24.14</v>
      </c>
      <c r="C13" s="355">
        <v>55078</v>
      </c>
      <c r="D13" s="356" t="s">
        <v>823</v>
      </c>
      <c r="E13" s="357">
        <v>59969</v>
      </c>
      <c r="F13" s="358">
        <f t="shared" si="2"/>
        <v>4891</v>
      </c>
      <c r="G13" s="359" t="b">
        <f t="shared" si="0"/>
        <v>0</v>
      </c>
    </row>
    <row r="14" spans="1:7">
      <c r="A14" s="348">
        <v>8341</v>
      </c>
      <c r="B14" s="354" t="str">
        <f t="shared" si="1"/>
        <v>5.6.14</v>
      </c>
      <c r="C14" s="355">
        <v>59969</v>
      </c>
      <c r="D14" s="356" t="s">
        <v>822</v>
      </c>
      <c r="E14" s="357">
        <v>64986</v>
      </c>
      <c r="F14" s="358">
        <f t="shared" si="2"/>
        <v>5017</v>
      </c>
      <c r="G14" s="359" t="b">
        <f t="shared" si="0"/>
        <v>0</v>
      </c>
    </row>
    <row r="15" spans="1:7">
      <c r="A15" s="348">
        <v>8430</v>
      </c>
      <c r="B15" s="354" t="str">
        <f t="shared" si="1"/>
        <v>6.20.14</v>
      </c>
      <c r="C15" s="361">
        <v>64986</v>
      </c>
      <c r="D15" s="362" t="s">
        <v>821</v>
      </c>
      <c r="E15" s="363">
        <v>69929</v>
      </c>
      <c r="F15" s="358">
        <f t="shared" si="2"/>
        <v>4943</v>
      </c>
      <c r="G15" s="359" t="b">
        <f t="shared" si="0"/>
        <v>0</v>
      </c>
    </row>
    <row r="16" spans="1:7" ht="13.5" thickBot="1">
      <c r="A16" s="364">
        <v>8551</v>
      </c>
      <c r="B16" s="354" t="str">
        <f t="shared" si="1"/>
        <v>8.8.14</v>
      </c>
      <c r="C16" s="365">
        <v>69929</v>
      </c>
      <c r="D16" s="366" t="s">
        <v>820</v>
      </c>
      <c r="E16" s="367">
        <v>74964</v>
      </c>
      <c r="F16" s="358">
        <f t="shared" si="2"/>
        <v>5035</v>
      </c>
      <c r="G16" s="359" t="b">
        <f t="shared" si="0"/>
        <v>0</v>
      </c>
    </row>
    <row r="17" spans="1:11" ht="13.5" thickBot="1">
      <c r="A17" s="369">
        <v>8644</v>
      </c>
      <c r="B17" s="354" t="str">
        <f t="shared" si="1"/>
        <v>10.1.14</v>
      </c>
      <c r="C17" s="370">
        <v>74964</v>
      </c>
      <c r="D17" s="371" t="s">
        <v>819</v>
      </c>
      <c r="E17" s="372">
        <v>80050</v>
      </c>
      <c r="F17" s="358">
        <f t="shared" si="2"/>
        <v>5086</v>
      </c>
      <c r="G17" s="359" t="b">
        <f t="shared" si="0"/>
        <v>0</v>
      </c>
    </row>
    <row r="18" spans="1:11">
      <c r="A18" s="374">
        <v>8760</v>
      </c>
      <c r="B18" s="354" t="str">
        <f t="shared" si="1"/>
        <v>11.20.14</v>
      </c>
      <c r="C18" s="375">
        <v>80050</v>
      </c>
      <c r="D18" s="403" t="s">
        <v>711</v>
      </c>
      <c r="E18" s="377">
        <v>85050</v>
      </c>
      <c r="F18" s="358">
        <f t="shared" si="2"/>
        <v>5000</v>
      </c>
      <c r="G18" s="359" t="b">
        <f t="shared" si="0"/>
        <v>0</v>
      </c>
    </row>
    <row r="19" spans="1:11">
      <c r="A19" s="348">
        <v>8847</v>
      </c>
      <c r="B19" s="354" t="str">
        <f t="shared" si="1"/>
        <v>1.2.15</v>
      </c>
      <c r="C19" s="355">
        <v>85050</v>
      </c>
      <c r="D19" s="356" t="s">
        <v>818</v>
      </c>
      <c r="E19" s="357">
        <v>89970</v>
      </c>
      <c r="F19" s="358">
        <f t="shared" si="2"/>
        <v>4920</v>
      </c>
      <c r="G19" s="359" t="b">
        <f t="shared" si="0"/>
        <v>0</v>
      </c>
    </row>
    <row r="20" spans="1:11">
      <c r="A20" s="348">
        <v>8932</v>
      </c>
      <c r="B20" s="354" t="str">
        <f t="shared" si="1"/>
        <v>2.10.15</v>
      </c>
      <c r="C20" s="355">
        <v>89970</v>
      </c>
      <c r="D20" s="356" t="s">
        <v>817</v>
      </c>
      <c r="E20" s="357">
        <v>94949</v>
      </c>
      <c r="F20" s="358">
        <f t="shared" si="2"/>
        <v>4979</v>
      </c>
      <c r="G20" s="359" t="b">
        <f t="shared" si="0"/>
        <v>0</v>
      </c>
    </row>
    <row r="21" spans="1:11">
      <c r="A21" s="348">
        <v>9013</v>
      </c>
      <c r="B21" s="354" t="str">
        <f t="shared" si="1"/>
        <v>3.18.15</v>
      </c>
      <c r="C21" s="355">
        <v>94949</v>
      </c>
      <c r="D21" s="356" t="s">
        <v>816</v>
      </c>
      <c r="E21" s="357">
        <v>99884</v>
      </c>
      <c r="F21" s="358">
        <f t="shared" si="2"/>
        <v>4935</v>
      </c>
      <c r="G21" s="359" t="b">
        <f t="shared" si="0"/>
        <v>0</v>
      </c>
    </row>
    <row r="22" spans="1:11">
      <c r="A22" s="348">
        <v>9090</v>
      </c>
      <c r="B22" s="354" t="str">
        <f t="shared" si="1"/>
        <v>4.25.15</v>
      </c>
      <c r="C22" s="355">
        <v>99884</v>
      </c>
      <c r="D22" s="356" t="s">
        <v>815</v>
      </c>
      <c r="E22" s="357">
        <v>105038</v>
      </c>
      <c r="F22" s="358">
        <f t="shared" si="2"/>
        <v>5154</v>
      </c>
      <c r="G22" s="359" t="b">
        <f t="shared" si="0"/>
        <v>0</v>
      </c>
    </row>
    <row r="23" spans="1:11">
      <c r="A23" s="348">
        <v>9153</v>
      </c>
      <c r="B23" s="354" t="str">
        <f t="shared" si="1"/>
        <v>6.4.15</v>
      </c>
      <c r="C23" s="355">
        <v>105038</v>
      </c>
      <c r="D23" s="356" t="s">
        <v>707</v>
      </c>
      <c r="E23" s="357">
        <v>110071</v>
      </c>
      <c r="F23" s="358">
        <f t="shared" si="2"/>
        <v>5033</v>
      </c>
      <c r="G23" s="359" t="b">
        <f t="shared" si="0"/>
        <v>0</v>
      </c>
    </row>
    <row r="24" spans="1:11">
      <c r="A24" s="348">
        <v>9249</v>
      </c>
      <c r="B24" s="354" t="str">
        <f t="shared" si="1"/>
        <v>7.21.15</v>
      </c>
      <c r="C24" s="355">
        <v>110071</v>
      </c>
      <c r="D24" s="356" t="s">
        <v>814</v>
      </c>
      <c r="E24" s="357">
        <v>114957</v>
      </c>
      <c r="F24" s="358">
        <f t="shared" si="2"/>
        <v>4886</v>
      </c>
      <c r="G24" s="359" t="b">
        <f t="shared" si="0"/>
        <v>0</v>
      </c>
    </row>
    <row r="25" spans="1:11">
      <c r="A25" s="348">
        <v>9333</v>
      </c>
      <c r="B25" s="354" t="str">
        <f t="shared" si="1"/>
        <v>9.4.15</v>
      </c>
      <c r="C25" s="355">
        <v>114957</v>
      </c>
      <c r="D25" s="356" t="s">
        <v>813</v>
      </c>
      <c r="E25" s="357">
        <v>119904</v>
      </c>
      <c r="F25" s="358">
        <f t="shared" si="2"/>
        <v>4947</v>
      </c>
      <c r="G25" s="359" t="b">
        <f t="shared" si="0"/>
        <v>0</v>
      </c>
    </row>
    <row r="26" spans="1:11">
      <c r="A26" s="348">
        <v>9411</v>
      </c>
      <c r="B26" s="354" t="str">
        <f t="shared" si="1"/>
        <v>10.13.15</v>
      </c>
      <c r="C26" s="355">
        <v>119904</v>
      </c>
      <c r="D26" s="356" t="s">
        <v>812</v>
      </c>
      <c r="E26" s="357">
        <v>124962</v>
      </c>
      <c r="F26" s="358">
        <f t="shared" si="2"/>
        <v>5058</v>
      </c>
      <c r="G26" s="359" t="b">
        <f t="shared" si="0"/>
        <v>0</v>
      </c>
    </row>
    <row r="27" spans="1:11">
      <c r="A27" s="348">
        <v>9481</v>
      </c>
      <c r="B27" s="354" t="str">
        <f t="shared" si="1"/>
        <v>11.17.15</v>
      </c>
      <c r="C27" s="355">
        <v>124962</v>
      </c>
      <c r="D27" s="356" t="s">
        <v>811</v>
      </c>
      <c r="E27" s="357">
        <v>129792</v>
      </c>
      <c r="F27" s="358">
        <f t="shared" si="2"/>
        <v>4830</v>
      </c>
      <c r="G27" s="359" t="b">
        <f t="shared" si="0"/>
        <v>0</v>
      </c>
    </row>
    <row r="28" spans="1:11">
      <c r="A28" s="348">
        <v>9561</v>
      </c>
      <c r="B28" s="354" t="str">
        <f t="shared" si="1"/>
        <v>12.29.15</v>
      </c>
      <c r="C28" s="355">
        <v>129792</v>
      </c>
      <c r="D28" s="356" t="s">
        <v>810</v>
      </c>
      <c r="E28" s="357">
        <v>134950</v>
      </c>
      <c r="F28" s="358">
        <f t="shared" si="2"/>
        <v>5158</v>
      </c>
      <c r="G28" s="359" t="b">
        <f t="shared" si="0"/>
        <v>0</v>
      </c>
    </row>
    <row r="29" spans="1:11">
      <c r="A29" s="348">
        <v>9668</v>
      </c>
      <c r="B29" s="354" t="str">
        <f t="shared" si="1"/>
        <v>2.23.16</v>
      </c>
      <c r="C29" s="355">
        <v>134950</v>
      </c>
      <c r="D29" s="356" t="s">
        <v>809</v>
      </c>
      <c r="E29" s="357">
        <v>140080</v>
      </c>
      <c r="F29" s="358">
        <f t="shared" si="2"/>
        <v>5130</v>
      </c>
      <c r="G29" s="359" t="b">
        <f t="shared" si="0"/>
        <v>0</v>
      </c>
      <c r="K29" s="505"/>
    </row>
    <row r="30" spans="1:11">
      <c r="A30" s="348">
        <v>9773</v>
      </c>
      <c r="B30" s="354" t="str">
        <f t="shared" si="1"/>
        <v>4.21.16</v>
      </c>
      <c r="C30" s="355">
        <v>140080</v>
      </c>
      <c r="D30" s="356" t="s">
        <v>808</v>
      </c>
      <c r="E30" s="357">
        <v>145159</v>
      </c>
      <c r="F30" s="358">
        <f t="shared" si="2"/>
        <v>5079</v>
      </c>
      <c r="G30" s="359" t="b">
        <f t="shared" si="0"/>
        <v>0</v>
      </c>
    </row>
    <row r="31" spans="1:11">
      <c r="A31" s="348">
        <v>9912</v>
      </c>
      <c r="B31" s="354" t="str">
        <f t="shared" si="1"/>
        <v>7.14.16</v>
      </c>
      <c r="C31" s="355">
        <v>145159</v>
      </c>
      <c r="D31" s="356" t="s">
        <v>807</v>
      </c>
      <c r="E31" s="357">
        <v>150134</v>
      </c>
      <c r="F31" s="358">
        <f t="shared" si="2"/>
        <v>4975</v>
      </c>
      <c r="G31" s="359" t="b">
        <f t="shared" si="0"/>
        <v>0</v>
      </c>
    </row>
    <row r="32" spans="1:11">
      <c r="A32" s="348">
        <v>10013</v>
      </c>
      <c r="B32" s="354" t="str">
        <f t="shared" si="1"/>
        <v>9.6.16</v>
      </c>
      <c r="C32" s="355">
        <v>150134</v>
      </c>
      <c r="D32" s="356" t="s">
        <v>806</v>
      </c>
      <c r="E32" s="357">
        <v>155164</v>
      </c>
      <c r="F32" s="358">
        <f t="shared" si="2"/>
        <v>5030</v>
      </c>
      <c r="G32" s="359" t="b">
        <f t="shared" si="0"/>
        <v>0</v>
      </c>
    </row>
    <row r="33" spans="1:13">
      <c r="A33" s="348">
        <v>10120</v>
      </c>
      <c r="B33" s="354" t="str">
        <f t="shared" si="1"/>
        <v>10.29.16</v>
      </c>
      <c r="C33" s="355">
        <v>155164</v>
      </c>
      <c r="D33" s="356" t="s">
        <v>805</v>
      </c>
      <c r="E33" s="357">
        <v>160013</v>
      </c>
      <c r="F33" s="358">
        <f t="shared" si="2"/>
        <v>4849</v>
      </c>
      <c r="G33" s="359" t="b">
        <f t="shared" si="0"/>
        <v>0</v>
      </c>
    </row>
    <row r="34" spans="1:13">
      <c r="A34" s="348"/>
      <c r="B34" s="354" t="str">
        <f t="shared" si="1"/>
        <v>12.13.16</v>
      </c>
      <c r="C34" s="355">
        <v>160013</v>
      </c>
      <c r="D34" s="356" t="s">
        <v>804</v>
      </c>
      <c r="E34" s="357">
        <v>164960</v>
      </c>
      <c r="F34" s="358">
        <f t="shared" si="2"/>
        <v>4947</v>
      </c>
      <c r="G34" s="359" t="b">
        <f t="shared" si="0"/>
        <v>0</v>
      </c>
    </row>
    <row r="35" spans="1:13">
      <c r="A35" s="348">
        <v>10288</v>
      </c>
      <c r="B35" s="354" t="str">
        <f t="shared" si="1"/>
        <v>2.8.17</v>
      </c>
      <c r="C35" s="355">
        <v>164960</v>
      </c>
      <c r="D35" s="356" t="s">
        <v>803</v>
      </c>
      <c r="E35" s="357">
        <v>169745</v>
      </c>
      <c r="F35" s="358">
        <f t="shared" si="2"/>
        <v>4785</v>
      </c>
      <c r="G35" s="359" t="b">
        <f t="shared" si="0"/>
        <v>0</v>
      </c>
    </row>
    <row r="36" spans="1:13">
      <c r="A36" s="348">
        <v>10391</v>
      </c>
      <c r="B36" s="354" t="str">
        <f t="shared" si="1"/>
        <v>4.1.17</v>
      </c>
      <c r="C36" s="355">
        <v>169745</v>
      </c>
      <c r="D36" s="356" t="s">
        <v>802</v>
      </c>
      <c r="E36" s="357">
        <v>174687</v>
      </c>
      <c r="F36" s="358">
        <f t="shared" si="2"/>
        <v>4942</v>
      </c>
      <c r="G36" s="359" t="b">
        <f t="shared" si="0"/>
        <v>0</v>
      </c>
    </row>
    <row r="37" spans="1:13">
      <c r="A37" s="348">
        <v>10490</v>
      </c>
      <c r="B37" s="354" t="str">
        <f t="shared" si="1"/>
        <v>5.19.17</v>
      </c>
      <c r="C37" s="355">
        <v>174687</v>
      </c>
      <c r="D37" s="356" t="s">
        <v>801</v>
      </c>
      <c r="E37" s="357">
        <v>179740</v>
      </c>
      <c r="F37" s="358">
        <f t="shared" si="2"/>
        <v>5053</v>
      </c>
      <c r="G37" s="359" t="b">
        <f t="shared" si="0"/>
        <v>0</v>
      </c>
    </row>
    <row r="38" spans="1:13">
      <c r="A38" s="348">
        <v>10621</v>
      </c>
      <c r="B38" s="354" t="str">
        <f t="shared" si="1"/>
        <v>7.7.17</v>
      </c>
      <c r="C38" s="355">
        <v>179740</v>
      </c>
      <c r="D38" s="356"/>
      <c r="E38" s="357"/>
      <c r="F38" s="358">
        <f t="shared" si="2"/>
        <v>-179740</v>
      </c>
      <c r="G38" s="359" t="b">
        <f t="shared" si="0"/>
        <v>0</v>
      </c>
    </row>
    <row r="40" spans="1:13" ht="13.5" thickBot="1">
      <c r="A40" s="504" t="s">
        <v>836</v>
      </c>
    </row>
    <row r="41" spans="1:13">
      <c r="A41" s="278" t="s">
        <v>155</v>
      </c>
      <c r="B41" s="279" t="s">
        <v>154</v>
      </c>
      <c r="C41" s="280"/>
      <c r="D41" s="279" t="s">
        <v>153</v>
      </c>
      <c r="E41" s="280"/>
      <c r="F41" s="279" t="s">
        <v>152</v>
      </c>
      <c r="G41" s="280"/>
    </row>
    <row r="42" spans="1:13">
      <c r="A42" s="348"/>
      <c r="B42" s="349"/>
      <c r="C42" s="350">
        <v>174687</v>
      </c>
      <c r="D42" s="351" t="s">
        <v>801</v>
      </c>
      <c r="E42" s="352">
        <v>179740</v>
      </c>
      <c r="F42" s="285"/>
      <c r="G42" s="353" t="b">
        <f t="shared" ref="G42:G78" si="3">IF(F42&gt;5250,"OVER")</f>
        <v>0</v>
      </c>
    </row>
    <row r="43" spans="1:13">
      <c r="A43" s="348"/>
      <c r="B43" s="354" t="str">
        <f t="shared" ref="B43:B78" si="4">D42</f>
        <v>7.7.17</v>
      </c>
      <c r="C43" s="355">
        <v>179740</v>
      </c>
      <c r="D43" s="356" t="s">
        <v>834</v>
      </c>
      <c r="E43" s="357">
        <v>184770</v>
      </c>
      <c r="F43" s="358">
        <f t="shared" ref="F43:F78" si="5">SUM(E43-E42)</f>
        <v>5030</v>
      </c>
      <c r="G43" s="359" t="b">
        <f t="shared" si="3"/>
        <v>0</v>
      </c>
    </row>
    <row r="44" spans="1:13">
      <c r="A44" s="348">
        <v>10718</v>
      </c>
      <c r="B44" s="354" t="str">
        <f t="shared" si="4"/>
        <v>8.17.17</v>
      </c>
      <c r="C44" s="355">
        <v>184770</v>
      </c>
      <c r="D44" s="356" t="s">
        <v>835</v>
      </c>
      <c r="E44" s="357">
        <v>189843</v>
      </c>
      <c r="F44" s="358">
        <f t="shared" si="5"/>
        <v>5073</v>
      </c>
      <c r="G44" s="359" t="b">
        <f t="shared" si="3"/>
        <v>0</v>
      </c>
    </row>
    <row r="45" spans="1:13">
      <c r="A45" s="348">
        <v>10835</v>
      </c>
      <c r="B45" s="354" t="str">
        <f t="shared" si="4"/>
        <v>9.28.17</v>
      </c>
      <c r="C45" s="355">
        <v>189843</v>
      </c>
      <c r="D45" s="356"/>
      <c r="E45" s="357"/>
      <c r="F45" s="358">
        <f t="shared" si="5"/>
        <v>-189843</v>
      </c>
      <c r="G45" s="359" t="b">
        <f t="shared" si="3"/>
        <v>0</v>
      </c>
    </row>
    <row r="46" spans="1:13">
      <c r="A46" s="348"/>
      <c r="B46" s="354">
        <f t="shared" si="4"/>
        <v>0</v>
      </c>
      <c r="C46" s="355"/>
      <c r="D46" s="356"/>
      <c r="E46" s="357"/>
      <c r="F46" s="358">
        <f t="shared" si="5"/>
        <v>0</v>
      </c>
      <c r="G46" s="359" t="b">
        <f t="shared" si="3"/>
        <v>0</v>
      </c>
    </row>
    <row r="47" spans="1:13">
      <c r="A47" s="348"/>
      <c r="B47" s="354">
        <f t="shared" si="4"/>
        <v>0</v>
      </c>
      <c r="C47" s="355"/>
      <c r="D47" s="356"/>
      <c r="E47" s="357"/>
      <c r="F47" s="358">
        <f t="shared" si="5"/>
        <v>0</v>
      </c>
      <c r="G47" s="359" t="b">
        <f t="shared" si="3"/>
        <v>0</v>
      </c>
      <c r="M47" s="260">
        <v>4</v>
      </c>
    </row>
    <row r="48" spans="1:13">
      <c r="A48" s="348"/>
      <c r="B48" s="354">
        <f t="shared" si="4"/>
        <v>0</v>
      </c>
      <c r="C48" s="355"/>
      <c r="D48" s="356"/>
      <c r="E48" s="357"/>
      <c r="F48" s="358">
        <f t="shared" si="5"/>
        <v>0</v>
      </c>
      <c r="G48" s="359" t="b">
        <f t="shared" si="3"/>
        <v>0</v>
      </c>
    </row>
    <row r="49" spans="1:7">
      <c r="A49" s="348"/>
      <c r="B49" s="354">
        <f t="shared" si="4"/>
        <v>0</v>
      </c>
      <c r="C49" s="355"/>
      <c r="D49" s="356"/>
      <c r="E49" s="357"/>
      <c r="F49" s="358">
        <f t="shared" si="5"/>
        <v>0</v>
      </c>
      <c r="G49" s="359" t="b">
        <f t="shared" si="3"/>
        <v>0</v>
      </c>
    </row>
    <row r="50" spans="1:7">
      <c r="A50" s="348"/>
      <c r="B50" s="354">
        <f t="shared" si="4"/>
        <v>0</v>
      </c>
      <c r="C50" s="355"/>
      <c r="D50" s="356"/>
      <c r="E50" s="357"/>
      <c r="F50" s="358">
        <f t="shared" si="5"/>
        <v>0</v>
      </c>
      <c r="G50" s="359" t="b">
        <f t="shared" si="3"/>
        <v>0</v>
      </c>
    </row>
    <row r="51" spans="1:7">
      <c r="A51" s="348"/>
      <c r="B51" s="354">
        <f t="shared" si="4"/>
        <v>0</v>
      </c>
      <c r="C51" s="355"/>
      <c r="D51" s="356"/>
      <c r="E51" s="357"/>
      <c r="F51" s="358">
        <f t="shared" si="5"/>
        <v>0</v>
      </c>
      <c r="G51" s="359" t="b">
        <f t="shared" si="3"/>
        <v>0</v>
      </c>
    </row>
    <row r="52" spans="1:7">
      <c r="A52" s="348"/>
      <c r="B52" s="354">
        <f t="shared" si="4"/>
        <v>0</v>
      </c>
      <c r="C52" s="355"/>
      <c r="D52" s="356"/>
      <c r="E52" s="357"/>
      <c r="F52" s="358">
        <f t="shared" si="5"/>
        <v>0</v>
      </c>
      <c r="G52" s="359" t="b">
        <f t="shared" si="3"/>
        <v>0</v>
      </c>
    </row>
    <row r="53" spans="1:7">
      <c r="A53" s="348"/>
      <c r="B53" s="354">
        <f t="shared" si="4"/>
        <v>0</v>
      </c>
      <c r="C53" s="355"/>
      <c r="D53" s="356"/>
      <c r="E53" s="357"/>
      <c r="F53" s="358">
        <f t="shared" si="5"/>
        <v>0</v>
      </c>
      <c r="G53" s="359" t="b">
        <f t="shared" si="3"/>
        <v>0</v>
      </c>
    </row>
    <row r="54" spans="1:7">
      <c r="A54" s="348"/>
      <c r="B54" s="354">
        <f t="shared" si="4"/>
        <v>0</v>
      </c>
      <c r="C54" s="355"/>
      <c r="D54" s="356"/>
      <c r="E54" s="357"/>
      <c r="F54" s="358">
        <f t="shared" si="5"/>
        <v>0</v>
      </c>
      <c r="G54" s="359" t="b">
        <f t="shared" si="3"/>
        <v>0</v>
      </c>
    </row>
    <row r="55" spans="1:7">
      <c r="A55" s="348"/>
      <c r="B55" s="354">
        <f t="shared" si="4"/>
        <v>0</v>
      </c>
      <c r="C55" s="361"/>
      <c r="D55" s="362"/>
      <c r="E55" s="363"/>
      <c r="F55" s="358">
        <f t="shared" si="5"/>
        <v>0</v>
      </c>
      <c r="G55" s="359" t="b">
        <f t="shared" si="3"/>
        <v>0</v>
      </c>
    </row>
    <row r="56" spans="1:7" ht="13.5" thickBot="1">
      <c r="A56" s="364"/>
      <c r="B56" s="354">
        <f t="shared" si="4"/>
        <v>0</v>
      </c>
      <c r="C56" s="365"/>
      <c r="D56" s="366"/>
      <c r="E56" s="367"/>
      <c r="F56" s="358">
        <f t="shared" si="5"/>
        <v>0</v>
      </c>
      <c r="G56" s="359" t="b">
        <f t="shared" si="3"/>
        <v>0</v>
      </c>
    </row>
    <row r="57" spans="1:7" ht="13.5" thickBot="1">
      <c r="A57" s="369"/>
      <c r="B57" s="354">
        <f t="shared" si="4"/>
        <v>0</v>
      </c>
      <c r="C57" s="370"/>
      <c r="D57" s="371"/>
      <c r="E57" s="372"/>
      <c r="F57" s="358">
        <f t="shared" si="5"/>
        <v>0</v>
      </c>
      <c r="G57" s="359" t="b">
        <f t="shared" si="3"/>
        <v>0</v>
      </c>
    </row>
    <row r="58" spans="1:7">
      <c r="A58" s="374"/>
      <c r="B58" s="354">
        <f t="shared" si="4"/>
        <v>0</v>
      </c>
      <c r="C58" s="375"/>
      <c r="D58" s="403"/>
      <c r="E58" s="377"/>
      <c r="F58" s="358">
        <f t="shared" si="5"/>
        <v>0</v>
      </c>
      <c r="G58" s="359" t="b">
        <f t="shared" si="3"/>
        <v>0</v>
      </c>
    </row>
    <row r="59" spans="1:7">
      <c r="A59" s="348"/>
      <c r="B59" s="354">
        <f t="shared" si="4"/>
        <v>0</v>
      </c>
      <c r="C59" s="355"/>
      <c r="D59" s="356"/>
      <c r="E59" s="357"/>
      <c r="F59" s="358">
        <f t="shared" si="5"/>
        <v>0</v>
      </c>
      <c r="G59" s="359" t="b">
        <f t="shared" si="3"/>
        <v>0</v>
      </c>
    </row>
    <row r="60" spans="1:7">
      <c r="A60" s="348"/>
      <c r="B60" s="354">
        <f t="shared" si="4"/>
        <v>0</v>
      </c>
      <c r="C60" s="355"/>
      <c r="D60" s="356"/>
      <c r="E60" s="357"/>
      <c r="F60" s="358">
        <f t="shared" si="5"/>
        <v>0</v>
      </c>
      <c r="G60" s="359" t="b">
        <f t="shared" si="3"/>
        <v>0</v>
      </c>
    </row>
    <row r="61" spans="1:7">
      <c r="A61" s="348"/>
      <c r="B61" s="354">
        <f t="shared" si="4"/>
        <v>0</v>
      </c>
      <c r="C61" s="355"/>
      <c r="D61" s="356"/>
      <c r="E61" s="357"/>
      <c r="F61" s="358">
        <f t="shared" si="5"/>
        <v>0</v>
      </c>
      <c r="G61" s="359" t="b">
        <f t="shared" si="3"/>
        <v>0</v>
      </c>
    </row>
    <row r="62" spans="1:7">
      <c r="A62" s="348"/>
      <c r="B62" s="354">
        <f t="shared" si="4"/>
        <v>0</v>
      </c>
      <c r="C62" s="355"/>
      <c r="D62" s="356"/>
      <c r="E62" s="357"/>
      <c r="F62" s="358">
        <f t="shared" si="5"/>
        <v>0</v>
      </c>
      <c r="G62" s="359" t="b">
        <f t="shared" si="3"/>
        <v>0</v>
      </c>
    </row>
    <row r="63" spans="1:7">
      <c r="A63" s="348"/>
      <c r="B63" s="354">
        <f t="shared" si="4"/>
        <v>0</v>
      </c>
      <c r="C63" s="355"/>
      <c r="D63" s="356"/>
      <c r="E63" s="357"/>
      <c r="F63" s="358">
        <f t="shared" si="5"/>
        <v>0</v>
      </c>
      <c r="G63" s="359" t="b">
        <f t="shared" si="3"/>
        <v>0</v>
      </c>
    </row>
    <row r="64" spans="1:7">
      <c r="A64" s="348"/>
      <c r="B64" s="354">
        <f t="shared" si="4"/>
        <v>0</v>
      </c>
      <c r="C64" s="355"/>
      <c r="D64" s="356"/>
      <c r="E64" s="357"/>
      <c r="F64" s="358">
        <f t="shared" si="5"/>
        <v>0</v>
      </c>
      <c r="G64" s="359" t="b">
        <f t="shared" si="3"/>
        <v>0</v>
      </c>
    </row>
    <row r="65" spans="1:7">
      <c r="A65" s="348"/>
      <c r="B65" s="354">
        <f t="shared" si="4"/>
        <v>0</v>
      </c>
      <c r="C65" s="355"/>
      <c r="D65" s="356"/>
      <c r="E65" s="357"/>
      <c r="F65" s="358">
        <f t="shared" si="5"/>
        <v>0</v>
      </c>
      <c r="G65" s="359" t="b">
        <f t="shared" si="3"/>
        <v>0</v>
      </c>
    </row>
    <row r="66" spans="1:7">
      <c r="A66" s="348"/>
      <c r="B66" s="354">
        <f t="shared" si="4"/>
        <v>0</v>
      </c>
      <c r="C66" s="355"/>
      <c r="D66" s="356"/>
      <c r="E66" s="357"/>
      <c r="F66" s="358">
        <f t="shared" si="5"/>
        <v>0</v>
      </c>
      <c r="G66" s="359" t="b">
        <f t="shared" si="3"/>
        <v>0</v>
      </c>
    </row>
    <row r="67" spans="1:7">
      <c r="A67" s="348"/>
      <c r="B67" s="354">
        <f t="shared" si="4"/>
        <v>0</v>
      </c>
      <c r="C67" s="355"/>
      <c r="D67" s="356"/>
      <c r="E67" s="357"/>
      <c r="F67" s="358">
        <f t="shared" si="5"/>
        <v>0</v>
      </c>
      <c r="G67" s="359" t="b">
        <f t="shared" si="3"/>
        <v>0</v>
      </c>
    </row>
    <row r="68" spans="1:7">
      <c r="A68" s="348"/>
      <c r="B68" s="354">
        <f t="shared" si="4"/>
        <v>0</v>
      </c>
      <c r="C68" s="355"/>
      <c r="D68" s="356"/>
      <c r="E68" s="357"/>
      <c r="F68" s="358">
        <f t="shared" si="5"/>
        <v>0</v>
      </c>
      <c r="G68" s="359" t="b">
        <f t="shared" si="3"/>
        <v>0</v>
      </c>
    </row>
    <row r="69" spans="1:7">
      <c r="A69" s="348"/>
      <c r="B69" s="354">
        <f t="shared" si="4"/>
        <v>0</v>
      </c>
      <c r="C69" s="355"/>
      <c r="D69" s="356"/>
      <c r="E69" s="357"/>
      <c r="F69" s="358">
        <f t="shared" si="5"/>
        <v>0</v>
      </c>
      <c r="G69" s="359" t="b">
        <f t="shared" si="3"/>
        <v>0</v>
      </c>
    </row>
    <row r="70" spans="1:7">
      <c r="A70" s="348"/>
      <c r="B70" s="354">
        <f t="shared" si="4"/>
        <v>0</v>
      </c>
      <c r="C70" s="355"/>
      <c r="D70" s="356"/>
      <c r="E70" s="357"/>
      <c r="F70" s="358">
        <f t="shared" si="5"/>
        <v>0</v>
      </c>
      <c r="G70" s="359" t="b">
        <f t="shared" si="3"/>
        <v>0</v>
      </c>
    </row>
    <row r="71" spans="1:7">
      <c r="A71" s="348"/>
      <c r="B71" s="354">
        <f t="shared" si="4"/>
        <v>0</v>
      </c>
      <c r="C71" s="355"/>
      <c r="D71" s="356"/>
      <c r="E71" s="357"/>
      <c r="F71" s="358">
        <f t="shared" si="5"/>
        <v>0</v>
      </c>
      <c r="G71" s="359" t="b">
        <f t="shared" si="3"/>
        <v>0</v>
      </c>
    </row>
    <row r="72" spans="1:7">
      <c r="A72" s="348"/>
      <c r="B72" s="354">
        <f t="shared" si="4"/>
        <v>0</v>
      </c>
      <c r="C72" s="355"/>
      <c r="D72" s="356"/>
      <c r="E72" s="357"/>
      <c r="F72" s="358">
        <f t="shared" si="5"/>
        <v>0</v>
      </c>
      <c r="G72" s="359" t="b">
        <f t="shared" si="3"/>
        <v>0</v>
      </c>
    </row>
    <row r="73" spans="1:7">
      <c r="A73" s="348"/>
      <c r="B73" s="354">
        <f t="shared" si="4"/>
        <v>0</v>
      </c>
      <c r="C73" s="355"/>
      <c r="D73" s="356"/>
      <c r="E73" s="357"/>
      <c r="F73" s="358">
        <f t="shared" si="5"/>
        <v>0</v>
      </c>
      <c r="G73" s="359" t="b">
        <f t="shared" si="3"/>
        <v>0</v>
      </c>
    </row>
    <row r="74" spans="1:7">
      <c r="A74" s="348"/>
      <c r="B74" s="354">
        <f t="shared" si="4"/>
        <v>0</v>
      </c>
      <c r="C74" s="355"/>
      <c r="D74" s="356"/>
      <c r="E74" s="357"/>
      <c r="F74" s="358">
        <f t="shared" si="5"/>
        <v>0</v>
      </c>
      <c r="G74" s="359" t="b">
        <f t="shared" si="3"/>
        <v>0</v>
      </c>
    </row>
    <row r="75" spans="1:7">
      <c r="A75" s="348"/>
      <c r="B75" s="354">
        <f t="shared" si="4"/>
        <v>0</v>
      </c>
      <c r="C75" s="355"/>
      <c r="D75" s="356"/>
      <c r="E75" s="357"/>
      <c r="F75" s="358">
        <f t="shared" si="5"/>
        <v>0</v>
      </c>
      <c r="G75" s="359" t="b">
        <f t="shared" si="3"/>
        <v>0</v>
      </c>
    </row>
    <row r="76" spans="1:7">
      <c r="A76" s="348"/>
      <c r="B76" s="354">
        <f t="shared" si="4"/>
        <v>0</v>
      </c>
      <c r="C76" s="355"/>
      <c r="D76" s="356"/>
      <c r="E76" s="357"/>
      <c r="F76" s="358">
        <f t="shared" si="5"/>
        <v>0</v>
      </c>
      <c r="G76" s="359" t="b">
        <f t="shared" si="3"/>
        <v>0</v>
      </c>
    </row>
    <row r="77" spans="1:7">
      <c r="A77" s="348"/>
      <c r="B77" s="354">
        <f t="shared" si="4"/>
        <v>0</v>
      </c>
      <c r="C77" s="355"/>
      <c r="D77" s="356"/>
      <c r="E77" s="357"/>
      <c r="F77" s="358">
        <f t="shared" si="5"/>
        <v>0</v>
      </c>
      <c r="G77" s="359" t="b">
        <f t="shared" si="3"/>
        <v>0</v>
      </c>
    </row>
    <row r="78" spans="1:7">
      <c r="A78" s="348"/>
      <c r="B78" s="354">
        <f t="shared" si="4"/>
        <v>0</v>
      </c>
      <c r="C78" s="355"/>
      <c r="D78" s="356"/>
      <c r="E78" s="357"/>
      <c r="F78" s="358">
        <f t="shared" si="5"/>
        <v>0</v>
      </c>
      <c r="G78" s="359" t="b">
        <f t="shared" si="3"/>
        <v>0</v>
      </c>
    </row>
  </sheetData>
  <mergeCells count="6">
    <mergeCell ref="B1:C1"/>
    <mergeCell ref="D1:E1"/>
    <mergeCell ref="F1:G1"/>
    <mergeCell ref="B41:C41"/>
    <mergeCell ref="D41:E41"/>
    <mergeCell ref="F41:G41"/>
  </mergeCells>
  <pageMargins left="0.7" right="0.7" top="0.75" bottom="0.75" header="0.3" footer="0.3"/>
  <pageSetup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Q17"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'[6]Projected Maint Practices'!Q7</f>
        <v>5237</v>
      </c>
      <c r="D6" s="264">
        <f>'[6]True Maint Practices'!Q7</f>
        <v>2698</v>
      </c>
    </row>
    <row r="7" spans="1:6" ht="15">
      <c r="B7" s="263">
        <v>2</v>
      </c>
      <c r="C7" s="264">
        <f>'[6]Projected Maint Practices'!Q8</f>
        <v>5237</v>
      </c>
      <c r="D7" s="264">
        <f>'[6]True Maint Practices'!Q8</f>
        <v>2897</v>
      </c>
    </row>
    <row r="8" spans="1:6" ht="15">
      <c r="B8" s="263">
        <v>3</v>
      </c>
      <c r="C8" s="264">
        <f>'[6]Projected Maint Practices'!Q9</f>
        <v>5237</v>
      </c>
      <c r="D8" s="264">
        <f>'[6]True Maint Practices'!Q9</f>
        <v>9047.25</v>
      </c>
    </row>
    <row r="9" spans="1:6" ht="15">
      <c r="B9" s="263">
        <v>4</v>
      </c>
      <c r="C9" s="264">
        <f>'[6]Projected Maint Practices'!Q10</f>
        <v>5237</v>
      </c>
      <c r="D9" s="264">
        <f>'[6]True Maint Practices'!Q10</f>
        <v>12786.25</v>
      </c>
    </row>
    <row r="10" spans="1:6" ht="15">
      <c r="B10" s="263">
        <v>5</v>
      </c>
      <c r="C10" s="264">
        <f>'[6]Projected Maint Practices'!Q11</f>
        <v>14091.25</v>
      </c>
      <c r="D10" s="264">
        <f>'[6]True Maint Practices'!Q11</f>
        <v>0</v>
      </c>
    </row>
    <row r="11" spans="1:6" ht="15">
      <c r="B11" s="263">
        <v>6</v>
      </c>
      <c r="C11" s="264">
        <f>'[6]Projected Maint Practices'!Q12</f>
        <v>5237</v>
      </c>
      <c r="D11" s="264">
        <f>'[6]True Maint Practices'!Q12</f>
        <v>0</v>
      </c>
    </row>
    <row r="12" spans="1:6" ht="15">
      <c r="B12" s="263">
        <v>7</v>
      </c>
      <c r="C12" s="264">
        <f>'[6]Projected Maint Practices'!Q13</f>
        <v>5237</v>
      </c>
      <c r="D12" s="264">
        <f>'[6]True Maint Practices'!Q13</f>
        <v>0</v>
      </c>
    </row>
    <row r="13" spans="1:6" ht="15">
      <c r="B13" s="263">
        <v>8</v>
      </c>
      <c r="C13" s="264">
        <f>'[6]Projected Maint Practices'!Q14</f>
        <v>5237</v>
      </c>
      <c r="D13" s="264">
        <f>'[6]True Maint Practices'!Q14</f>
        <v>0</v>
      </c>
    </row>
    <row r="14" spans="1:6" ht="15">
      <c r="B14" s="263">
        <v>9</v>
      </c>
      <c r="C14" s="264">
        <f>'[6]Projected Maint Practices'!Q15</f>
        <v>5237</v>
      </c>
      <c r="D14" s="264">
        <f>'[6]True Maint Practices'!Q15</f>
        <v>0</v>
      </c>
    </row>
    <row r="15" spans="1:6" ht="15">
      <c r="B15" s="263">
        <v>10</v>
      </c>
      <c r="C15" s="264">
        <f>'[6]Projected Maint Practices'!Q16</f>
        <v>5237</v>
      </c>
      <c r="D15" s="264">
        <f>'[6]True Maint Practices'!Q16</f>
        <v>0</v>
      </c>
    </row>
    <row r="16" spans="1:6" ht="15">
      <c r="B16" s="263">
        <v>11</v>
      </c>
      <c r="C16" s="264">
        <f>'[6]Projected Maint Practices'!Q17</f>
        <v>5237</v>
      </c>
      <c r="D16" s="264">
        <f>'[6]True Maint Practices'!Q17</f>
        <v>0</v>
      </c>
    </row>
    <row r="17" spans="2:4" ht="15">
      <c r="B17" s="263">
        <v>12</v>
      </c>
      <c r="C17" s="264">
        <f>'[6]Projected Maint Practices'!Q18</f>
        <v>5237</v>
      </c>
      <c r="D17" s="264">
        <f>'[6]True Maint Practices'!Q18</f>
        <v>0</v>
      </c>
    </row>
    <row r="18" spans="2:4" ht="15">
      <c r="B18" s="260" t="s">
        <v>1</v>
      </c>
      <c r="C18" s="264">
        <f>SUM(C6:C17)</f>
        <v>71698.25</v>
      </c>
      <c r="D18" s="264">
        <f>SUM(D6:D17)</f>
        <v>27428.5</v>
      </c>
    </row>
  </sheetData>
  <printOptions horizontalCentered="1" verticalCentered="1"/>
  <pageMargins left="0.5" right="0.5" top="0.75" bottom="0.75" header="0.5" footer="0.5"/>
  <pageSetup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5"/>
  <sheetViews>
    <sheetView showGridLines="0" zoomScaleNormal="100" workbookViewId="0">
      <selection activeCell="R13" sqref="R13"/>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s="1" customFormat="1" ht="16.5" customHeight="1">
      <c r="B1" s="43"/>
      <c r="C1" s="43"/>
      <c r="D1" s="43"/>
      <c r="E1" s="43"/>
      <c r="F1" s="43"/>
      <c r="G1" s="43"/>
      <c r="H1" s="43"/>
      <c r="I1" s="43"/>
      <c r="J1" s="43"/>
      <c r="K1" s="43"/>
      <c r="L1" s="43"/>
      <c r="M1" s="43"/>
      <c r="N1" s="43"/>
      <c r="O1" s="43"/>
      <c r="P1" s="43"/>
    </row>
    <row r="2" spans="2:22" s="1" customFormat="1" ht="31.5" customHeight="1">
      <c r="B2" s="404" t="s">
        <v>1786</v>
      </c>
      <c r="C2" s="43"/>
      <c r="D2" s="43"/>
      <c r="E2" s="43"/>
      <c r="F2" s="43"/>
      <c r="G2" s="43"/>
      <c r="H2" s="43"/>
      <c r="I2" s="43"/>
      <c r="J2" s="43"/>
      <c r="K2" s="43"/>
      <c r="L2" s="43"/>
      <c r="M2" s="43"/>
      <c r="N2" s="43"/>
      <c r="O2" s="43" t="s">
        <v>233</v>
      </c>
      <c r="P2" s="43"/>
    </row>
    <row r="3" spans="2:22" s="1" customFormat="1" ht="16.5" customHeight="1">
      <c r="B3" s="43"/>
      <c r="C3" s="43"/>
      <c r="D3" s="43"/>
      <c r="E3" s="43"/>
      <c r="F3" s="43"/>
      <c r="G3" s="43"/>
      <c r="H3" s="43"/>
      <c r="I3" s="43"/>
      <c r="J3" s="43"/>
      <c r="K3" s="43"/>
      <c r="L3" s="43"/>
      <c r="M3" s="43"/>
      <c r="N3" s="43"/>
      <c r="O3" s="43"/>
      <c r="P3" s="43"/>
    </row>
    <row r="12" spans="2:22" s="1" customFormat="1" ht="16.5" customHeight="1">
      <c r="V12" s="1" t="s">
        <v>32</v>
      </c>
    </row>
    <row r="18" spans="2:16" s="1" customFormat="1"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s="1" customFormat="1" ht="16.5" customHeight="1">
      <c r="B19" s="101" t="s">
        <v>17</v>
      </c>
      <c r="C19" s="8"/>
      <c r="D19" s="8"/>
      <c r="E19" s="8"/>
      <c r="F19" s="8"/>
      <c r="G19" s="8"/>
      <c r="H19" s="8"/>
      <c r="I19" s="8">
        <v>720.77</v>
      </c>
      <c r="J19" s="8"/>
      <c r="K19" s="8"/>
      <c r="L19" s="8"/>
      <c r="M19" s="30"/>
      <c r="N19" s="8"/>
      <c r="O19" s="4">
        <f t="shared" ref="O19:O38" si="0">SUM(C19:N19)</f>
        <v>720.77</v>
      </c>
      <c r="P19" s="102"/>
    </row>
    <row r="20" spans="2:16" s="1" customFormat="1" ht="16.5" customHeight="1">
      <c r="B20" s="101" t="s">
        <v>16</v>
      </c>
      <c r="C20" s="8"/>
      <c r="D20" s="8"/>
      <c r="E20" s="8"/>
      <c r="F20" s="8"/>
      <c r="G20" s="8"/>
      <c r="H20" s="8"/>
      <c r="I20" s="8"/>
      <c r="J20" s="8"/>
      <c r="K20" s="8"/>
      <c r="L20" s="8"/>
      <c r="M20" s="30"/>
      <c r="N20" s="8"/>
      <c r="O20" s="4">
        <f t="shared" si="0"/>
        <v>0</v>
      </c>
      <c r="P20" s="102"/>
    </row>
    <row r="21" spans="2:16" s="1" customFormat="1" ht="16.5" customHeight="1">
      <c r="B21" s="101" t="s">
        <v>15</v>
      </c>
      <c r="C21" s="8"/>
      <c r="D21" s="8"/>
      <c r="E21" s="8"/>
      <c r="F21" s="8"/>
      <c r="G21" s="8"/>
      <c r="H21" s="8"/>
      <c r="I21" s="8"/>
      <c r="J21" s="8"/>
      <c r="K21" s="8"/>
      <c r="L21" s="8"/>
      <c r="M21" s="30"/>
      <c r="N21" s="8"/>
      <c r="O21" s="4">
        <f t="shared" si="0"/>
        <v>0</v>
      </c>
      <c r="P21" s="102"/>
    </row>
    <row r="22" spans="2:16" s="1" customFormat="1" ht="16.5" customHeight="1">
      <c r="B22" s="101" t="s">
        <v>14</v>
      </c>
      <c r="C22" s="8"/>
      <c r="D22" s="8"/>
      <c r="E22" s="8"/>
      <c r="F22" s="8"/>
      <c r="G22" s="8"/>
      <c r="H22" s="8"/>
      <c r="I22" s="8"/>
      <c r="J22" s="8"/>
      <c r="K22" s="8"/>
      <c r="L22" s="8"/>
      <c r="M22" s="30"/>
      <c r="N22" s="8"/>
      <c r="O22" s="4">
        <f t="shared" si="0"/>
        <v>0</v>
      </c>
      <c r="P22" s="102"/>
    </row>
    <row r="23" spans="2:16" s="1" customFormat="1" ht="16.5" customHeight="1">
      <c r="B23" s="101" t="s">
        <v>13</v>
      </c>
      <c r="C23" s="8"/>
      <c r="D23" s="8"/>
      <c r="E23" s="8"/>
      <c r="F23" s="8"/>
      <c r="G23" s="8"/>
      <c r="H23" s="8"/>
      <c r="I23" s="8">
        <v>128.79</v>
      </c>
      <c r="J23" s="8"/>
      <c r="K23" s="8"/>
      <c r="L23" s="8"/>
      <c r="M23" s="30"/>
      <c r="N23" s="8"/>
      <c r="O23" s="4">
        <f t="shared" si="0"/>
        <v>128.79</v>
      </c>
      <c r="P23" s="102"/>
    </row>
    <row r="24" spans="2:16" s="1" customFormat="1" ht="16.5" customHeight="1">
      <c r="B24" s="103" t="s">
        <v>12</v>
      </c>
      <c r="C24" s="8"/>
      <c r="D24" s="8"/>
      <c r="E24" s="8"/>
      <c r="F24" s="8"/>
      <c r="G24" s="8"/>
      <c r="H24" s="8"/>
      <c r="I24" s="8"/>
      <c r="J24" s="8"/>
      <c r="K24" s="8"/>
      <c r="L24" s="8"/>
      <c r="M24" s="30"/>
      <c r="N24" s="8"/>
      <c r="O24" s="4">
        <f t="shared" si="0"/>
        <v>0</v>
      </c>
      <c r="P24" s="102"/>
    </row>
    <row r="25" spans="2:16" s="1" customFormat="1" ht="16.5" customHeight="1">
      <c r="B25" s="103" t="s">
        <v>11</v>
      </c>
      <c r="C25" s="17"/>
      <c r="D25" s="17"/>
      <c r="E25" s="53"/>
      <c r="F25" s="17"/>
      <c r="G25" s="17"/>
      <c r="H25" s="17"/>
      <c r="I25" s="17"/>
      <c r="J25" s="17"/>
      <c r="K25" s="17"/>
      <c r="L25" s="17"/>
      <c r="M25" s="35"/>
      <c r="N25" s="17"/>
      <c r="O25" s="4">
        <f t="shared" si="0"/>
        <v>0</v>
      </c>
      <c r="P25" s="102"/>
    </row>
    <row r="26" spans="2:16" s="1" customFormat="1" ht="16.5" customHeight="1">
      <c r="B26" s="103" t="s">
        <v>10</v>
      </c>
      <c r="C26" s="17"/>
      <c r="D26" s="17"/>
      <c r="E26" s="17"/>
      <c r="F26" s="17"/>
      <c r="G26" s="17"/>
      <c r="H26" s="17"/>
      <c r="I26" s="17"/>
      <c r="J26" s="17"/>
      <c r="K26" s="17"/>
      <c r="L26" s="17"/>
      <c r="M26" s="35"/>
      <c r="N26" s="17"/>
      <c r="O26" s="4">
        <f t="shared" si="0"/>
        <v>0</v>
      </c>
      <c r="P26" s="102"/>
    </row>
    <row r="27" spans="2:16" s="1" customFormat="1" ht="16.5" customHeight="1">
      <c r="B27" s="103" t="s">
        <v>9</v>
      </c>
      <c r="C27" s="17"/>
      <c r="D27" s="17"/>
      <c r="E27" s="17"/>
      <c r="F27" s="17"/>
      <c r="G27" s="17"/>
      <c r="H27" s="17"/>
      <c r="I27" s="17"/>
      <c r="J27" s="17"/>
      <c r="K27" s="17"/>
      <c r="L27" s="17"/>
      <c r="M27" s="35"/>
      <c r="N27" s="17"/>
      <c r="O27" s="4">
        <f t="shared" si="0"/>
        <v>0</v>
      </c>
      <c r="P27" s="102"/>
    </row>
    <row r="28" spans="2:16" s="1" customFormat="1" ht="16.5" hidden="1" customHeight="1">
      <c r="B28" s="103"/>
      <c r="C28" s="15"/>
      <c r="D28" s="15"/>
      <c r="E28" s="15"/>
      <c r="F28" s="15"/>
      <c r="G28" s="15"/>
      <c r="H28" s="15"/>
      <c r="I28" s="15"/>
      <c r="J28" s="15"/>
      <c r="K28" s="15"/>
      <c r="L28" s="15"/>
      <c r="M28" s="16"/>
      <c r="N28" s="15"/>
      <c r="O28" s="4">
        <f t="shared" si="0"/>
        <v>0</v>
      </c>
      <c r="P28" s="102"/>
    </row>
    <row r="29" spans="2:16" s="1" customFormat="1" ht="16.5" hidden="1" customHeight="1">
      <c r="B29" s="103"/>
      <c r="C29" s="15"/>
      <c r="D29" s="15"/>
      <c r="E29" s="15"/>
      <c r="F29" s="15"/>
      <c r="G29" s="15"/>
      <c r="H29" s="15"/>
      <c r="I29" s="15"/>
      <c r="J29" s="15"/>
      <c r="K29" s="15"/>
      <c r="L29" s="15"/>
      <c r="M29" s="16"/>
      <c r="N29" s="15"/>
      <c r="O29" s="4">
        <f t="shared" si="0"/>
        <v>0</v>
      </c>
      <c r="P29" s="102"/>
    </row>
    <row r="30" spans="2:16" s="1" customFormat="1" ht="16.5" hidden="1" customHeight="1">
      <c r="B30" s="103"/>
      <c r="C30" s="15"/>
      <c r="D30" s="15"/>
      <c r="E30" s="15"/>
      <c r="F30" s="15"/>
      <c r="G30" s="15"/>
      <c r="H30" s="15"/>
      <c r="I30" s="15"/>
      <c r="J30" s="15"/>
      <c r="K30" s="15"/>
      <c r="L30" s="15"/>
      <c r="M30" s="16"/>
      <c r="N30" s="15"/>
      <c r="O30" s="4">
        <f t="shared" si="0"/>
        <v>0</v>
      </c>
      <c r="P30" s="102"/>
    </row>
    <row r="31" spans="2:16" s="1" customFormat="1" ht="16.5" hidden="1" customHeight="1">
      <c r="B31" s="103"/>
      <c r="C31" s="15"/>
      <c r="D31" s="15"/>
      <c r="E31" s="15"/>
      <c r="F31" s="15"/>
      <c r="G31" s="15"/>
      <c r="H31" s="15"/>
      <c r="I31" s="15"/>
      <c r="J31" s="15"/>
      <c r="K31" s="15"/>
      <c r="L31" s="15"/>
      <c r="M31" s="16"/>
      <c r="N31" s="15"/>
      <c r="O31" s="4">
        <f t="shared" si="0"/>
        <v>0</v>
      </c>
      <c r="P31" s="102"/>
    </row>
    <row r="32" spans="2:16" s="1" customFormat="1" ht="16.5" customHeight="1">
      <c r="B32" s="103" t="s">
        <v>8</v>
      </c>
      <c r="C32" s="4"/>
      <c r="D32" s="4"/>
      <c r="E32" s="4"/>
      <c r="F32" s="4"/>
      <c r="G32" s="4"/>
      <c r="H32" s="4"/>
      <c r="I32" s="4"/>
      <c r="J32" s="4"/>
      <c r="K32" s="4"/>
      <c r="L32" s="4"/>
      <c r="M32" s="33"/>
      <c r="N32" s="4"/>
      <c r="O32" s="4">
        <f t="shared" si="0"/>
        <v>0</v>
      </c>
      <c r="P32" s="102"/>
    </row>
    <row r="33" spans="2:18" s="1" customFormat="1" ht="16.5" customHeight="1">
      <c r="B33" s="103" t="s">
        <v>7</v>
      </c>
      <c r="C33" s="12"/>
      <c r="D33" s="12"/>
      <c r="E33" s="12"/>
      <c r="F33" s="12"/>
      <c r="G33" s="12"/>
      <c r="H33" s="12"/>
      <c r="I33" s="12"/>
      <c r="J33" s="12"/>
      <c r="K33" s="12"/>
      <c r="L33" s="12"/>
      <c r="M33" s="32"/>
      <c r="N33" s="12"/>
      <c r="O33" s="4">
        <f t="shared" si="0"/>
        <v>0</v>
      </c>
      <c r="P33" s="102"/>
    </row>
    <row r="34" spans="2:18" s="1" customFormat="1" ht="16.5" customHeight="1">
      <c r="B34" s="103" t="s">
        <v>6</v>
      </c>
      <c r="C34" s="41"/>
      <c r="D34" s="41"/>
      <c r="E34" s="41"/>
      <c r="F34" s="41"/>
      <c r="G34" s="41"/>
      <c r="H34" s="41"/>
      <c r="I34" s="41"/>
      <c r="J34" s="41"/>
      <c r="K34" s="41"/>
      <c r="L34" s="41"/>
      <c r="M34" s="42"/>
      <c r="N34" s="41"/>
      <c r="O34" s="4">
        <f t="shared" si="0"/>
        <v>0</v>
      </c>
      <c r="P34" s="102"/>
    </row>
    <row r="35" spans="2:18" s="1" customFormat="1" ht="16.5" customHeight="1">
      <c r="B35" s="103" t="s">
        <v>5</v>
      </c>
      <c r="C35" s="8"/>
      <c r="D35" s="8"/>
      <c r="E35" s="8"/>
      <c r="F35" s="8"/>
      <c r="G35" s="8"/>
      <c r="H35" s="8"/>
      <c r="I35" s="8">
        <v>15.66</v>
      </c>
      <c r="J35" s="8">
        <v>23.49</v>
      </c>
      <c r="K35" s="8"/>
      <c r="L35" s="8"/>
      <c r="M35" s="30"/>
      <c r="N35" s="8"/>
      <c r="O35" s="4">
        <f t="shared" si="0"/>
        <v>39.15</v>
      </c>
      <c r="P35" s="102"/>
    </row>
    <row r="36" spans="2:18" s="1" customFormat="1" ht="16.5" customHeight="1">
      <c r="B36" s="103" t="s">
        <v>171</v>
      </c>
      <c r="C36" s="8"/>
      <c r="D36" s="8"/>
      <c r="E36" s="8"/>
      <c r="F36" s="8"/>
      <c r="G36" s="8"/>
      <c r="H36" s="8"/>
      <c r="I36" s="8"/>
      <c r="J36" s="8"/>
      <c r="K36" s="8"/>
      <c r="L36" s="8"/>
      <c r="M36" s="30"/>
      <c r="N36" s="8"/>
      <c r="O36" s="4">
        <f t="shared" si="0"/>
        <v>0</v>
      </c>
      <c r="P36" s="102"/>
    </row>
    <row r="37" spans="2:18" s="1" customFormat="1" ht="16.5" customHeight="1">
      <c r="B37" s="103" t="s">
        <v>3</v>
      </c>
      <c r="C37" s="4"/>
      <c r="D37" s="4"/>
      <c r="E37" s="4"/>
      <c r="F37" s="4"/>
      <c r="G37" s="4"/>
      <c r="H37" s="4"/>
      <c r="I37" s="4">
        <v>2.4500000000000002</v>
      </c>
      <c r="J37" s="4">
        <v>7.91</v>
      </c>
      <c r="K37" s="4"/>
      <c r="L37" s="4"/>
      <c r="M37" s="33"/>
      <c r="N37" s="52"/>
      <c r="O37" s="4">
        <f t="shared" si="0"/>
        <v>10.36</v>
      </c>
      <c r="P37" s="102"/>
    </row>
    <row r="38" spans="2:18" s="1" customFormat="1" ht="16.5" customHeight="1">
      <c r="B38" s="103" t="s">
        <v>2</v>
      </c>
      <c r="C38" s="4"/>
      <c r="D38" s="4"/>
      <c r="E38" s="4"/>
      <c r="F38" s="4"/>
      <c r="G38" s="4"/>
      <c r="H38" s="4"/>
      <c r="I38" s="4">
        <v>120</v>
      </c>
      <c r="J38" s="4">
        <v>50</v>
      </c>
      <c r="K38" s="4"/>
      <c r="L38" s="4"/>
      <c r="M38" s="33"/>
      <c r="N38" s="4"/>
      <c r="O38" s="4">
        <f t="shared" si="0"/>
        <v>170</v>
      </c>
      <c r="P38" s="102"/>
    </row>
    <row r="39" spans="2:18" s="1" customFormat="1" ht="16.5" customHeight="1">
      <c r="B39" s="101" t="s">
        <v>1</v>
      </c>
      <c r="C39" s="104">
        <f>SUBTOTAL(109,ExpenseSummary106[Jan])</f>
        <v>0</v>
      </c>
      <c r="D39" s="105">
        <f>SUBTOTAL(109,ExpenseSummary106[Feb])</f>
        <v>0</v>
      </c>
      <c r="E39" s="104">
        <f>SUBTOTAL(109,ExpenseSummary106[Mar])</f>
        <v>0</v>
      </c>
      <c r="F39" s="105">
        <f>SUBTOTAL(109,ExpenseSummary106[Apr])</f>
        <v>0</v>
      </c>
      <c r="G39" s="104">
        <f>SUBTOTAL(109,ExpenseSummary106[May])</f>
        <v>0</v>
      </c>
      <c r="H39" s="105">
        <f>SUBTOTAL(109,ExpenseSummary106[Jun])</f>
        <v>0</v>
      </c>
      <c r="I39" s="104">
        <f>SUBTOTAL(109,ExpenseSummary106[Jul])</f>
        <v>987.67</v>
      </c>
      <c r="J39" s="105">
        <f>SUBTOTAL(109,ExpenseSummary106[Aug])</f>
        <v>81.400000000000006</v>
      </c>
      <c r="K39" s="104">
        <f>SUBTOTAL(109,ExpenseSummary106[Sep])</f>
        <v>0</v>
      </c>
      <c r="L39" s="105">
        <f>SUBTOTAL(109,ExpenseSummary106[Oct])</f>
        <v>0</v>
      </c>
      <c r="M39" s="267">
        <f>SUBTOTAL(109,ExpenseSummary106[Nov])</f>
        <v>0</v>
      </c>
      <c r="N39" s="105">
        <f>SUBTOTAL(109,ExpenseSummary106[Dec])</f>
        <v>0</v>
      </c>
      <c r="O39" s="106">
        <f>SUBTOTAL(109,ExpenseSummary106[Total])</f>
        <v>1069.07</v>
      </c>
      <c r="P39" s="102"/>
    </row>
    <row r="40" spans="2:18" s="1" customFormat="1" ht="16.5" customHeight="1">
      <c r="B40" s="28"/>
      <c r="C40" s="28"/>
    </row>
    <row r="42" spans="2:18" s="1" customFormat="1" ht="16.5" customHeight="1">
      <c r="B42" s="47"/>
      <c r="C42" s="47"/>
    </row>
    <row r="43" spans="2:18" s="1" customFormat="1" ht="16.5" customHeight="1">
      <c r="B43" s="47"/>
      <c r="C43" s="47"/>
    </row>
    <row r="45" spans="2:18" s="1" customFormat="1" ht="16.5" customHeight="1">
      <c r="B45" s="268"/>
      <c r="C45" s="268"/>
      <c r="D45" s="269"/>
      <c r="E45" s="270" t="s">
        <v>118</v>
      </c>
      <c r="F45" s="270"/>
      <c r="G45" s="270"/>
      <c r="H45" s="270"/>
      <c r="I45" s="270"/>
      <c r="J45" s="270"/>
      <c r="K45" s="270"/>
      <c r="L45" s="270"/>
      <c r="M45" s="270"/>
      <c r="N45" s="270"/>
      <c r="O45" s="270"/>
      <c r="P45" s="270"/>
      <c r="Q45" s="270"/>
      <c r="R45" s="270"/>
    </row>
    <row r="46" spans="2:18" s="1" customFormat="1" ht="16.5" customHeight="1">
      <c r="B46" s="271" t="s">
        <v>837</v>
      </c>
      <c r="C46" s="272" t="s">
        <v>838</v>
      </c>
      <c r="D46" s="269"/>
      <c r="E46" s="273" t="s">
        <v>1787</v>
      </c>
      <c r="F46" s="273"/>
      <c r="G46" s="273"/>
      <c r="H46" s="273"/>
      <c r="I46" s="273"/>
      <c r="J46" s="273"/>
      <c r="K46" s="273"/>
      <c r="L46" s="273"/>
      <c r="M46" s="273"/>
      <c r="N46" s="273"/>
      <c r="O46" s="273"/>
      <c r="P46" s="273"/>
      <c r="Q46" s="273"/>
      <c r="R46" s="273"/>
    </row>
    <row r="47" spans="2:18" s="1" customFormat="1" ht="16.5" customHeight="1">
      <c r="B47" s="274" t="s">
        <v>115</v>
      </c>
      <c r="C47" s="275" t="s">
        <v>289</v>
      </c>
      <c r="D47" s="269"/>
      <c r="E47" s="270" t="s">
        <v>113</v>
      </c>
      <c r="F47" s="270"/>
      <c r="G47" s="270"/>
      <c r="H47" s="270"/>
      <c r="I47" s="270"/>
      <c r="J47" s="270"/>
      <c r="K47" s="270"/>
      <c r="L47" s="270"/>
      <c r="M47" s="270"/>
      <c r="N47" s="270"/>
      <c r="O47" s="270"/>
      <c r="P47" s="270"/>
      <c r="Q47" s="270"/>
      <c r="R47" s="270"/>
    </row>
    <row r="48" spans="2:18" s="1" customFormat="1" ht="16.5" customHeight="1" thickBot="1">
      <c r="B48" s="274" t="s">
        <v>112</v>
      </c>
      <c r="C48" s="276">
        <v>93175</v>
      </c>
      <c r="D48" s="268"/>
      <c r="E48" s="273" t="s">
        <v>839</v>
      </c>
      <c r="F48" s="273"/>
      <c r="G48" s="273"/>
      <c r="H48" s="273"/>
      <c r="I48" s="273"/>
      <c r="J48" s="273"/>
      <c r="K48" s="273"/>
      <c r="L48" s="273"/>
      <c r="M48" s="273"/>
      <c r="N48" s="273"/>
      <c r="O48" s="273"/>
      <c r="P48" s="273"/>
      <c r="Q48" s="273"/>
      <c r="R48" s="273"/>
    </row>
    <row r="49" spans="2:18" s="1" customFormat="1" ht="16.5" customHeight="1">
      <c r="B49" s="274" t="s">
        <v>110</v>
      </c>
      <c r="C49" s="277"/>
      <c r="D49" s="260"/>
      <c r="E49" s="278" t="s">
        <v>109</v>
      </c>
      <c r="F49" s="279" t="s">
        <v>108</v>
      </c>
      <c r="G49" s="280"/>
      <c r="H49" s="279" t="s">
        <v>107</v>
      </c>
      <c r="I49" s="280"/>
      <c r="J49" s="279" t="s">
        <v>106</v>
      </c>
      <c r="K49" s="280"/>
      <c r="L49" s="279" t="s">
        <v>105</v>
      </c>
      <c r="M49" s="280"/>
      <c r="N49" s="279" t="s">
        <v>96</v>
      </c>
      <c r="O49" s="280"/>
      <c r="P49" s="279" t="s">
        <v>104</v>
      </c>
      <c r="Q49" s="280"/>
      <c r="R49" s="281" t="s">
        <v>103</v>
      </c>
    </row>
    <row r="50" spans="2:18" s="1" customFormat="1" ht="16.5" customHeight="1">
      <c r="B50" s="282" t="s">
        <v>102</v>
      </c>
      <c r="C50" s="283">
        <v>283</v>
      </c>
      <c r="D50" s="262"/>
      <c r="E50" s="284"/>
      <c r="F50" s="285" t="s">
        <v>101</v>
      </c>
      <c r="G50" s="286" t="s">
        <v>100</v>
      </c>
      <c r="H50" s="285" t="s">
        <v>101</v>
      </c>
      <c r="I50" s="286" t="s">
        <v>100</v>
      </c>
      <c r="J50" s="285" t="s">
        <v>101</v>
      </c>
      <c r="K50" s="286" t="s">
        <v>100</v>
      </c>
      <c r="L50" s="287" t="s">
        <v>101</v>
      </c>
      <c r="M50" s="405" t="s">
        <v>100</v>
      </c>
      <c r="N50" s="287" t="s">
        <v>101</v>
      </c>
      <c r="O50" s="286" t="s">
        <v>100</v>
      </c>
      <c r="P50" s="287" t="s">
        <v>101</v>
      </c>
      <c r="Q50" s="286" t="s">
        <v>100</v>
      </c>
      <c r="R50" s="284"/>
    </row>
    <row r="51" spans="2:18" s="1" customFormat="1" ht="16.5" customHeight="1">
      <c r="B51" s="274" t="s">
        <v>99</v>
      </c>
      <c r="C51" s="288">
        <v>6867</v>
      </c>
      <c r="D51" s="260"/>
      <c r="E51" s="289" t="s">
        <v>87</v>
      </c>
      <c r="F51" s="290">
        <v>7</v>
      </c>
      <c r="G51" s="291">
        <f t="shared" ref="G51:G62" si="1">SUM($B$6*F51)*C63</f>
        <v>0</v>
      </c>
      <c r="H51" s="292"/>
      <c r="I51" s="291">
        <f>IF(H51&gt;0,($B$7*C63),0)</f>
        <v>0</v>
      </c>
      <c r="J51" s="293"/>
      <c r="K51" s="291">
        <f>IF(J51&gt;0,($B$8*C63),0)</f>
        <v>0</v>
      </c>
      <c r="L51" s="292">
        <v>2</v>
      </c>
      <c r="M51" s="406">
        <f t="shared" ref="M51:M62" si="2">IF(L51&gt;0,($B$9*L51),0)</f>
        <v>0</v>
      </c>
      <c r="N51" s="294">
        <v>2</v>
      </c>
      <c r="O51" s="291">
        <f t="shared" ref="O51:O62" si="3">IF(N51&gt;0,($B$10*N51),0)</f>
        <v>0</v>
      </c>
      <c r="P51" s="295">
        <v>2</v>
      </c>
      <c r="Q51" s="291">
        <f t="shared" ref="Q51:Q62" si="4">SUM(P51*$B$17)*C63</f>
        <v>0</v>
      </c>
      <c r="R51" s="296">
        <f t="shared" ref="R51:R62" si="5">SUM(Q51+O51+M51+K51+I51+G51)</f>
        <v>0</v>
      </c>
    </row>
    <row r="52" spans="2:18" s="1" customFormat="1" ht="16.5" customHeight="1">
      <c r="B52" s="274" t="s">
        <v>98</v>
      </c>
      <c r="C52" s="288">
        <v>5460</v>
      </c>
      <c r="D52" s="260"/>
      <c r="E52" s="289" t="s">
        <v>86</v>
      </c>
      <c r="F52" s="290">
        <v>7</v>
      </c>
      <c r="G52" s="291">
        <f t="shared" si="1"/>
        <v>0</v>
      </c>
      <c r="H52" s="292"/>
      <c r="I52" s="291">
        <f>IF(H52&gt;0,($B$7*C64),0)</f>
        <v>0</v>
      </c>
      <c r="J52" s="293"/>
      <c r="K52" s="291">
        <f>IF(J52&gt;0,($B$8*C64),0)</f>
        <v>0</v>
      </c>
      <c r="L52" s="292">
        <v>2</v>
      </c>
      <c r="M52" s="406">
        <f t="shared" si="2"/>
        <v>0</v>
      </c>
      <c r="N52" s="294">
        <v>2</v>
      </c>
      <c r="O52" s="291">
        <f t="shared" si="3"/>
        <v>0</v>
      </c>
      <c r="P52" s="295">
        <v>2</v>
      </c>
      <c r="Q52" s="291">
        <f t="shared" si="4"/>
        <v>0</v>
      </c>
      <c r="R52" s="296">
        <f t="shared" si="5"/>
        <v>0</v>
      </c>
    </row>
    <row r="53" spans="2:18" s="1" customFormat="1" ht="16.5" customHeight="1">
      <c r="B53" s="407" t="s">
        <v>97</v>
      </c>
      <c r="C53" s="288">
        <v>324</v>
      </c>
      <c r="D53" s="260"/>
      <c r="E53" s="289" t="s">
        <v>84</v>
      </c>
      <c r="F53" s="290">
        <v>7</v>
      </c>
      <c r="G53" s="291">
        <f t="shared" si="1"/>
        <v>0</v>
      </c>
      <c r="H53" s="292"/>
      <c r="I53" s="291">
        <f>IF(H53&gt;0,($B$7*C65),0)</f>
        <v>0</v>
      </c>
      <c r="J53" s="293"/>
      <c r="K53" s="291">
        <f>IF(J53&gt;0,($B$8*C65),0)</f>
        <v>0</v>
      </c>
      <c r="L53" s="292">
        <v>2</v>
      </c>
      <c r="M53" s="406">
        <f t="shared" si="2"/>
        <v>0</v>
      </c>
      <c r="N53" s="294">
        <v>2</v>
      </c>
      <c r="O53" s="291">
        <f t="shared" si="3"/>
        <v>0</v>
      </c>
      <c r="P53" s="295">
        <v>2</v>
      </c>
      <c r="Q53" s="291">
        <f t="shared" si="4"/>
        <v>0</v>
      </c>
      <c r="R53" s="296">
        <f t="shared" si="5"/>
        <v>0</v>
      </c>
    </row>
    <row r="54" spans="2:18" s="1" customFormat="1" ht="16.5" customHeight="1">
      <c r="B54" s="408" t="s">
        <v>96</v>
      </c>
      <c r="C54" s="288">
        <v>1050</v>
      </c>
      <c r="D54" s="260"/>
      <c r="E54" s="289" t="s">
        <v>83</v>
      </c>
      <c r="F54" s="290">
        <v>7</v>
      </c>
      <c r="G54" s="291">
        <f t="shared" si="1"/>
        <v>0</v>
      </c>
      <c r="H54" s="292"/>
      <c r="I54" s="291">
        <f>IF(H54&gt;0,($B$7*C66),0)</f>
        <v>0</v>
      </c>
      <c r="J54" s="293"/>
      <c r="K54" s="291">
        <f>IF(J54&gt;0,($B$8*C66),0)</f>
        <v>0</v>
      </c>
      <c r="L54" s="292">
        <v>2</v>
      </c>
      <c r="M54" s="406">
        <f t="shared" si="2"/>
        <v>0</v>
      </c>
      <c r="N54" s="294">
        <v>2</v>
      </c>
      <c r="O54" s="291">
        <f t="shared" si="3"/>
        <v>0</v>
      </c>
      <c r="P54" s="295">
        <v>2</v>
      </c>
      <c r="Q54" s="291">
        <f t="shared" si="4"/>
        <v>0</v>
      </c>
      <c r="R54" s="296">
        <f t="shared" si="5"/>
        <v>0</v>
      </c>
    </row>
    <row r="55" spans="2:18" s="1" customFormat="1" ht="16.5" customHeight="1">
      <c r="B55" s="274" t="s">
        <v>95</v>
      </c>
      <c r="C55" s="141">
        <v>35000</v>
      </c>
      <c r="D55" s="260"/>
      <c r="E55" s="289" t="s">
        <v>82</v>
      </c>
      <c r="F55" s="290">
        <v>7</v>
      </c>
      <c r="G55" s="291">
        <f t="shared" si="1"/>
        <v>0</v>
      </c>
      <c r="H55" s="292"/>
      <c r="I55" s="291">
        <v>6866.67</v>
      </c>
      <c r="J55" s="293"/>
      <c r="K55" s="291">
        <v>5460</v>
      </c>
      <c r="L55" s="292">
        <v>2</v>
      </c>
      <c r="M55" s="406">
        <f t="shared" si="2"/>
        <v>0</v>
      </c>
      <c r="N55" s="294">
        <v>2</v>
      </c>
      <c r="O55" s="291">
        <f t="shared" si="3"/>
        <v>0</v>
      </c>
      <c r="P55" s="295">
        <v>2</v>
      </c>
      <c r="Q55" s="291">
        <f t="shared" si="4"/>
        <v>0</v>
      </c>
      <c r="R55" s="296">
        <f t="shared" si="5"/>
        <v>12326.67</v>
      </c>
    </row>
    <row r="56" spans="2:18" s="1" customFormat="1" ht="16.5" customHeight="1">
      <c r="B56" s="274" t="s">
        <v>94</v>
      </c>
      <c r="C56" s="141">
        <v>5000</v>
      </c>
      <c r="D56" s="260"/>
      <c r="E56" s="289" t="s">
        <v>80</v>
      </c>
      <c r="F56" s="290">
        <v>7</v>
      </c>
      <c r="G56" s="291">
        <f t="shared" si="1"/>
        <v>0</v>
      </c>
      <c r="H56" s="292"/>
      <c r="I56" s="291">
        <f t="shared" ref="I56:I62" si="6">IF(H56&gt;0,($B$7*C68),0)</f>
        <v>0</v>
      </c>
      <c r="J56" s="293"/>
      <c r="K56" s="291">
        <f t="shared" ref="K56:K62" si="7">IF(J56&gt;0,($B$8*C68),0)</f>
        <v>0</v>
      </c>
      <c r="L56" s="292">
        <v>2</v>
      </c>
      <c r="M56" s="406">
        <f t="shared" si="2"/>
        <v>0</v>
      </c>
      <c r="N56" s="294">
        <v>2</v>
      </c>
      <c r="O56" s="291">
        <f t="shared" si="3"/>
        <v>0</v>
      </c>
      <c r="P56" s="295">
        <v>2</v>
      </c>
      <c r="Q56" s="291">
        <f t="shared" si="4"/>
        <v>0</v>
      </c>
      <c r="R56" s="296">
        <f t="shared" si="5"/>
        <v>0</v>
      </c>
    </row>
    <row r="57" spans="2:18" s="1" customFormat="1" ht="16.5" customHeight="1">
      <c r="B57" s="274" t="s">
        <v>93</v>
      </c>
      <c r="C57" s="141">
        <v>175000</v>
      </c>
      <c r="D57" s="260"/>
      <c r="E57" s="289" t="s">
        <v>79</v>
      </c>
      <c r="F57" s="290">
        <v>7</v>
      </c>
      <c r="G57" s="291">
        <f t="shared" si="1"/>
        <v>0</v>
      </c>
      <c r="H57" s="292"/>
      <c r="I57" s="291">
        <f t="shared" si="6"/>
        <v>0</v>
      </c>
      <c r="J57" s="293"/>
      <c r="K57" s="291">
        <f t="shared" si="7"/>
        <v>0</v>
      </c>
      <c r="L57" s="292">
        <v>2</v>
      </c>
      <c r="M57" s="406">
        <f t="shared" si="2"/>
        <v>0</v>
      </c>
      <c r="N57" s="294">
        <v>2</v>
      </c>
      <c r="O57" s="291">
        <f t="shared" si="3"/>
        <v>0</v>
      </c>
      <c r="P57" s="295">
        <v>2</v>
      </c>
      <c r="Q57" s="291">
        <f t="shared" si="4"/>
        <v>0</v>
      </c>
      <c r="R57" s="296">
        <f t="shared" si="5"/>
        <v>0</v>
      </c>
    </row>
    <row r="58" spans="2:18" s="1" customFormat="1" ht="16.5" customHeight="1">
      <c r="B58" s="274" t="s">
        <v>92</v>
      </c>
      <c r="C58" s="141">
        <v>175000</v>
      </c>
      <c r="D58" s="260"/>
      <c r="E58" s="289" t="s">
        <v>78</v>
      </c>
      <c r="F58" s="290">
        <v>7</v>
      </c>
      <c r="G58" s="291">
        <f t="shared" si="1"/>
        <v>0</v>
      </c>
      <c r="H58" s="292"/>
      <c r="I58" s="291">
        <f t="shared" si="6"/>
        <v>0</v>
      </c>
      <c r="J58" s="293"/>
      <c r="K58" s="291">
        <f t="shared" si="7"/>
        <v>0</v>
      </c>
      <c r="L58" s="292">
        <v>2</v>
      </c>
      <c r="M58" s="406">
        <f t="shared" si="2"/>
        <v>0</v>
      </c>
      <c r="N58" s="294">
        <v>2</v>
      </c>
      <c r="O58" s="291">
        <f t="shared" si="3"/>
        <v>0</v>
      </c>
      <c r="P58" s="295">
        <v>2</v>
      </c>
      <c r="Q58" s="291">
        <f t="shared" si="4"/>
        <v>0</v>
      </c>
      <c r="R58" s="296">
        <f t="shared" si="5"/>
        <v>0</v>
      </c>
    </row>
    <row r="59" spans="2:18" s="1" customFormat="1" ht="16.5" customHeight="1">
      <c r="B59" s="274" t="s">
        <v>91</v>
      </c>
      <c r="C59" s="141">
        <v>12000</v>
      </c>
      <c r="D59" s="260"/>
      <c r="E59" s="289" t="s">
        <v>77</v>
      </c>
      <c r="F59" s="290">
        <v>7</v>
      </c>
      <c r="G59" s="291">
        <f t="shared" si="1"/>
        <v>0</v>
      </c>
      <c r="H59" s="292"/>
      <c r="I59" s="291">
        <f t="shared" si="6"/>
        <v>0</v>
      </c>
      <c r="J59" s="293"/>
      <c r="K59" s="291">
        <f t="shared" si="7"/>
        <v>0</v>
      </c>
      <c r="L59" s="292">
        <v>2</v>
      </c>
      <c r="M59" s="406">
        <f t="shared" si="2"/>
        <v>0</v>
      </c>
      <c r="N59" s="294">
        <v>2</v>
      </c>
      <c r="O59" s="291">
        <f t="shared" si="3"/>
        <v>0</v>
      </c>
      <c r="P59" s="295">
        <v>2</v>
      </c>
      <c r="Q59" s="291">
        <f t="shared" si="4"/>
        <v>0</v>
      </c>
      <c r="R59" s="296">
        <f t="shared" si="5"/>
        <v>0</v>
      </c>
    </row>
    <row r="60" spans="2:18" s="1" customFormat="1" ht="16.5" customHeight="1">
      <c r="B60" s="274" t="s">
        <v>90</v>
      </c>
      <c r="C60" s="141">
        <v>25000</v>
      </c>
      <c r="D60" s="260"/>
      <c r="E60" s="289" t="s">
        <v>76</v>
      </c>
      <c r="F60" s="290">
        <v>7</v>
      </c>
      <c r="G60" s="291">
        <f t="shared" si="1"/>
        <v>0</v>
      </c>
      <c r="H60" s="292"/>
      <c r="I60" s="291">
        <f t="shared" si="6"/>
        <v>0</v>
      </c>
      <c r="J60" s="293"/>
      <c r="K60" s="291">
        <f t="shared" si="7"/>
        <v>0</v>
      </c>
      <c r="L60" s="292">
        <v>2</v>
      </c>
      <c r="M60" s="406">
        <f t="shared" si="2"/>
        <v>0</v>
      </c>
      <c r="N60" s="294">
        <v>2</v>
      </c>
      <c r="O60" s="291">
        <f t="shared" si="3"/>
        <v>0</v>
      </c>
      <c r="P60" s="295">
        <v>2</v>
      </c>
      <c r="Q60" s="291">
        <f t="shared" si="4"/>
        <v>0</v>
      </c>
      <c r="R60" s="296">
        <f t="shared" si="5"/>
        <v>0</v>
      </c>
    </row>
    <row r="61" spans="2:18" s="1" customFormat="1" ht="16.5" customHeight="1">
      <c r="B61" s="297" t="s">
        <v>89</v>
      </c>
      <c r="C61" s="298">
        <v>92</v>
      </c>
      <c r="D61" s="260"/>
      <c r="E61" s="289" t="s">
        <v>75</v>
      </c>
      <c r="F61" s="290">
        <v>7</v>
      </c>
      <c r="G61" s="291">
        <f t="shared" si="1"/>
        <v>0</v>
      </c>
      <c r="H61" s="292"/>
      <c r="I61" s="291">
        <f t="shared" si="6"/>
        <v>0</v>
      </c>
      <c r="J61" s="293"/>
      <c r="K61" s="291">
        <f t="shared" si="7"/>
        <v>0</v>
      </c>
      <c r="L61" s="292">
        <v>2</v>
      </c>
      <c r="M61" s="406">
        <f t="shared" si="2"/>
        <v>0</v>
      </c>
      <c r="N61" s="294">
        <v>2</v>
      </c>
      <c r="O61" s="291">
        <f t="shared" si="3"/>
        <v>0</v>
      </c>
      <c r="P61" s="295">
        <v>2</v>
      </c>
      <c r="Q61" s="291">
        <f t="shared" si="4"/>
        <v>0</v>
      </c>
      <c r="R61" s="296">
        <f t="shared" si="5"/>
        <v>0</v>
      </c>
    </row>
    <row r="62" spans="2:18" s="1" customFormat="1" ht="16.5" customHeight="1">
      <c r="B62" s="299" t="s">
        <v>88</v>
      </c>
      <c r="C62" s="300"/>
      <c r="D62" s="260"/>
      <c r="E62" s="289" t="s">
        <v>74</v>
      </c>
      <c r="F62" s="290">
        <v>7</v>
      </c>
      <c r="G62" s="291">
        <f t="shared" si="1"/>
        <v>0</v>
      </c>
      <c r="H62" s="292"/>
      <c r="I62" s="291">
        <f t="shared" si="6"/>
        <v>0</v>
      </c>
      <c r="J62" s="293"/>
      <c r="K62" s="291">
        <f t="shared" si="7"/>
        <v>0</v>
      </c>
      <c r="L62" s="292">
        <v>2</v>
      </c>
      <c r="M62" s="406">
        <f t="shared" si="2"/>
        <v>0</v>
      </c>
      <c r="N62" s="294">
        <v>2</v>
      </c>
      <c r="O62" s="291">
        <f t="shared" si="3"/>
        <v>0</v>
      </c>
      <c r="P62" s="295">
        <v>2</v>
      </c>
      <c r="Q62" s="291">
        <f t="shared" si="4"/>
        <v>0</v>
      </c>
      <c r="R62" s="296">
        <f t="shared" si="5"/>
        <v>0</v>
      </c>
    </row>
    <row r="63" spans="2:18" s="1" customFormat="1" ht="16.5" customHeight="1">
      <c r="B63" s="506" t="s">
        <v>87</v>
      </c>
      <c r="C63" s="507">
        <v>1</v>
      </c>
      <c r="D63" s="260"/>
      <c r="E63" s="303"/>
      <c r="F63" s="304"/>
      <c r="G63" s="305"/>
      <c r="H63" s="306"/>
      <c r="I63" s="307"/>
      <c r="J63" s="308"/>
      <c r="K63" s="307"/>
      <c r="L63" s="306"/>
      <c r="M63" s="409"/>
      <c r="N63" s="304"/>
      <c r="O63" s="305"/>
      <c r="P63" s="306"/>
      <c r="Q63" s="307"/>
      <c r="R63" s="309"/>
    </row>
    <row r="64" spans="2:18" s="1" customFormat="1" ht="16.5" customHeight="1" thickBot="1">
      <c r="B64" s="506" t="s">
        <v>86</v>
      </c>
      <c r="C64" s="506">
        <f t="shared" ref="C64:C74" si="8">SUM(C63+(C63*$B$5))</f>
        <v>1</v>
      </c>
      <c r="D64" s="260"/>
      <c r="E64" s="310" t="s">
        <v>85</v>
      </c>
      <c r="F64" s="311"/>
      <c r="G64" s="312">
        <f>SUM(G51:G62)</f>
        <v>0</v>
      </c>
      <c r="H64" s="313"/>
      <c r="I64" s="312">
        <f>SUM(I51:I62)</f>
        <v>6866.67</v>
      </c>
      <c r="J64" s="314"/>
      <c r="K64" s="312">
        <f>SUM(K51:K62)</f>
        <v>5460</v>
      </c>
      <c r="L64" s="313"/>
      <c r="M64" s="410">
        <f>SUM(M51:M62)</f>
        <v>0</v>
      </c>
      <c r="N64" s="315"/>
      <c r="O64" s="312">
        <f>SUM(O51:O62)</f>
        <v>0</v>
      </c>
      <c r="P64" s="313"/>
      <c r="Q64" s="312">
        <f>SUM(Q51:Q62)</f>
        <v>0</v>
      </c>
      <c r="R64" s="316">
        <f>SUM(R51:R62)</f>
        <v>12326.67</v>
      </c>
    </row>
    <row r="65" spans="2:18" s="1" customFormat="1" ht="16.5" customHeight="1" thickTop="1" thickBot="1">
      <c r="B65" s="506" t="s">
        <v>84</v>
      </c>
      <c r="C65" s="506">
        <f t="shared" si="8"/>
        <v>1</v>
      </c>
      <c r="D65" s="269"/>
      <c r="E65" s="317"/>
      <c r="F65" s="318"/>
      <c r="G65" s="319"/>
      <c r="H65" s="320"/>
      <c r="I65" s="319"/>
      <c r="J65" s="321"/>
      <c r="K65" s="319"/>
      <c r="L65" s="320"/>
      <c r="M65" s="411"/>
      <c r="N65" s="318"/>
      <c r="O65" s="322"/>
      <c r="P65" s="320"/>
      <c r="Q65" s="319"/>
      <c r="R65" s="323"/>
    </row>
    <row r="66" spans="2:18" s="1" customFormat="1" ht="16.5" customHeight="1">
      <c r="B66" s="506" t="s">
        <v>83</v>
      </c>
      <c r="C66" s="508">
        <f t="shared" si="8"/>
        <v>1</v>
      </c>
      <c r="D66" s="269"/>
      <c r="E66" s="269"/>
      <c r="F66" s="325"/>
      <c r="G66" s="269"/>
      <c r="H66" s="326"/>
      <c r="I66" s="269"/>
      <c r="J66" s="327"/>
      <c r="K66" s="269"/>
      <c r="L66" s="326"/>
      <c r="M66" s="412"/>
      <c r="N66" s="325"/>
      <c r="O66" s="269"/>
      <c r="P66" s="326"/>
      <c r="Q66" s="269"/>
      <c r="R66" s="269"/>
    </row>
    <row r="67" spans="2:18" s="1" customFormat="1" ht="16.5" customHeight="1">
      <c r="B67" s="506" t="s">
        <v>82</v>
      </c>
      <c r="C67" s="508">
        <f t="shared" si="8"/>
        <v>1</v>
      </c>
      <c r="D67" s="269"/>
      <c r="E67" s="269" t="s">
        <v>81</v>
      </c>
      <c r="F67" s="325"/>
      <c r="G67" s="269"/>
      <c r="H67" s="326"/>
      <c r="I67" s="269"/>
      <c r="J67" s="327"/>
      <c r="K67" s="269"/>
      <c r="L67" s="326"/>
      <c r="M67" s="412"/>
      <c r="N67" s="325"/>
      <c r="O67" s="269"/>
      <c r="P67" s="326"/>
      <c r="Q67" s="269"/>
      <c r="R67" s="269"/>
    </row>
    <row r="68" spans="2:18" s="1" customFormat="1" ht="16.5" customHeight="1">
      <c r="B68" s="506" t="s">
        <v>80</v>
      </c>
      <c r="C68" s="508">
        <f t="shared" si="8"/>
        <v>1</v>
      </c>
      <c r="D68" s="269"/>
      <c r="E68" s="269"/>
      <c r="F68" s="325"/>
      <c r="G68" s="269"/>
      <c r="H68" s="326"/>
      <c r="I68" s="269"/>
      <c r="J68" s="327"/>
      <c r="K68" s="269"/>
      <c r="L68" s="326"/>
      <c r="M68" s="412"/>
      <c r="N68" s="325"/>
      <c r="O68" s="269"/>
      <c r="P68" s="326"/>
      <c r="Q68" s="269"/>
      <c r="R68" s="269"/>
    </row>
    <row r="69" spans="2:18" s="1" customFormat="1" ht="16.5" customHeight="1">
      <c r="B69" s="506" t="s">
        <v>79</v>
      </c>
      <c r="C69" s="508">
        <f t="shared" si="8"/>
        <v>1</v>
      </c>
      <c r="D69" s="269"/>
      <c r="E69" s="413" t="s">
        <v>291</v>
      </c>
      <c r="F69" s="414"/>
      <c r="G69" s="415"/>
      <c r="H69" s="416"/>
      <c r="I69" s="413"/>
      <c r="J69" s="417"/>
      <c r="K69" s="413"/>
      <c r="L69" s="417"/>
      <c r="M69" s="413"/>
      <c r="N69" s="417"/>
      <c r="O69" s="413"/>
      <c r="P69" s="326"/>
      <c r="Q69" s="269"/>
      <c r="R69" s="269"/>
    </row>
    <row r="70" spans="2:18" s="1" customFormat="1" ht="16.5" customHeight="1">
      <c r="B70" s="506" t="s">
        <v>78</v>
      </c>
      <c r="C70" s="508">
        <f t="shared" si="8"/>
        <v>1</v>
      </c>
      <c r="D70" s="269"/>
      <c r="E70" s="418" t="s">
        <v>292</v>
      </c>
      <c r="F70" s="419"/>
      <c r="G70" s="418"/>
      <c r="H70" s="420"/>
      <c r="I70" s="269"/>
      <c r="J70" s="326"/>
      <c r="K70" s="269"/>
      <c r="L70" s="326"/>
      <c r="M70" s="269"/>
      <c r="N70" s="326"/>
      <c r="O70" s="269"/>
      <c r="P70" s="326"/>
      <c r="Q70" s="269"/>
      <c r="R70" s="269"/>
    </row>
    <row r="71" spans="2:18" s="1" customFormat="1" ht="16.5" customHeight="1">
      <c r="B71" s="506" t="s">
        <v>77</v>
      </c>
      <c r="C71" s="508">
        <f t="shared" si="8"/>
        <v>1</v>
      </c>
      <c r="D71" s="269"/>
      <c r="E71" s="269"/>
      <c r="F71" s="325"/>
      <c r="G71" s="269"/>
      <c r="H71" s="326"/>
      <c r="I71" s="269"/>
      <c r="J71" s="327"/>
      <c r="K71" s="269"/>
      <c r="L71" s="326"/>
      <c r="M71" s="412"/>
      <c r="N71" s="325"/>
      <c r="O71" s="269"/>
      <c r="P71" s="326"/>
      <c r="Q71" s="269"/>
      <c r="R71" s="269"/>
    </row>
    <row r="72" spans="2:18" s="1" customFormat="1" ht="16.5" customHeight="1">
      <c r="B72" s="506" t="s">
        <v>76</v>
      </c>
      <c r="C72" s="508">
        <f t="shared" si="8"/>
        <v>1</v>
      </c>
      <c r="D72" s="269"/>
      <c r="E72" s="269"/>
      <c r="F72" s="325"/>
      <c r="G72" s="269"/>
      <c r="H72" s="326"/>
      <c r="I72" s="269"/>
      <c r="J72" s="327"/>
      <c r="K72" s="269"/>
      <c r="L72" s="326"/>
      <c r="M72" s="412"/>
      <c r="N72" s="325"/>
      <c r="O72" s="269"/>
      <c r="P72" s="326"/>
      <c r="Q72" s="269"/>
      <c r="R72" s="269"/>
    </row>
    <row r="73" spans="2:18" s="1" customFormat="1" ht="16.5" customHeight="1">
      <c r="B73" s="506" t="s">
        <v>75</v>
      </c>
      <c r="C73" s="508">
        <f t="shared" si="8"/>
        <v>1</v>
      </c>
      <c r="D73" s="269"/>
      <c r="E73" s="269"/>
      <c r="F73" s="325"/>
      <c r="G73" s="269"/>
      <c r="H73" s="326"/>
      <c r="I73" s="269"/>
      <c r="J73" s="327"/>
      <c r="K73" s="269"/>
      <c r="L73" s="326"/>
      <c r="M73" s="412"/>
      <c r="N73" s="325"/>
      <c r="O73" s="269"/>
      <c r="P73" s="326"/>
      <c r="Q73" s="269"/>
      <c r="R73" s="269"/>
    </row>
    <row r="74" spans="2:18" s="1" customFormat="1" ht="16.5" customHeight="1">
      <c r="B74" s="506" t="s">
        <v>74</v>
      </c>
      <c r="C74" s="508">
        <f t="shared" si="8"/>
        <v>1</v>
      </c>
      <c r="D74" s="269"/>
      <c r="E74" s="269"/>
      <c r="F74" s="325"/>
      <c r="G74" s="269"/>
      <c r="H74" s="326"/>
      <c r="I74" s="269"/>
      <c r="J74" s="327"/>
      <c r="K74" s="269"/>
      <c r="L74" s="326"/>
      <c r="M74" s="412"/>
      <c r="N74" s="325"/>
      <c r="O74" s="269"/>
      <c r="P74" s="326"/>
      <c r="Q74" s="269"/>
      <c r="R74" s="269"/>
    </row>
    <row r="76" spans="2:18" s="1" customFormat="1" ht="16.5" customHeight="1">
      <c r="B76" s="268"/>
      <c r="C76" s="268"/>
      <c r="D76" s="269"/>
      <c r="E76" s="270" t="s">
        <v>118</v>
      </c>
      <c r="F76" s="270"/>
      <c r="G76" s="270"/>
      <c r="H76" s="270"/>
      <c r="I76" s="270"/>
      <c r="J76" s="270"/>
      <c r="K76" s="270"/>
      <c r="L76" s="270"/>
      <c r="M76" s="270"/>
      <c r="N76" s="270"/>
      <c r="O76" s="270"/>
      <c r="P76" s="270"/>
      <c r="Q76" s="270"/>
      <c r="R76" s="270"/>
    </row>
    <row r="77" spans="2:18" s="1" customFormat="1" ht="16.5" customHeight="1">
      <c r="B77" s="271" t="s">
        <v>837</v>
      </c>
      <c r="C77" s="272" t="s">
        <v>838</v>
      </c>
      <c r="D77" s="269"/>
      <c r="E77" s="273" t="s">
        <v>1788</v>
      </c>
      <c r="F77" s="273"/>
      <c r="G77" s="273"/>
      <c r="H77" s="273"/>
      <c r="I77" s="273"/>
      <c r="J77" s="273"/>
      <c r="K77" s="273"/>
      <c r="L77" s="273"/>
      <c r="M77" s="273"/>
      <c r="N77" s="273"/>
      <c r="O77" s="273"/>
      <c r="P77" s="273"/>
      <c r="Q77" s="273"/>
      <c r="R77" s="273"/>
    </row>
    <row r="78" spans="2:18" s="1" customFormat="1" ht="16.5" customHeight="1">
      <c r="B78" s="274" t="s">
        <v>115</v>
      </c>
      <c r="C78" s="275" t="s">
        <v>289</v>
      </c>
      <c r="D78" s="269"/>
      <c r="E78" s="270" t="s">
        <v>119</v>
      </c>
      <c r="F78" s="270"/>
      <c r="G78" s="270"/>
      <c r="H78" s="270"/>
      <c r="I78" s="270"/>
      <c r="J78" s="270"/>
      <c r="K78" s="270"/>
      <c r="L78" s="270"/>
      <c r="M78" s="270"/>
      <c r="N78" s="270"/>
      <c r="O78" s="270"/>
      <c r="P78" s="270"/>
      <c r="Q78" s="270"/>
      <c r="R78" s="270"/>
    </row>
    <row r="79" spans="2:18" s="1" customFormat="1" ht="16.5" customHeight="1" thickBot="1">
      <c r="B79" s="274" t="s">
        <v>112</v>
      </c>
      <c r="C79" s="276">
        <v>93175</v>
      </c>
      <c r="D79" s="268"/>
      <c r="E79" s="330" t="s">
        <v>840</v>
      </c>
      <c r="F79" s="330"/>
      <c r="G79" s="330"/>
      <c r="H79" s="330"/>
      <c r="I79" s="330"/>
      <c r="J79" s="330"/>
      <c r="K79" s="330"/>
      <c r="L79" s="330"/>
      <c r="M79" s="330"/>
      <c r="N79" s="330"/>
      <c r="O79" s="330"/>
      <c r="P79" s="330"/>
      <c r="Q79" s="330"/>
      <c r="R79" s="330"/>
    </row>
    <row r="80" spans="2:18" s="1" customFormat="1" ht="16.5" customHeight="1">
      <c r="B80" s="274" t="s">
        <v>110</v>
      </c>
      <c r="C80" s="277"/>
      <c r="D80" s="260"/>
      <c r="E80" s="278" t="s">
        <v>109</v>
      </c>
      <c r="F80" s="279" t="s">
        <v>108</v>
      </c>
      <c r="G80" s="280"/>
      <c r="H80" s="279" t="s">
        <v>107</v>
      </c>
      <c r="I80" s="280"/>
      <c r="J80" s="279" t="s">
        <v>106</v>
      </c>
      <c r="K80" s="280"/>
      <c r="L80" s="279" t="s">
        <v>105</v>
      </c>
      <c r="M80" s="280"/>
      <c r="N80" s="279" t="s">
        <v>96</v>
      </c>
      <c r="O80" s="280"/>
      <c r="P80" s="279" t="s">
        <v>104</v>
      </c>
      <c r="Q80" s="280"/>
      <c r="R80" s="281" t="s">
        <v>103</v>
      </c>
    </row>
    <row r="81" spans="2:18" s="1" customFormat="1" ht="16.5" customHeight="1">
      <c r="B81" s="274" t="s">
        <v>102</v>
      </c>
      <c r="C81" s="283">
        <v>125</v>
      </c>
      <c r="D81" s="260"/>
      <c r="E81" s="289"/>
      <c r="F81" s="285" t="s">
        <v>101</v>
      </c>
      <c r="G81" s="331" t="s">
        <v>100</v>
      </c>
      <c r="H81" s="285" t="s">
        <v>101</v>
      </c>
      <c r="I81" s="331" t="s">
        <v>100</v>
      </c>
      <c r="J81" s="285" t="s">
        <v>101</v>
      </c>
      <c r="K81" s="331" t="s">
        <v>100</v>
      </c>
      <c r="L81" s="285" t="s">
        <v>101</v>
      </c>
      <c r="M81" s="331" t="s">
        <v>100</v>
      </c>
      <c r="N81" s="285" t="s">
        <v>101</v>
      </c>
      <c r="O81" s="331" t="s">
        <v>100</v>
      </c>
      <c r="P81" s="287" t="s">
        <v>101</v>
      </c>
      <c r="Q81" s="331" t="s">
        <v>100</v>
      </c>
      <c r="R81" s="289"/>
    </row>
    <row r="82" spans="2:18" s="1" customFormat="1" ht="16.5" customHeight="1">
      <c r="B82" s="274" t="s">
        <v>107</v>
      </c>
      <c r="C82" s="288">
        <v>6867</v>
      </c>
      <c r="D82" s="260"/>
      <c r="E82" s="289" t="s">
        <v>87</v>
      </c>
      <c r="F82" s="290">
        <v>7</v>
      </c>
      <c r="G82" s="291">
        <f t="shared" ref="G82:G93" si="9">SUM($B$6*F82)*C94</f>
        <v>0</v>
      </c>
      <c r="H82" s="292"/>
      <c r="I82" s="291">
        <f t="shared" ref="I82:I93" si="10">IF(H82&gt;0,($B$7*C94),0)</f>
        <v>0</v>
      </c>
      <c r="J82" s="293"/>
      <c r="K82" s="291">
        <f t="shared" ref="K82:K93" si="11">IF(J82&gt;0,($B$8*C94),0)</f>
        <v>0</v>
      </c>
      <c r="L82" s="469">
        <v>2</v>
      </c>
      <c r="M82" s="406">
        <f t="shared" ref="M82:M93" si="12">IF(L82&gt;0,($B$9*L82),0)</f>
        <v>0</v>
      </c>
      <c r="N82" s="294">
        <v>1</v>
      </c>
      <c r="O82" s="291">
        <f t="shared" ref="O82:O93" si="13">IF(N82&gt;0,($B$10*N82),0)</f>
        <v>0</v>
      </c>
      <c r="P82" s="295"/>
      <c r="Q82" s="291">
        <f t="shared" ref="Q82:Q93" si="14">SUM(P82*$B$17)*C94</f>
        <v>0</v>
      </c>
      <c r="R82" s="296">
        <f t="shared" ref="R82:R93" si="15">SUM(Q82+O82+M82+K82+I82+G82)</f>
        <v>0</v>
      </c>
    </row>
    <row r="83" spans="2:18" s="1" customFormat="1" ht="16.5" customHeight="1">
      <c r="B83" s="274" t="s">
        <v>121</v>
      </c>
      <c r="C83" s="288">
        <v>5460</v>
      </c>
      <c r="D83" s="260"/>
      <c r="E83" s="289" t="s">
        <v>86</v>
      </c>
      <c r="F83" s="290">
        <v>7</v>
      </c>
      <c r="G83" s="291">
        <f t="shared" si="9"/>
        <v>0</v>
      </c>
      <c r="H83" s="469"/>
      <c r="I83" s="291">
        <f t="shared" si="10"/>
        <v>0</v>
      </c>
      <c r="J83" s="293"/>
      <c r="K83" s="291">
        <f t="shared" si="11"/>
        <v>0</v>
      </c>
      <c r="L83" s="469">
        <v>3</v>
      </c>
      <c r="M83" s="406">
        <f t="shared" si="12"/>
        <v>0</v>
      </c>
      <c r="N83" s="294"/>
      <c r="O83" s="291">
        <f t="shared" si="13"/>
        <v>0</v>
      </c>
      <c r="P83" s="295"/>
      <c r="Q83" s="291">
        <f t="shared" si="14"/>
        <v>0</v>
      </c>
      <c r="R83" s="296">
        <f t="shared" si="15"/>
        <v>0</v>
      </c>
    </row>
    <row r="84" spans="2:18" s="1" customFormat="1" ht="16.5" customHeight="1">
      <c r="B84" s="407" t="s">
        <v>122</v>
      </c>
      <c r="C84" s="288">
        <v>324</v>
      </c>
      <c r="D84" s="260"/>
      <c r="E84" s="289" t="s">
        <v>84</v>
      </c>
      <c r="F84" s="290">
        <v>10</v>
      </c>
      <c r="G84" s="291">
        <f t="shared" si="9"/>
        <v>0</v>
      </c>
      <c r="H84" s="292"/>
      <c r="I84" s="291">
        <f t="shared" si="10"/>
        <v>0</v>
      </c>
      <c r="J84" s="293"/>
      <c r="K84" s="291">
        <f t="shared" si="11"/>
        <v>0</v>
      </c>
      <c r="L84" s="469">
        <v>2.5</v>
      </c>
      <c r="M84" s="406">
        <f t="shared" si="12"/>
        <v>0</v>
      </c>
      <c r="N84" s="294">
        <v>2</v>
      </c>
      <c r="O84" s="291">
        <f t="shared" si="13"/>
        <v>0</v>
      </c>
      <c r="P84" s="295"/>
      <c r="Q84" s="291">
        <f t="shared" si="14"/>
        <v>0</v>
      </c>
      <c r="R84" s="296">
        <f t="shared" si="15"/>
        <v>0</v>
      </c>
    </row>
    <row r="85" spans="2:18" s="1" customFormat="1" ht="16.5" customHeight="1">
      <c r="B85" s="408" t="s">
        <v>123</v>
      </c>
      <c r="C85" s="288">
        <v>1050</v>
      </c>
      <c r="D85" s="260"/>
      <c r="E85" s="289" t="s">
        <v>83</v>
      </c>
      <c r="F85" s="290">
        <v>8</v>
      </c>
      <c r="G85" s="291">
        <f t="shared" si="9"/>
        <v>0</v>
      </c>
      <c r="H85" s="292"/>
      <c r="I85" s="291">
        <f t="shared" si="10"/>
        <v>0</v>
      </c>
      <c r="J85" s="293"/>
      <c r="K85" s="291">
        <f t="shared" si="11"/>
        <v>0</v>
      </c>
      <c r="L85" s="469">
        <v>3</v>
      </c>
      <c r="M85" s="406">
        <f t="shared" si="12"/>
        <v>0</v>
      </c>
      <c r="N85" s="294">
        <v>2</v>
      </c>
      <c r="O85" s="291">
        <f t="shared" si="13"/>
        <v>0</v>
      </c>
      <c r="P85" s="295"/>
      <c r="Q85" s="291">
        <f t="shared" si="14"/>
        <v>0</v>
      </c>
      <c r="R85" s="296">
        <f t="shared" si="15"/>
        <v>0</v>
      </c>
    </row>
    <row r="86" spans="2:18" s="1" customFormat="1" ht="16.5" customHeight="1">
      <c r="B86" s="274" t="s">
        <v>95</v>
      </c>
      <c r="C86" s="141">
        <v>35000</v>
      </c>
      <c r="D86" s="260"/>
      <c r="E86" s="289" t="s">
        <v>82</v>
      </c>
      <c r="F86" s="290">
        <v>5</v>
      </c>
      <c r="G86" s="291">
        <f t="shared" si="9"/>
        <v>0</v>
      </c>
      <c r="H86" s="292"/>
      <c r="I86" s="291">
        <f t="shared" si="10"/>
        <v>0</v>
      </c>
      <c r="J86" s="293"/>
      <c r="K86" s="291">
        <f t="shared" si="11"/>
        <v>0</v>
      </c>
      <c r="L86" s="469">
        <v>1.5</v>
      </c>
      <c r="M86" s="406">
        <f t="shared" si="12"/>
        <v>0</v>
      </c>
      <c r="N86" s="294">
        <v>1</v>
      </c>
      <c r="O86" s="291">
        <f t="shared" si="13"/>
        <v>0</v>
      </c>
      <c r="P86" s="295">
        <v>1</v>
      </c>
      <c r="Q86" s="291">
        <f t="shared" si="14"/>
        <v>0</v>
      </c>
      <c r="R86" s="296">
        <f t="shared" si="15"/>
        <v>0</v>
      </c>
    </row>
    <row r="87" spans="2:18" s="1" customFormat="1" ht="16.5" customHeight="1">
      <c r="B87" s="274" t="s">
        <v>94</v>
      </c>
      <c r="C87" s="141">
        <v>5000</v>
      </c>
      <c r="D87" s="260"/>
      <c r="E87" s="289" t="s">
        <v>80</v>
      </c>
      <c r="F87" s="290"/>
      <c r="G87" s="291">
        <f t="shared" si="9"/>
        <v>0</v>
      </c>
      <c r="H87" s="292"/>
      <c r="I87" s="291">
        <f t="shared" si="10"/>
        <v>0</v>
      </c>
      <c r="J87" s="293"/>
      <c r="K87" s="291">
        <f t="shared" si="11"/>
        <v>0</v>
      </c>
      <c r="L87" s="469"/>
      <c r="M87" s="406">
        <f t="shared" si="12"/>
        <v>0</v>
      </c>
      <c r="N87" s="294"/>
      <c r="O87" s="291">
        <f t="shared" si="13"/>
        <v>0</v>
      </c>
      <c r="P87" s="295"/>
      <c r="Q87" s="291">
        <f t="shared" si="14"/>
        <v>0</v>
      </c>
      <c r="R87" s="296">
        <f t="shared" si="15"/>
        <v>0</v>
      </c>
    </row>
    <row r="88" spans="2:18" s="1" customFormat="1" ht="16.5" customHeight="1">
      <c r="B88" s="274" t="s">
        <v>93</v>
      </c>
      <c r="C88" s="141">
        <v>175000</v>
      </c>
      <c r="D88" s="260"/>
      <c r="E88" s="289" t="s">
        <v>79</v>
      </c>
      <c r="F88" s="290"/>
      <c r="G88" s="291">
        <f t="shared" si="9"/>
        <v>0</v>
      </c>
      <c r="H88" s="292"/>
      <c r="I88" s="291">
        <f t="shared" si="10"/>
        <v>0</v>
      </c>
      <c r="J88" s="293"/>
      <c r="K88" s="291">
        <f t="shared" si="11"/>
        <v>0</v>
      </c>
      <c r="L88" s="469"/>
      <c r="M88" s="406">
        <f t="shared" si="12"/>
        <v>0</v>
      </c>
      <c r="N88" s="294"/>
      <c r="O88" s="291">
        <f t="shared" si="13"/>
        <v>0</v>
      </c>
      <c r="P88" s="295"/>
      <c r="Q88" s="291">
        <f t="shared" si="14"/>
        <v>0</v>
      </c>
      <c r="R88" s="296">
        <f t="shared" si="15"/>
        <v>0</v>
      </c>
    </row>
    <row r="89" spans="2:18" s="1" customFormat="1" ht="16.5" customHeight="1">
      <c r="B89" s="274" t="s">
        <v>92</v>
      </c>
      <c r="C89" s="141">
        <v>175000</v>
      </c>
      <c r="D89" s="260"/>
      <c r="E89" s="289" t="s">
        <v>78</v>
      </c>
      <c r="F89" s="290"/>
      <c r="G89" s="291">
        <f t="shared" si="9"/>
        <v>0</v>
      </c>
      <c r="H89" s="292"/>
      <c r="I89" s="291">
        <f t="shared" si="10"/>
        <v>0</v>
      </c>
      <c r="J89" s="293"/>
      <c r="K89" s="291">
        <f t="shared" si="11"/>
        <v>0</v>
      </c>
      <c r="L89" s="469"/>
      <c r="M89" s="406">
        <f t="shared" si="12"/>
        <v>0</v>
      </c>
      <c r="N89" s="294"/>
      <c r="O89" s="291">
        <f t="shared" si="13"/>
        <v>0</v>
      </c>
      <c r="P89" s="295"/>
      <c r="Q89" s="291">
        <f t="shared" si="14"/>
        <v>0</v>
      </c>
      <c r="R89" s="296">
        <f t="shared" si="15"/>
        <v>0</v>
      </c>
    </row>
    <row r="90" spans="2:18" s="1" customFormat="1" ht="16.5" customHeight="1">
      <c r="B90" s="274" t="s">
        <v>91</v>
      </c>
      <c r="C90" s="141">
        <v>12000</v>
      </c>
      <c r="D90" s="260"/>
      <c r="E90" s="289" t="s">
        <v>77</v>
      </c>
      <c r="F90" s="290"/>
      <c r="G90" s="291">
        <f t="shared" si="9"/>
        <v>0</v>
      </c>
      <c r="H90" s="292"/>
      <c r="I90" s="291">
        <f t="shared" si="10"/>
        <v>0</v>
      </c>
      <c r="J90" s="293"/>
      <c r="K90" s="291">
        <f t="shared" si="11"/>
        <v>0</v>
      </c>
      <c r="L90" s="469"/>
      <c r="M90" s="406">
        <f t="shared" si="12"/>
        <v>0</v>
      </c>
      <c r="N90" s="294"/>
      <c r="O90" s="291">
        <f t="shared" si="13"/>
        <v>0</v>
      </c>
      <c r="P90" s="295"/>
      <c r="Q90" s="291">
        <f t="shared" si="14"/>
        <v>0</v>
      </c>
      <c r="R90" s="296">
        <f t="shared" si="15"/>
        <v>0</v>
      </c>
    </row>
    <row r="91" spans="2:18" s="1" customFormat="1" ht="16.5" customHeight="1">
      <c r="B91" s="274" t="s">
        <v>90</v>
      </c>
      <c r="C91" s="141">
        <v>25000</v>
      </c>
      <c r="D91" s="260"/>
      <c r="E91" s="289" t="s">
        <v>76</v>
      </c>
      <c r="F91" s="290"/>
      <c r="G91" s="291">
        <f t="shared" si="9"/>
        <v>0</v>
      </c>
      <c r="H91" s="292"/>
      <c r="I91" s="291">
        <f t="shared" si="10"/>
        <v>0</v>
      </c>
      <c r="J91" s="293"/>
      <c r="K91" s="291">
        <f t="shared" si="11"/>
        <v>0</v>
      </c>
      <c r="L91" s="469"/>
      <c r="M91" s="406">
        <f t="shared" si="12"/>
        <v>0</v>
      </c>
      <c r="N91" s="294"/>
      <c r="O91" s="291">
        <f t="shared" si="13"/>
        <v>0</v>
      </c>
      <c r="P91" s="295"/>
      <c r="Q91" s="291">
        <f t="shared" si="14"/>
        <v>0</v>
      </c>
      <c r="R91" s="296">
        <f t="shared" si="15"/>
        <v>0</v>
      </c>
    </row>
    <row r="92" spans="2:18" s="1" customFormat="1" ht="16.5" customHeight="1">
      <c r="B92" s="297" t="s">
        <v>89</v>
      </c>
      <c r="C92" s="298">
        <v>92</v>
      </c>
      <c r="D92" s="260"/>
      <c r="E92" s="289" t="s">
        <v>75</v>
      </c>
      <c r="F92" s="290"/>
      <c r="G92" s="291">
        <f t="shared" si="9"/>
        <v>0</v>
      </c>
      <c r="H92" s="292"/>
      <c r="I92" s="291">
        <f t="shared" si="10"/>
        <v>0</v>
      </c>
      <c r="J92" s="293"/>
      <c r="K92" s="291">
        <f t="shared" si="11"/>
        <v>0</v>
      </c>
      <c r="L92" s="469"/>
      <c r="M92" s="406">
        <f t="shared" si="12"/>
        <v>0</v>
      </c>
      <c r="N92" s="294"/>
      <c r="O92" s="291">
        <f t="shared" si="13"/>
        <v>0</v>
      </c>
      <c r="P92" s="295"/>
      <c r="Q92" s="291">
        <f t="shared" si="14"/>
        <v>0</v>
      </c>
      <c r="R92" s="296">
        <f t="shared" si="15"/>
        <v>0</v>
      </c>
    </row>
    <row r="93" spans="2:18" s="1" customFormat="1" ht="16.5" customHeight="1">
      <c r="B93" s="299" t="s">
        <v>88</v>
      </c>
      <c r="C93" s="300"/>
      <c r="D93" s="260"/>
      <c r="E93" s="289" t="s">
        <v>74</v>
      </c>
      <c r="F93" s="290"/>
      <c r="G93" s="291">
        <f t="shared" si="9"/>
        <v>0</v>
      </c>
      <c r="H93" s="292"/>
      <c r="I93" s="291">
        <f t="shared" si="10"/>
        <v>0</v>
      </c>
      <c r="J93" s="293"/>
      <c r="K93" s="291">
        <f t="shared" si="11"/>
        <v>0</v>
      </c>
      <c r="L93" s="469"/>
      <c r="M93" s="406">
        <f t="shared" si="12"/>
        <v>0</v>
      </c>
      <c r="N93" s="294"/>
      <c r="O93" s="291">
        <f t="shared" si="13"/>
        <v>0</v>
      </c>
      <c r="P93" s="295"/>
      <c r="Q93" s="291">
        <f t="shared" si="14"/>
        <v>0</v>
      </c>
      <c r="R93" s="296">
        <f t="shared" si="15"/>
        <v>0</v>
      </c>
    </row>
    <row r="94" spans="2:18" s="1" customFormat="1" ht="16.5" customHeight="1">
      <c r="B94" s="421" t="s">
        <v>87</v>
      </c>
      <c r="C94" s="422">
        <v>1</v>
      </c>
      <c r="D94" s="260"/>
      <c r="E94" s="303"/>
      <c r="F94" s="304"/>
      <c r="G94" s="305"/>
      <c r="H94" s="306"/>
      <c r="I94" s="307"/>
      <c r="J94" s="308"/>
      <c r="K94" s="307"/>
      <c r="L94" s="306"/>
      <c r="M94" s="307"/>
      <c r="N94" s="304"/>
      <c r="O94" s="307"/>
      <c r="P94" s="306"/>
      <c r="Q94" s="307"/>
      <c r="R94" s="309"/>
    </row>
    <row r="95" spans="2:18" s="1" customFormat="1" ht="16.5" customHeight="1" thickBot="1">
      <c r="B95" s="421" t="s">
        <v>86</v>
      </c>
      <c r="C95" s="421">
        <f t="shared" ref="C95:C105" si="16">SUM(C94+(C94*$B$5))</f>
        <v>1</v>
      </c>
      <c r="D95" s="260"/>
      <c r="E95" s="310" t="s">
        <v>85</v>
      </c>
      <c r="F95" s="311"/>
      <c r="G95" s="312">
        <f>SUM(G82:G93)</f>
        <v>0</v>
      </c>
      <c r="H95" s="313"/>
      <c r="I95" s="312">
        <f>SUM(I82:I93)</f>
        <v>0</v>
      </c>
      <c r="J95" s="314"/>
      <c r="K95" s="312">
        <f>SUM(K82:K93)</f>
        <v>0</v>
      </c>
      <c r="L95" s="313"/>
      <c r="M95" s="312">
        <f>SUM(M82:M93)</f>
        <v>0</v>
      </c>
      <c r="N95" s="315"/>
      <c r="O95" s="312">
        <f>SUM(O82:O93)</f>
        <v>0</v>
      </c>
      <c r="P95" s="313"/>
      <c r="Q95" s="312">
        <f>SUM(Q82:Q93)</f>
        <v>0</v>
      </c>
      <c r="R95" s="316">
        <f>SUM(R82:R93)</f>
        <v>0</v>
      </c>
    </row>
    <row r="96" spans="2:18" s="1" customFormat="1" ht="16.5" customHeight="1" thickTop="1" thickBot="1">
      <c r="B96" s="421" t="s">
        <v>84</v>
      </c>
      <c r="C96" s="421">
        <f t="shared" si="16"/>
        <v>1</v>
      </c>
      <c r="D96" s="269"/>
      <c r="E96" s="317"/>
      <c r="F96" s="318"/>
      <c r="G96" s="319"/>
      <c r="H96" s="320"/>
      <c r="I96" s="319"/>
      <c r="J96" s="321"/>
      <c r="K96" s="319"/>
      <c r="L96" s="320"/>
      <c r="M96" s="319"/>
      <c r="N96" s="318"/>
      <c r="O96" s="319"/>
      <c r="P96" s="320"/>
      <c r="Q96" s="319"/>
      <c r="R96" s="323"/>
    </row>
    <row r="97" spans="2:18" s="1" customFormat="1" ht="16.5" customHeight="1">
      <c r="B97" s="421" t="s">
        <v>83</v>
      </c>
      <c r="C97" s="423">
        <f t="shared" si="16"/>
        <v>1</v>
      </c>
      <c r="D97" s="269"/>
      <c r="E97" s="269"/>
      <c r="F97" s="335"/>
      <c r="G97" s="269"/>
      <c r="H97" s="326"/>
      <c r="I97" s="269"/>
      <c r="J97" s="326"/>
      <c r="K97" s="269"/>
      <c r="L97" s="326"/>
      <c r="M97" s="269"/>
      <c r="N97" s="326"/>
      <c r="O97" s="269"/>
      <c r="P97" s="326"/>
      <c r="Q97" s="269"/>
      <c r="R97" s="269"/>
    </row>
    <row r="98" spans="2:18" s="1" customFormat="1" ht="16.5" customHeight="1">
      <c r="B98" s="421" t="s">
        <v>82</v>
      </c>
      <c r="C98" s="423">
        <f t="shared" si="16"/>
        <v>1</v>
      </c>
      <c r="D98" s="269"/>
      <c r="E98" s="269" t="s">
        <v>124</v>
      </c>
      <c r="F98" s="335"/>
      <c r="G98" s="269"/>
      <c r="H98" s="326"/>
      <c r="I98" s="269"/>
      <c r="J98" s="326"/>
      <c r="K98" s="269"/>
      <c r="L98" s="326"/>
      <c r="M98" s="269"/>
      <c r="N98" s="326"/>
      <c r="O98" s="269"/>
      <c r="P98" s="326"/>
      <c r="Q98" s="269"/>
      <c r="R98" s="269"/>
    </row>
    <row r="99" spans="2:18" s="1" customFormat="1" ht="16.5" customHeight="1">
      <c r="B99" s="421" t="s">
        <v>80</v>
      </c>
      <c r="C99" s="423">
        <f t="shared" si="16"/>
        <v>1</v>
      </c>
      <c r="D99" s="269"/>
      <c r="E99" s="269"/>
      <c r="F99" s="335"/>
      <c r="G99" s="269"/>
      <c r="H99" s="326"/>
      <c r="I99" s="269"/>
      <c r="J99" s="326"/>
      <c r="K99" s="269"/>
      <c r="L99" s="326"/>
      <c r="M99" s="269"/>
      <c r="N99" s="326"/>
      <c r="O99" s="269"/>
      <c r="P99" s="326"/>
      <c r="Q99" s="269"/>
      <c r="R99" s="269"/>
    </row>
    <row r="100" spans="2:18" s="1" customFormat="1" ht="16.5" customHeight="1">
      <c r="B100" s="421" t="s">
        <v>79</v>
      </c>
      <c r="C100" s="423">
        <f t="shared" si="16"/>
        <v>1</v>
      </c>
      <c r="D100" s="269"/>
      <c r="E100" s="413" t="s">
        <v>291</v>
      </c>
      <c r="F100" s="414"/>
      <c r="G100" s="415"/>
      <c r="H100" s="416"/>
      <c r="I100" s="413"/>
      <c r="J100" s="417"/>
      <c r="K100" s="413"/>
      <c r="L100" s="417"/>
      <c r="M100" s="413"/>
      <c r="N100" s="417"/>
      <c r="O100" s="413"/>
      <c r="P100" s="326"/>
      <c r="Q100" s="269"/>
      <c r="R100" s="269"/>
    </row>
    <row r="101" spans="2:18" s="1" customFormat="1" ht="16.5" customHeight="1">
      <c r="B101" s="421" t="s">
        <v>78</v>
      </c>
      <c r="C101" s="423">
        <f t="shared" si="16"/>
        <v>1</v>
      </c>
      <c r="D101" s="269"/>
      <c r="E101" s="418" t="s">
        <v>292</v>
      </c>
      <c r="F101" s="419"/>
      <c r="G101" s="418"/>
      <c r="H101" s="420"/>
      <c r="I101" s="269"/>
      <c r="J101" s="326"/>
      <c r="K101" s="269"/>
      <c r="L101" s="326"/>
      <c r="M101" s="269"/>
      <c r="N101" s="326"/>
      <c r="O101" s="269"/>
      <c r="P101" s="326"/>
      <c r="Q101" s="269"/>
      <c r="R101" s="269"/>
    </row>
    <row r="102" spans="2:18" s="1" customFormat="1" ht="16.5" customHeight="1">
      <c r="B102" s="421" t="s">
        <v>77</v>
      </c>
      <c r="C102" s="423">
        <f t="shared" si="16"/>
        <v>1</v>
      </c>
      <c r="D102" s="269"/>
      <c r="E102" s="269"/>
      <c r="F102" s="335"/>
      <c r="G102" s="269"/>
      <c r="H102" s="326"/>
      <c r="I102" s="269"/>
      <c r="J102" s="326"/>
      <c r="K102" s="269"/>
      <c r="L102" s="326"/>
      <c r="M102" s="269"/>
      <c r="N102" s="326"/>
      <c r="O102" s="269"/>
      <c r="P102" s="326"/>
      <c r="Q102" s="269"/>
      <c r="R102" s="269"/>
    </row>
    <row r="103" spans="2:18" s="1" customFormat="1" ht="16.5" customHeight="1">
      <c r="B103" s="421" t="s">
        <v>76</v>
      </c>
      <c r="C103" s="423">
        <f t="shared" si="16"/>
        <v>1</v>
      </c>
      <c r="D103" s="269"/>
      <c r="E103" s="474" t="s">
        <v>841</v>
      </c>
      <c r="F103" s="475"/>
      <c r="G103" s="474"/>
      <c r="H103" s="326"/>
      <c r="I103" s="269"/>
      <c r="J103" s="326"/>
      <c r="K103" s="269"/>
      <c r="L103" s="326"/>
      <c r="M103" s="269"/>
      <c r="N103" s="326"/>
      <c r="O103" s="269"/>
      <c r="P103" s="326"/>
      <c r="Q103" s="269"/>
      <c r="R103" s="269"/>
    </row>
    <row r="104" spans="2:18" s="1" customFormat="1" ht="16.5" customHeight="1">
      <c r="B104" s="421" t="s">
        <v>75</v>
      </c>
      <c r="C104" s="423">
        <f t="shared" si="16"/>
        <v>1</v>
      </c>
      <c r="D104" s="269"/>
      <c r="E104" s="269"/>
      <c r="F104" s="335"/>
      <c r="G104" s="269"/>
      <c r="H104" s="326"/>
      <c r="I104" s="269"/>
      <c r="J104" s="326"/>
      <c r="K104" s="269"/>
      <c r="L104" s="326"/>
      <c r="M104" s="269"/>
      <c r="N104" s="326"/>
      <c r="O104" s="269"/>
      <c r="P104" s="326"/>
      <c r="Q104" s="269"/>
      <c r="R104" s="269"/>
    </row>
    <row r="105" spans="2:18" s="1" customFormat="1" ht="16.5" customHeight="1">
      <c r="B105" s="421" t="s">
        <v>74</v>
      </c>
      <c r="C105" s="423">
        <f t="shared" si="16"/>
        <v>1</v>
      </c>
      <c r="D105" s="269"/>
      <c r="E105" s="269"/>
      <c r="F105" s="335"/>
      <c r="G105" s="269"/>
      <c r="H105" s="326"/>
      <c r="I105" s="269"/>
      <c r="J105" s="326"/>
      <c r="K105" s="269"/>
      <c r="L105" s="326"/>
      <c r="M105" s="269"/>
      <c r="N105" s="326"/>
      <c r="O105" s="269"/>
      <c r="P105" s="326"/>
      <c r="Q105" s="269"/>
      <c r="R105" s="269"/>
    </row>
  </sheetData>
  <mergeCells count="20">
    <mergeCell ref="E76:R76"/>
    <mergeCell ref="E77:R77"/>
    <mergeCell ref="E78:R78"/>
    <mergeCell ref="E79:R79"/>
    <mergeCell ref="F80:G80"/>
    <mergeCell ref="H80:I80"/>
    <mergeCell ref="J80:K80"/>
    <mergeCell ref="L80:M80"/>
    <mergeCell ref="N80:O80"/>
    <mergeCell ref="P80:Q80"/>
    <mergeCell ref="E45:R45"/>
    <mergeCell ref="E46:R46"/>
    <mergeCell ref="E47:R47"/>
    <mergeCell ref="E48:R48"/>
    <mergeCell ref="F49:G49"/>
    <mergeCell ref="H49:I49"/>
    <mergeCell ref="J49:K49"/>
    <mergeCell ref="L49:M49"/>
    <mergeCell ref="N49:O49"/>
    <mergeCell ref="P49:Q49"/>
  </mergeCells>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306 summary'!C39:N39</xm:f>
              <xm:sqref>P39</xm:sqref>
            </x14:sparkline>
          </x14:sparklines>
        </x14:sparklineGroup>
        <x14:sparklineGroup displayEmptyCellsAs="gap" markers="1" last="1">
          <x14:colorSeries rgb="FF323232"/>
          <x14:colorNegative rgb="FFD00000"/>
          <x14:colorAxis rgb="FF000000"/>
          <x14:colorMarkers rgb="FFD00000"/>
          <x14:colorFirst rgb="FFD00000"/>
          <x14:colorLast rgb="FFD00000"/>
          <x14:colorHigh rgb="FFD00000"/>
          <x14:colorLow rgb="FFD00000"/>
          <x14:sparklines>
            <x14:sparkline>
              <xm:f>'Bus 306 summary'!C19:N19</xm:f>
              <xm:sqref>P19</xm:sqref>
            </x14:sparkline>
            <x14:sparkline>
              <xm:f>'Bus 306 summary'!C20:N20</xm:f>
              <xm:sqref>P20</xm:sqref>
            </x14:sparkline>
            <x14:sparkline>
              <xm:f>'Bus 306 summary'!C21:N21</xm:f>
              <xm:sqref>P21</xm:sqref>
            </x14:sparkline>
            <x14:sparkline>
              <xm:f>'Bus 306 summary'!C22:N22</xm:f>
              <xm:sqref>P22</xm:sqref>
            </x14:sparkline>
            <x14:sparkline>
              <xm:f>'Bus 306 summary'!C23:N23</xm:f>
              <xm:sqref>P23</xm:sqref>
            </x14:sparkline>
            <x14:sparkline>
              <xm:f>'Bus 306 summary'!C24:N24</xm:f>
              <xm:sqref>P24</xm:sqref>
            </x14:sparkline>
            <x14:sparkline>
              <xm:f>'Bus 306 summary'!C25:N25</xm:f>
              <xm:sqref>P25</xm:sqref>
            </x14:sparkline>
            <x14:sparkline>
              <xm:f>'Bus 306 summary'!C26:N26</xm:f>
              <xm:sqref>P26</xm:sqref>
            </x14:sparkline>
            <x14:sparkline>
              <xm:f>'Bus 306 summary'!C27:N27</xm:f>
              <xm:sqref>P27</xm:sqref>
            </x14:sparkline>
            <x14:sparkline>
              <xm:f>'Bus 306 summary'!C28:N28</xm:f>
              <xm:sqref>P28</xm:sqref>
            </x14:sparkline>
            <x14:sparkline>
              <xm:f>'Bus 306 summary'!C29:N29</xm:f>
              <xm:sqref>P29</xm:sqref>
            </x14:sparkline>
            <x14:sparkline>
              <xm:f>'Bus 306 summary'!C30:N30</xm:f>
              <xm:sqref>P30</xm:sqref>
            </x14:sparkline>
            <x14:sparkline>
              <xm:f>'Bus 306 summary'!C31:N31</xm:f>
              <xm:sqref>P31</xm:sqref>
            </x14:sparkline>
            <x14:sparkline>
              <xm:f>'Bus 306 summary'!C32:N32</xm:f>
              <xm:sqref>P32</xm:sqref>
            </x14:sparkline>
            <x14:sparkline>
              <xm:f>'Bus 306 summary'!C33:N33</xm:f>
              <xm:sqref>P33</xm:sqref>
            </x14:sparkline>
            <x14:sparkline>
              <xm:f>'Bus 306 summary'!C34:N34</xm:f>
              <xm:sqref>P34</xm:sqref>
            </x14:sparkline>
            <x14:sparkline>
              <xm:f>'Bus 306 summary'!C35:N35</xm:f>
              <xm:sqref>P35</xm:sqref>
            </x14:sparkline>
            <x14:sparkline>
              <xm:f>'Bus 306 summary'!C36:N36</xm:f>
              <xm:sqref>P36</xm:sqref>
            </x14:sparkline>
            <x14:sparkline>
              <xm:f>'Bus 306 summary'!C37:N37</xm:f>
              <xm:sqref>P37</xm:sqref>
            </x14:sparkline>
            <x14:sparkline>
              <xm:f>'Bus 306 summary'!C38:N38</xm:f>
              <xm:sqref>P38</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52"/>
  <sheetViews>
    <sheetView showGridLines="0" topLeftCell="A37" zoomScale="115" zoomScaleNormal="115" workbookViewId="0">
      <selection activeCell="F39" sqref="A1:XFD1048576"/>
    </sheetView>
  </sheetViews>
  <sheetFormatPr defaultColWidth="9.140625" defaultRowHeight="16.5" customHeight="1"/>
  <cols>
    <col min="1" max="1" width="3.140625" style="1" customWidth="1"/>
    <col min="2" max="4" width="12.28515625" style="1" customWidth="1"/>
    <col min="5" max="5" width="15.7109375" style="1" customWidth="1"/>
    <col min="6" max="6" width="40"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660</v>
      </c>
      <c r="G4" s="185" t="s">
        <v>45</v>
      </c>
    </row>
    <row r="5" spans="2:8" s="1" customFormat="1" ht="16.5" customHeight="1">
      <c r="B5" s="189">
        <v>42917</v>
      </c>
      <c r="C5" s="190">
        <v>10612</v>
      </c>
      <c r="D5" s="52">
        <v>7.83</v>
      </c>
      <c r="E5" s="190" t="s">
        <v>5</v>
      </c>
      <c r="F5" s="190" t="s">
        <v>867</v>
      </c>
      <c r="G5" s="191" t="s">
        <v>866</v>
      </c>
    </row>
    <row r="6" spans="2:8" s="1" customFormat="1" ht="16.5" customHeight="1">
      <c r="B6" s="189">
        <v>42917</v>
      </c>
      <c r="C6" s="190">
        <v>10612</v>
      </c>
      <c r="D6" s="52">
        <v>10</v>
      </c>
      <c r="E6" s="190" t="s">
        <v>2</v>
      </c>
      <c r="F6" s="190" t="s">
        <v>865</v>
      </c>
      <c r="G6" s="191"/>
    </row>
    <row r="7" spans="2:8" s="1" customFormat="1" ht="16.5" customHeight="1">
      <c r="B7" s="189">
        <v>42921</v>
      </c>
      <c r="C7" s="190">
        <v>10617</v>
      </c>
      <c r="D7" s="52">
        <v>2.4500000000000002</v>
      </c>
      <c r="E7" s="190" t="s">
        <v>3</v>
      </c>
      <c r="F7" s="190" t="s">
        <v>864</v>
      </c>
      <c r="G7" s="191" t="s">
        <v>863</v>
      </c>
    </row>
    <row r="8" spans="2:8" s="1" customFormat="1" ht="16.5" customHeight="1">
      <c r="B8" s="189">
        <v>42921</v>
      </c>
      <c r="C8" s="190">
        <v>10617</v>
      </c>
      <c r="D8" s="52">
        <v>7.83</v>
      </c>
      <c r="E8" s="190" t="s">
        <v>5</v>
      </c>
      <c r="F8" s="190" t="s">
        <v>862</v>
      </c>
      <c r="G8" s="191" t="s">
        <v>861</v>
      </c>
    </row>
    <row r="9" spans="2:8" s="1" customFormat="1" ht="16.5" customHeight="1">
      <c r="B9" s="189">
        <v>42921</v>
      </c>
      <c r="C9" s="190">
        <v>10617</v>
      </c>
      <c r="D9" s="52">
        <v>10</v>
      </c>
      <c r="E9" s="190" t="s">
        <v>2</v>
      </c>
      <c r="F9" s="190" t="s">
        <v>663</v>
      </c>
      <c r="G9" s="191"/>
    </row>
    <row r="10" spans="2:8" s="1" customFormat="1" ht="16.5" customHeight="1">
      <c r="B10" s="189">
        <v>42941</v>
      </c>
      <c r="C10" s="190">
        <v>10657</v>
      </c>
      <c r="D10" s="52">
        <v>128.79</v>
      </c>
      <c r="E10" s="190" t="s">
        <v>13</v>
      </c>
      <c r="F10" s="190" t="s">
        <v>860</v>
      </c>
      <c r="G10" s="191" t="s">
        <v>859</v>
      </c>
    </row>
    <row r="11" spans="2:8" s="1" customFormat="1" ht="16.5" customHeight="1">
      <c r="B11" s="189">
        <v>42941</v>
      </c>
      <c r="C11" s="190">
        <v>10657</v>
      </c>
      <c r="D11" s="52">
        <v>100</v>
      </c>
      <c r="E11" s="190" t="s">
        <v>2</v>
      </c>
      <c r="F11" s="190" t="s">
        <v>858</v>
      </c>
      <c r="G11" s="191"/>
    </row>
    <row r="12" spans="2:8" s="1" customFormat="1" ht="16.5" customHeight="1">
      <c r="B12" s="187">
        <v>42943</v>
      </c>
      <c r="C12" s="188">
        <v>10660</v>
      </c>
      <c r="D12" s="8">
        <v>2.87</v>
      </c>
      <c r="E12" s="188" t="s">
        <v>17</v>
      </c>
      <c r="F12" s="188" t="s">
        <v>857</v>
      </c>
      <c r="G12" s="188" t="s">
        <v>856</v>
      </c>
    </row>
    <row r="13" spans="2:8" s="1" customFormat="1" ht="16.5" customHeight="1">
      <c r="B13" s="187">
        <v>42943</v>
      </c>
      <c r="C13" s="188">
        <v>10660</v>
      </c>
      <c r="D13" s="8">
        <v>48.09</v>
      </c>
      <c r="E13" s="188" t="s">
        <v>17</v>
      </c>
      <c r="F13" s="188" t="s">
        <v>855</v>
      </c>
      <c r="G13" s="188" t="s">
        <v>854</v>
      </c>
    </row>
    <row r="14" spans="2:8" s="1" customFormat="1" ht="16.5" customHeight="1">
      <c r="B14" s="187">
        <v>42943</v>
      </c>
      <c r="C14" s="188">
        <v>10660</v>
      </c>
      <c r="D14" s="8">
        <v>42.89</v>
      </c>
      <c r="E14" s="188" t="s">
        <v>17</v>
      </c>
      <c r="F14" s="188" t="s">
        <v>853</v>
      </c>
      <c r="G14" s="188" t="s">
        <v>852</v>
      </c>
    </row>
    <row r="15" spans="2:8" s="1" customFormat="1" ht="16.5" customHeight="1">
      <c r="B15" s="187">
        <v>42943</v>
      </c>
      <c r="C15" s="188">
        <v>10660</v>
      </c>
      <c r="D15" s="8">
        <v>42.89</v>
      </c>
      <c r="E15" s="188" t="s">
        <v>17</v>
      </c>
      <c r="F15" s="188" t="s">
        <v>851</v>
      </c>
      <c r="G15" s="188" t="s">
        <v>850</v>
      </c>
    </row>
    <row r="16" spans="2:8" s="1" customFormat="1" ht="16.5" customHeight="1">
      <c r="B16" s="187">
        <v>42943</v>
      </c>
      <c r="C16" s="188">
        <v>10660</v>
      </c>
      <c r="D16" s="8">
        <v>5</v>
      </c>
      <c r="E16" s="188" t="s">
        <v>17</v>
      </c>
      <c r="F16" s="188" t="s">
        <v>849</v>
      </c>
      <c r="G16" s="188" t="s">
        <v>848</v>
      </c>
    </row>
    <row r="17" spans="2:7" s="1" customFormat="1" ht="16.5" customHeight="1">
      <c r="B17" s="187">
        <v>42943</v>
      </c>
      <c r="C17" s="188">
        <v>10660</v>
      </c>
      <c r="D17" s="8">
        <v>6.15</v>
      </c>
      <c r="E17" s="188" t="s">
        <v>17</v>
      </c>
      <c r="F17" s="188" t="s">
        <v>847</v>
      </c>
      <c r="G17" s="188" t="s">
        <v>846</v>
      </c>
    </row>
    <row r="18" spans="2:7" s="1" customFormat="1" ht="16.5" customHeight="1">
      <c r="B18" s="187">
        <v>42943</v>
      </c>
      <c r="C18" s="188">
        <v>10660</v>
      </c>
      <c r="D18" s="8">
        <v>418.88</v>
      </c>
      <c r="E18" s="188" t="s">
        <v>17</v>
      </c>
      <c r="F18" s="188" t="s">
        <v>845</v>
      </c>
      <c r="G18" s="188" t="s">
        <v>844</v>
      </c>
    </row>
    <row r="19" spans="2:7" s="1" customFormat="1" ht="16.5" customHeight="1">
      <c r="B19" s="187">
        <v>42943</v>
      </c>
      <c r="C19" s="188">
        <v>10660</v>
      </c>
      <c r="D19" s="8">
        <v>14</v>
      </c>
      <c r="E19" s="188" t="s">
        <v>17</v>
      </c>
      <c r="F19" s="188" t="s">
        <v>843</v>
      </c>
      <c r="G19" s="188" t="s">
        <v>842</v>
      </c>
    </row>
    <row r="20" spans="2:7" s="1" customFormat="1" ht="16.5" customHeight="1">
      <c r="B20" s="187">
        <v>42943</v>
      </c>
      <c r="C20" s="188">
        <v>10660</v>
      </c>
      <c r="D20" s="8">
        <v>140</v>
      </c>
      <c r="E20" s="188" t="s">
        <v>17</v>
      </c>
      <c r="F20" s="188" t="s">
        <v>36</v>
      </c>
      <c r="G20" s="188"/>
    </row>
    <row r="21" spans="2:7" s="1" customFormat="1" ht="16.5" customHeight="1">
      <c r="B21" s="189"/>
      <c r="C21" s="190"/>
      <c r="D21" s="52"/>
      <c r="E21" s="190"/>
      <c r="F21" s="190"/>
      <c r="G21" s="191"/>
    </row>
    <row r="22" spans="2:7" s="1" customFormat="1" ht="16.5" customHeight="1">
      <c r="B22" s="192" t="s">
        <v>1</v>
      </c>
      <c r="C22" s="193"/>
      <c r="D22" s="194">
        <f>SUBTOTAL(109,ExpJul107[Amount])</f>
        <v>987.67</v>
      </c>
      <c r="E22" s="193"/>
      <c r="F22" s="193"/>
      <c r="G22" s="192"/>
    </row>
    <row r="23" spans="2:7" s="1" customFormat="1" ht="16.5" customHeight="1">
      <c r="B23" s="195"/>
      <c r="C23" s="196"/>
      <c r="D23" s="197"/>
      <c r="E23" s="196"/>
      <c r="F23" s="196"/>
      <c r="G23" s="196"/>
    </row>
    <row r="24" spans="2:7" s="1" customFormat="1" ht="26.25" customHeight="1">
      <c r="B24" s="205" t="s">
        <v>52</v>
      </c>
      <c r="C24" s="36"/>
      <c r="D24" s="36"/>
      <c r="E24" s="36"/>
      <c r="F24" s="36"/>
      <c r="G24" s="36"/>
    </row>
    <row r="25" spans="2:7" s="1" customFormat="1" ht="16.5" customHeight="1">
      <c r="B25" s="36"/>
      <c r="C25" s="36"/>
      <c r="D25" s="36"/>
      <c r="E25" s="36"/>
      <c r="F25" s="36"/>
      <c r="G25" s="36"/>
    </row>
    <row r="26" spans="2:7" s="1" customFormat="1" ht="16.5" customHeight="1">
      <c r="B26" s="206" t="s">
        <v>50</v>
      </c>
      <c r="C26" s="207" t="s">
        <v>53</v>
      </c>
      <c r="D26" s="206" t="s">
        <v>48</v>
      </c>
      <c r="E26" s="207" t="s">
        <v>47</v>
      </c>
      <c r="F26" s="207" t="s">
        <v>660</v>
      </c>
      <c r="G26" s="206" t="s">
        <v>45</v>
      </c>
    </row>
    <row r="27" spans="2:7" s="1" customFormat="1" ht="16.5" customHeight="1">
      <c r="B27" s="25">
        <v>42950</v>
      </c>
      <c r="C27" s="51">
        <v>10682</v>
      </c>
      <c r="D27" s="211">
        <v>7.83</v>
      </c>
      <c r="E27" s="51" t="s">
        <v>5</v>
      </c>
      <c r="F27" s="51" t="s">
        <v>868</v>
      </c>
      <c r="G27" s="27" t="s">
        <v>869</v>
      </c>
    </row>
    <row r="28" spans="2:7" s="1" customFormat="1" ht="16.5" customHeight="1">
      <c r="B28" s="25">
        <v>42950</v>
      </c>
      <c r="C28" s="51">
        <v>10682</v>
      </c>
      <c r="D28" s="211">
        <v>10</v>
      </c>
      <c r="E28" s="51" t="s">
        <v>2</v>
      </c>
      <c r="F28" s="51" t="s">
        <v>33</v>
      </c>
      <c r="G28" s="27"/>
    </row>
    <row r="29" spans="2:7" s="1" customFormat="1" ht="16.5" customHeight="1">
      <c r="B29" s="25">
        <v>42955</v>
      </c>
      <c r="C29" s="51">
        <v>10696</v>
      </c>
      <c r="D29" s="211">
        <v>7.91</v>
      </c>
      <c r="E29" s="51" t="s">
        <v>3</v>
      </c>
      <c r="F29" s="51" t="s">
        <v>521</v>
      </c>
      <c r="G29" s="27" t="s">
        <v>870</v>
      </c>
    </row>
    <row r="30" spans="2:7" s="1" customFormat="1" ht="16.5" customHeight="1">
      <c r="B30" s="25">
        <v>42955</v>
      </c>
      <c r="C30" s="51">
        <v>10696</v>
      </c>
      <c r="D30" s="211">
        <v>20</v>
      </c>
      <c r="E30" s="51" t="s">
        <v>2</v>
      </c>
      <c r="F30" s="51" t="s">
        <v>399</v>
      </c>
      <c r="G30" s="27"/>
    </row>
    <row r="31" spans="2:7" s="1" customFormat="1" ht="16.5" customHeight="1">
      <c r="B31" s="25">
        <v>42957</v>
      </c>
      <c r="C31" s="51">
        <v>10709</v>
      </c>
      <c r="D31" s="211">
        <v>7.83</v>
      </c>
      <c r="E31" s="51" t="s">
        <v>5</v>
      </c>
      <c r="F31" s="51" t="s">
        <v>871</v>
      </c>
      <c r="G31" s="27" t="s">
        <v>872</v>
      </c>
    </row>
    <row r="32" spans="2:7" s="1" customFormat="1" ht="16.5" customHeight="1">
      <c r="B32" s="25">
        <v>42957</v>
      </c>
      <c r="C32" s="51">
        <v>10709</v>
      </c>
      <c r="D32" s="211">
        <v>10</v>
      </c>
      <c r="E32" s="51" t="s">
        <v>2</v>
      </c>
      <c r="F32" s="51" t="s">
        <v>663</v>
      </c>
      <c r="G32" s="27"/>
    </row>
    <row r="33" spans="2:7" s="1" customFormat="1" ht="16.5" customHeight="1">
      <c r="B33" s="25">
        <v>42969</v>
      </c>
      <c r="C33" s="51">
        <v>10727</v>
      </c>
      <c r="D33" s="211">
        <v>7.83</v>
      </c>
      <c r="E33" s="51" t="s">
        <v>5</v>
      </c>
      <c r="F33" s="51" t="s">
        <v>873</v>
      </c>
      <c r="G33" s="27" t="s">
        <v>874</v>
      </c>
    </row>
    <row r="34" spans="2:7" s="1" customFormat="1" ht="16.5" customHeight="1">
      <c r="B34" s="25">
        <v>42969</v>
      </c>
      <c r="C34" s="51">
        <v>10727</v>
      </c>
      <c r="D34" s="211">
        <v>10</v>
      </c>
      <c r="E34" s="51" t="s">
        <v>2</v>
      </c>
      <c r="F34" s="51" t="s">
        <v>772</v>
      </c>
      <c r="G34" s="27"/>
    </row>
    <row r="35" spans="2:7" s="1" customFormat="1" ht="16.5" customHeight="1">
      <c r="B35" s="25"/>
      <c r="C35" s="51"/>
      <c r="D35" s="211"/>
      <c r="E35" s="51"/>
      <c r="F35" s="51"/>
      <c r="G35" s="27"/>
    </row>
    <row r="36" spans="2:7" s="1" customFormat="1" ht="16.5" customHeight="1">
      <c r="B36" s="25"/>
      <c r="C36" s="51"/>
      <c r="D36" s="211"/>
      <c r="E36" s="51"/>
      <c r="F36" s="51"/>
      <c r="G36" s="27"/>
    </row>
    <row r="37" spans="2:7" s="1" customFormat="1" ht="16.5" customHeight="1">
      <c r="B37" s="25"/>
      <c r="C37" s="51"/>
      <c r="D37" s="211"/>
      <c r="E37" s="51"/>
      <c r="F37" s="51"/>
      <c r="G37" s="27"/>
    </row>
    <row r="38" spans="2:7" s="1" customFormat="1" ht="16.5" customHeight="1">
      <c r="B38" s="212" t="s">
        <v>1</v>
      </c>
      <c r="C38" s="213"/>
      <c r="D38" s="214">
        <f>SUBTOTAL(109,ExpAug108[Amount])</f>
        <v>81.399999999999991</v>
      </c>
      <c r="E38" s="213"/>
      <c r="F38" s="213"/>
      <c r="G38" s="212"/>
    </row>
    <row r="40" spans="2:7" s="1" customFormat="1" ht="27.75" customHeight="1">
      <c r="B40" s="205" t="s">
        <v>56</v>
      </c>
      <c r="C40" s="117"/>
      <c r="D40" s="117"/>
      <c r="E40" s="117"/>
      <c r="F40" s="117"/>
      <c r="G40" s="117"/>
    </row>
    <row r="41" spans="2:7" s="1" customFormat="1" ht="16.5" customHeight="1">
      <c r="B41" s="117"/>
      <c r="C41" s="117"/>
      <c r="D41" s="117"/>
      <c r="E41" s="117"/>
      <c r="F41" s="117"/>
      <c r="G41" s="117"/>
    </row>
    <row r="42" spans="2:7" s="1" customFormat="1" ht="16.5" customHeight="1">
      <c r="B42" s="206" t="s">
        <v>50</v>
      </c>
      <c r="C42" s="207" t="s">
        <v>53</v>
      </c>
      <c r="D42" s="206" t="s">
        <v>48</v>
      </c>
      <c r="E42" s="207" t="s">
        <v>47</v>
      </c>
      <c r="F42" s="207" t="s">
        <v>161</v>
      </c>
      <c r="G42" s="206" t="s">
        <v>160</v>
      </c>
    </row>
    <row r="43" spans="2:7" s="1" customFormat="1" ht="16.5" customHeight="1">
      <c r="B43" s="25"/>
      <c r="C43" s="51"/>
      <c r="D43" s="211"/>
      <c r="E43" s="51"/>
      <c r="F43" s="51"/>
      <c r="G43" s="27"/>
    </row>
    <row r="44" spans="2:7" s="1" customFormat="1" ht="16.5" customHeight="1">
      <c r="B44" s="25"/>
      <c r="C44" s="51"/>
      <c r="D44" s="211"/>
      <c r="E44" s="51"/>
      <c r="F44" s="51"/>
      <c r="G44" s="27"/>
    </row>
    <row r="45" spans="2:7" s="1" customFormat="1" ht="16.5" customHeight="1">
      <c r="B45" s="25"/>
      <c r="C45" s="51"/>
      <c r="D45" s="211"/>
      <c r="E45" s="51"/>
      <c r="F45" s="51"/>
      <c r="G45" s="27"/>
    </row>
    <row r="46" spans="2:7" s="1" customFormat="1" ht="16.5" customHeight="1">
      <c r="B46" s="25"/>
      <c r="C46" s="51"/>
      <c r="D46" s="211"/>
      <c r="E46" s="51"/>
      <c r="F46" s="51"/>
      <c r="G46" s="27"/>
    </row>
    <row r="47" spans="2:7" s="1" customFormat="1" ht="16.5" customHeight="1">
      <c r="B47" s="25"/>
      <c r="C47" s="51"/>
      <c r="D47" s="211"/>
      <c r="E47" s="51"/>
      <c r="F47" s="51"/>
      <c r="G47" s="27"/>
    </row>
    <row r="48" spans="2:7" s="1" customFormat="1" ht="16.5" customHeight="1">
      <c r="B48" s="25"/>
      <c r="C48" s="51"/>
      <c r="D48" s="211"/>
      <c r="E48" s="51"/>
      <c r="F48" s="51"/>
      <c r="G48" s="27"/>
    </row>
    <row r="49" spans="2:7" s="1" customFormat="1" ht="16.5" customHeight="1">
      <c r="B49" s="25"/>
      <c r="C49" s="51"/>
      <c r="D49" s="211"/>
      <c r="E49" s="51"/>
      <c r="F49" s="51"/>
      <c r="G49" s="27"/>
    </row>
    <row r="50" spans="2:7" s="1" customFormat="1" ht="16.5" customHeight="1">
      <c r="B50" s="25"/>
      <c r="C50" s="51"/>
      <c r="D50" s="211"/>
      <c r="E50" s="51"/>
      <c r="F50" s="51"/>
      <c r="G50" s="27"/>
    </row>
    <row r="51" spans="2:7" s="1" customFormat="1" ht="16.5" customHeight="1">
      <c r="B51" s="25"/>
      <c r="C51" s="51"/>
      <c r="D51" s="211"/>
      <c r="E51" s="51"/>
      <c r="F51" s="51"/>
      <c r="G51" s="27"/>
    </row>
    <row r="52" spans="2:7" s="1" customFormat="1" ht="16.5" customHeight="1">
      <c r="B52" s="212" t="s">
        <v>1</v>
      </c>
      <c r="C52" s="213"/>
      <c r="D52" s="214">
        <f>SUBTOTAL(109,ExpSep109[Amount])</f>
        <v>0</v>
      </c>
      <c r="E52" s="213"/>
      <c r="F52" s="213"/>
      <c r="G52" s="212"/>
    </row>
  </sheetData>
  <dataValidations count="5">
    <dataValidation type="custom" errorStyle="warning" allowBlank="1" showInputMessage="1" showErrorMessage="1" errorTitle="Amount Validation" error="Amount should be a number." sqref="D5:D21 D23 D27:D37 D43:D51">
      <formula1>ISNUMBER($D5)</formula1>
    </dataValidation>
    <dataValidation type="custom" errorStyle="warning" allowBlank="1" showInputMessage="1" showErrorMessage="1" errorTitle="Date Validation" error="A date in July needs be entered  in order for this expense to be added to the Summary sheet." sqref="B5:B21 B23">
      <formula1>MONTH($B5)=7</formula1>
    </dataValidation>
    <dataValidation type="list" errorStyle="warning" allowBlank="1" showInputMessage="1" showErrorMessage="1" errorTitle="Unknown Category" error="An expense from the drop down should be selected in order for it to be included on the Summary sheet." sqref="E5:F21 E23:F23 E27:F37 E43:F51">
      <formula1>ExpenseCategories</formula1>
    </dataValidation>
    <dataValidation type="custom" errorStyle="warning" allowBlank="1" showInputMessage="1" showErrorMessage="1" errorTitle="Date Validation" error="A date in August needs be entered  in order for this expense to be added to the Summary sheet." sqref="B27:B37">
      <formula1>MONTH($B27)=8</formula1>
    </dataValidation>
    <dataValidation type="custom" errorStyle="warning" allowBlank="1" showInputMessage="1" showErrorMessage="1" errorTitle="Date Validation" error="A date in September needs be entered  in order for this expense to be added to the Summary sheet." sqref="B43:B51">
      <formula1>MONTH($B43)=9</formula1>
    </dataValidation>
  </dataValidations>
  <printOptions horizontalCentered="1"/>
  <pageMargins left="0.25" right="0.25" top="0.75" bottom="0.75" header="0.3" footer="0.3"/>
  <pageSetup fitToHeight="0" orientation="portrait" r:id="rId1"/>
  <drawing r:id="rId2"/>
  <tableParts count="3">
    <tablePart r:id="rId3"/>
    <tablePart r:id="rId4"/>
    <tablePart r:id="rId5"/>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78"/>
  <sheetViews>
    <sheetView workbookViewId="0">
      <selection activeCell="I15" sqref="A1:XFD1048576"/>
    </sheetView>
  </sheetViews>
  <sheetFormatPr defaultColWidth="9.140625" defaultRowHeight="12.75"/>
  <cols>
    <col min="1" max="1" width="15.42578125" style="260" customWidth="1"/>
    <col min="2" max="2" width="14" style="260" customWidth="1"/>
    <col min="3" max="3" width="13.28515625" style="260" customWidth="1"/>
    <col min="4" max="4" width="13.5703125" style="260" customWidth="1"/>
    <col min="5" max="5" width="13.7109375" style="260" customWidth="1"/>
    <col min="6" max="6" width="14.7109375" style="260" customWidth="1"/>
    <col min="7" max="7" width="17.7109375" style="260" customWidth="1"/>
    <col min="8" max="16384" width="9.140625" style="260"/>
  </cols>
  <sheetData>
    <row r="1" spans="1:7" ht="13.5" customHeight="1">
      <c r="A1" s="278" t="s">
        <v>155</v>
      </c>
      <c r="B1" s="279" t="s">
        <v>154</v>
      </c>
      <c r="C1" s="280"/>
      <c r="D1" s="279" t="s">
        <v>153</v>
      </c>
      <c r="E1" s="280"/>
      <c r="F1" s="279" t="s">
        <v>152</v>
      </c>
      <c r="G1" s="280"/>
    </row>
    <row r="2" spans="1:7">
      <c r="A2" s="348"/>
      <c r="B2" s="349"/>
      <c r="C2" s="350"/>
      <c r="D2" s="351" t="s">
        <v>906</v>
      </c>
      <c r="E2" s="352">
        <v>4950</v>
      </c>
      <c r="F2" s="285"/>
      <c r="G2" s="353" t="b">
        <f t="shared" ref="G2:G38" si="0">IF(F2&gt;5250,"OVER")</f>
        <v>0</v>
      </c>
    </row>
    <row r="3" spans="1:7">
      <c r="A3" s="348">
        <v>7447</v>
      </c>
      <c r="B3" s="354" t="str">
        <f t="shared" ref="B3:B38" si="1">D2</f>
        <v>1.29.13</v>
      </c>
      <c r="C3" s="355">
        <v>4950</v>
      </c>
      <c r="D3" s="356" t="s">
        <v>905</v>
      </c>
      <c r="E3" s="357">
        <v>10102</v>
      </c>
      <c r="F3" s="358">
        <f t="shared" ref="F3:F38" si="2">SUM(E3-E2)</f>
        <v>5152</v>
      </c>
      <c r="G3" s="359" t="b">
        <f t="shared" si="0"/>
        <v>0</v>
      </c>
    </row>
    <row r="4" spans="1:7">
      <c r="A4" s="348">
        <v>7518</v>
      </c>
      <c r="B4" s="354" t="str">
        <f t="shared" si="1"/>
        <v>3.22.13</v>
      </c>
      <c r="C4" s="355">
        <v>10102</v>
      </c>
      <c r="D4" s="356" t="s">
        <v>904</v>
      </c>
      <c r="E4" s="357">
        <v>15075</v>
      </c>
      <c r="F4" s="358">
        <f t="shared" si="2"/>
        <v>4973</v>
      </c>
      <c r="G4" s="359" t="b">
        <f t="shared" si="0"/>
        <v>0</v>
      </c>
    </row>
    <row r="5" spans="1:7">
      <c r="A5" s="348">
        <v>7577</v>
      </c>
      <c r="B5" s="354" t="str">
        <f t="shared" si="1"/>
        <v>5.9.13</v>
      </c>
      <c r="C5" s="355">
        <v>15075</v>
      </c>
      <c r="D5" s="356" t="s">
        <v>903</v>
      </c>
      <c r="E5" s="357">
        <v>20000</v>
      </c>
      <c r="F5" s="358">
        <f t="shared" si="2"/>
        <v>4925</v>
      </c>
      <c r="G5" s="359" t="b">
        <f t="shared" si="0"/>
        <v>0</v>
      </c>
    </row>
    <row r="6" spans="1:7">
      <c r="A6" s="348">
        <v>7685</v>
      </c>
      <c r="B6" s="354" t="str">
        <f t="shared" si="1"/>
        <v>7.9.13</v>
      </c>
      <c r="C6" s="355">
        <v>20000</v>
      </c>
      <c r="D6" s="356" t="s">
        <v>902</v>
      </c>
      <c r="E6" s="357">
        <v>25022</v>
      </c>
      <c r="F6" s="358">
        <f t="shared" si="2"/>
        <v>5022</v>
      </c>
      <c r="G6" s="359" t="b">
        <f t="shared" si="0"/>
        <v>0</v>
      </c>
    </row>
    <row r="7" spans="1:7">
      <c r="A7" s="348">
        <v>7763</v>
      </c>
      <c r="B7" s="354" t="str">
        <f t="shared" si="1"/>
        <v>8.22.13</v>
      </c>
      <c r="C7" s="355">
        <v>25022</v>
      </c>
      <c r="D7" s="356" t="s">
        <v>901</v>
      </c>
      <c r="E7" s="357">
        <v>29881</v>
      </c>
      <c r="F7" s="358">
        <f t="shared" si="2"/>
        <v>4859</v>
      </c>
      <c r="G7" s="359" t="b">
        <f t="shared" si="0"/>
        <v>0</v>
      </c>
    </row>
    <row r="8" spans="1:7">
      <c r="A8" s="348">
        <v>7874</v>
      </c>
      <c r="B8" s="354" t="str">
        <f t="shared" si="1"/>
        <v>10.15.13</v>
      </c>
      <c r="C8" s="355">
        <v>29881</v>
      </c>
      <c r="D8" s="356" t="s">
        <v>900</v>
      </c>
      <c r="E8" s="357">
        <v>34959</v>
      </c>
      <c r="F8" s="358">
        <f t="shared" si="2"/>
        <v>5078</v>
      </c>
      <c r="G8" s="359" t="b">
        <f t="shared" si="0"/>
        <v>0</v>
      </c>
    </row>
    <row r="9" spans="1:7">
      <c r="A9" s="348">
        <v>8017</v>
      </c>
      <c r="B9" s="354" t="str">
        <f t="shared" si="1"/>
        <v>12.10.13</v>
      </c>
      <c r="C9" s="355">
        <v>34959</v>
      </c>
      <c r="D9" s="356" t="s">
        <v>899</v>
      </c>
      <c r="E9" s="357">
        <v>39912</v>
      </c>
      <c r="F9" s="358">
        <f t="shared" si="2"/>
        <v>4953</v>
      </c>
      <c r="G9" s="359" t="b">
        <f t="shared" si="0"/>
        <v>0</v>
      </c>
    </row>
    <row r="10" spans="1:7">
      <c r="A10" s="348">
        <v>8119</v>
      </c>
      <c r="B10" s="354" t="str">
        <f t="shared" si="1"/>
        <v>1.31.14</v>
      </c>
      <c r="C10" s="355">
        <v>39912</v>
      </c>
      <c r="D10" s="356" t="s">
        <v>898</v>
      </c>
      <c r="E10" s="357">
        <v>44899</v>
      </c>
      <c r="F10" s="358">
        <f t="shared" si="2"/>
        <v>4987</v>
      </c>
      <c r="G10" s="359" t="b">
        <f t="shared" si="0"/>
        <v>0</v>
      </c>
    </row>
    <row r="11" spans="1:7">
      <c r="A11" s="348">
        <v>8206</v>
      </c>
      <c r="B11" s="354" t="str">
        <f t="shared" si="1"/>
        <v>3.14.14</v>
      </c>
      <c r="C11" s="355">
        <v>44899</v>
      </c>
      <c r="D11" s="356" t="s">
        <v>622</v>
      </c>
      <c r="E11" s="357">
        <v>49935</v>
      </c>
      <c r="F11" s="358">
        <f t="shared" si="2"/>
        <v>5036</v>
      </c>
      <c r="G11" s="359" t="b">
        <f t="shared" si="0"/>
        <v>0</v>
      </c>
    </row>
    <row r="12" spans="1:7">
      <c r="A12" s="348">
        <v>8319</v>
      </c>
      <c r="B12" s="354" t="str">
        <f t="shared" si="1"/>
        <v>4.28.14</v>
      </c>
      <c r="C12" s="355">
        <v>49935</v>
      </c>
      <c r="D12" s="356" t="s">
        <v>897</v>
      </c>
      <c r="E12" s="357">
        <v>54938</v>
      </c>
      <c r="F12" s="358">
        <f t="shared" si="2"/>
        <v>5003</v>
      </c>
      <c r="G12" s="359" t="b">
        <f t="shared" si="0"/>
        <v>0</v>
      </c>
    </row>
    <row r="13" spans="1:7">
      <c r="A13" s="348">
        <v>8448</v>
      </c>
      <c r="B13" s="354" t="str">
        <f t="shared" si="1"/>
        <v>6.30.14</v>
      </c>
      <c r="C13" s="355">
        <v>54938</v>
      </c>
      <c r="D13" s="356" t="s">
        <v>896</v>
      </c>
      <c r="E13" s="357">
        <v>59979</v>
      </c>
      <c r="F13" s="358">
        <f t="shared" si="2"/>
        <v>5041</v>
      </c>
      <c r="G13" s="359" t="b">
        <f t="shared" si="0"/>
        <v>0</v>
      </c>
    </row>
    <row r="14" spans="1:7">
      <c r="A14" s="348">
        <v>8566</v>
      </c>
      <c r="B14" s="354" t="str">
        <f t="shared" si="1"/>
        <v>8.16.14</v>
      </c>
      <c r="C14" s="355">
        <v>59979</v>
      </c>
      <c r="D14" s="356" t="s">
        <v>820</v>
      </c>
      <c r="E14" s="357">
        <v>64974</v>
      </c>
      <c r="F14" s="358">
        <f t="shared" si="2"/>
        <v>4995</v>
      </c>
      <c r="G14" s="359" t="b">
        <f t="shared" si="0"/>
        <v>0</v>
      </c>
    </row>
    <row r="15" spans="1:7">
      <c r="A15" s="348">
        <v>8643</v>
      </c>
      <c r="B15" s="354" t="str">
        <f t="shared" si="1"/>
        <v>10.1.14</v>
      </c>
      <c r="C15" s="361">
        <v>64974</v>
      </c>
      <c r="D15" s="362" t="s">
        <v>618</v>
      </c>
      <c r="E15" s="363">
        <v>70035</v>
      </c>
      <c r="F15" s="358">
        <f t="shared" si="2"/>
        <v>5061</v>
      </c>
      <c r="G15" s="359" t="b">
        <f t="shared" si="0"/>
        <v>0</v>
      </c>
    </row>
    <row r="16" spans="1:7" ht="13.5" thickBot="1">
      <c r="A16" s="364">
        <v>8755</v>
      </c>
      <c r="B16" s="354" t="str">
        <f t="shared" si="1"/>
        <v>11.15.14</v>
      </c>
      <c r="C16" s="365">
        <v>70035</v>
      </c>
      <c r="D16" s="366" t="s">
        <v>895</v>
      </c>
      <c r="E16" s="367">
        <v>75068</v>
      </c>
      <c r="F16" s="358">
        <f t="shared" si="2"/>
        <v>5033</v>
      </c>
      <c r="G16" s="359" t="b">
        <f t="shared" si="0"/>
        <v>0</v>
      </c>
    </row>
    <row r="17" spans="1:7" ht="13.5" thickBot="1">
      <c r="A17" s="369">
        <v>8857</v>
      </c>
      <c r="B17" s="354" t="str">
        <f t="shared" si="1"/>
        <v>1.7.15</v>
      </c>
      <c r="C17" s="370">
        <v>75068</v>
      </c>
      <c r="D17" s="371" t="s">
        <v>894</v>
      </c>
      <c r="E17" s="372">
        <v>80041</v>
      </c>
      <c r="F17" s="358">
        <f t="shared" si="2"/>
        <v>4973</v>
      </c>
      <c r="G17" s="359" t="b">
        <f t="shared" si="0"/>
        <v>0</v>
      </c>
    </row>
    <row r="18" spans="1:7">
      <c r="A18" s="374">
        <v>8957</v>
      </c>
      <c r="B18" s="354" t="str">
        <f t="shared" si="1"/>
        <v>2.19.15</v>
      </c>
      <c r="C18" s="375">
        <v>80041</v>
      </c>
      <c r="D18" s="403" t="s">
        <v>893</v>
      </c>
      <c r="E18" s="377">
        <v>84950</v>
      </c>
      <c r="F18" s="358">
        <f t="shared" si="2"/>
        <v>4909</v>
      </c>
      <c r="G18" s="359" t="b">
        <f t="shared" si="0"/>
        <v>0</v>
      </c>
    </row>
    <row r="19" spans="1:7">
      <c r="A19" s="348">
        <v>9048</v>
      </c>
      <c r="B19" s="354" t="str">
        <f t="shared" si="1"/>
        <v>4.2.15</v>
      </c>
      <c r="C19" s="355">
        <v>84950</v>
      </c>
      <c r="D19" s="356" t="s">
        <v>892</v>
      </c>
      <c r="E19" s="357">
        <v>89876</v>
      </c>
      <c r="F19" s="358">
        <f t="shared" si="2"/>
        <v>4926</v>
      </c>
      <c r="G19" s="359" t="b">
        <f t="shared" si="0"/>
        <v>0</v>
      </c>
    </row>
    <row r="20" spans="1:7">
      <c r="A20" s="348">
        <v>9107</v>
      </c>
      <c r="B20" s="354" t="str">
        <f t="shared" si="1"/>
        <v>5.7.15</v>
      </c>
      <c r="C20" s="355">
        <v>89876</v>
      </c>
      <c r="D20" s="356" t="s">
        <v>891</v>
      </c>
      <c r="E20" s="357">
        <v>94832</v>
      </c>
      <c r="F20" s="358">
        <f t="shared" si="2"/>
        <v>4956</v>
      </c>
      <c r="G20" s="359" t="b">
        <f t="shared" si="0"/>
        <v>0</v>
      </c>
    </row>
    <row r="21" spans="1:7">
      <c r="A21" s="348">
        <v>9171</v>
      </c>
      <c r="B21" s="354" t="str">
        <f t="shared" si="1"/>
        <v>6.12.15</v>
      </c>
      <c r="C21" s="355">
        <v>94832</v>
      </c>
      <c r="D21" s="356" t="s">
        <v>890</v>
      </c>
      <c r="E21" s="357">
        <v>99865</v>
      </c>
      <c r="F21" s="358">
        <f t="shared" si="2"/>
        <v>5033</v>
      </c>
      <c r="G21" s="359" t="b">
        <f t="shared" si="0"/>
        <v>0</v>
      </c>
    </row>
    <row r="22" spans="1:7">
      <c r="A22" s="348">
        <v>9243</v>
      </c>
      <c r="B22" s="354" t="str">
        <f t="shared" si="1"/>
        <v>7.18.15</v>
      </c>
      <c r="C22" s="355">
        <v>99865</v>
      </c>
      <c r="D22" s="356" t="s">
        <v>889</v>
      </c>
      <c r="E22" s="357">
        <v>104976</v>
      </c>
      <c r="F22" s="358">
        <f t="shared" si="2"/>
        <v>5111</v>
      </c>
      <c r="G22" s="359" t="b">
        <f t="shared" si="0"/>
        <v>0</v>
      </c>
    </row>
    <row r="23" spans="1:7">
      <c r="A23" s="348">
        <v>9296</v>
      </c>
      <c r="B23" s="354" t="str">
        <f t="shared" si="1"/>
        <v>8.22.15</v>
      </c>
      <c r="C23" s="355">
        <v>104976</v>
      </c>
      <c r="D23" s="356" t="s">
        <v>888</v>
      </c>
      <c r="E23" s="357">
        <v>110158</v>
      </c>
      <c r="F23" s="358">
        <f t="shared" si="2"/>
        <v>5182</v>
      </c>
      <c r="G23" s="359" t="b">
        <f t="shared" si="0"/>
        <v>0</v>
      </c>
    </row>
    <row r="24" spans="1:7">
      <c r="A24" s="348">
        <v>9396</v>
      </c>
      <c r="B24" s="354" t="str">
        <f t="shared" si="1"/>
        <v>10.6.15</v>
      </c>
      <c r="C24" s="355">
        <v>110158</v>
      </c>
      <c r="D24" s="356" t="s">
        <v>812</v>
      </c>
      <c r="E24" s="357">
        <v>115115</v>
      </c>
      <c r="F24" s="358">
        <f t="shared" si="2"/>
        <v>4957</v>
      </c>
      <c r="G24" s="359" t="b">
        <f t="shared" si="0"/>
        <v>0</v>
      </c>
    </row>
    <row r="25" spans="1:7">
      <c r="A25" s="348">
        <v>9480</v>
      </c>
      <c r="B25" s="354" t="str">
        <f t="shared" si="1"/>
        <v>11.17.15</v>
      </c>
      <c r="C25" s="355">
        <v>115115</v>
      </c>
      <c r="D25" s="356" t="s">
        <v>887</v>
      </c>
      <c r="E25" s="357">
        <v>120132</v>
      </c>
      <c r="F25" s="358">
        <f t="shared" si="2"/>
        <v>5017</v>
      </c>
      <c r="G25" s="359" t="b">
        <f t="shared" si="0"/>
        <v>0</v>
      </c>
    </row>
    <row r="26" spans="1:7">
      <c r="A26" s="348">
        <v>9551</v>
      </c>
      <c r="B26" s="354" t="str">
        <f t="shared" si="1"/>
        <v>12.24.15</v>
      </c>
      <c r="C26" s="355">
        <v>120132</v>
      </c>
      <c r="D26" s="356" t="s">
        <v>609</v>
      </c>
      <c r="E26" s="357">
        <v>125076</v>
      </c>
      <c r="F26" s="358">
        <f t="shared" si="2"/>
        <v>4944</v>
      </c>
      <c r="G26" s="359" t="b">
        <f t="shared" si="0"/>
        <v>0</v>
      </c>
    </row>
    <row r="27" spans="1:7">
      <c r="A27" s="348">
        <v>9623</v>
      </c>
      <c r="B27" s="354" t="str">
        <f t="shared" si="1"/>
        <v>1.30.16</v>
      </c>
      <c r="C27" s="355">
        <v>125076</v>
      </c>
      <c r="D27" s="356" t="s">
        <v>886</v>
      </c>
      <c r="E27" s="357">
        <v>130152</v>
      </c>
      <c r="F27" s="358">
        <f t="shared" si="2"/>
        <v>5076</v>
      </c>
      <c r="G27" s="359" t="b">
        <f t="shared" si="0"/>
        <v>0</v>
      </c>
    </row>
    <row r="28" spans="1:7">
      <c r="A28" s="348" t="s">
        <v>885</v>
      </c>
      <c r="B28" s="354" t="str">
        <f t="shared" si="1"/>
        <v>3.8.16</v>
      </c>
      <c r="C28" s="355">
        <v>130152</v>
      </c>
      <c r="D28" s="356" t="s">
        <v>884</v>
      </c>
      <c r="E28" s="357">
        <v>135142</v>
      </c>
      <c r="F28" s="358">
        <f t="shared" si="2"/>
        <v>4990</v>
      </c>
      <c r="G28" s="359" t="b">
        <f t="shared" si="0"/>
        <v>0</v>
      </c>
    </row>
    <row r="29" spans="1:7">
      <c r="A29" s="348">
        <v>9758</v>
      </c>
      <c r="B29" s="354" t="str">
        <f t="shared" si="1"/>
        <v>4.13.16</v>
      </c>
      <c r="C29" s="355">
        <v>135142</v>
      </c>
      <c r="D29" s="356" t="s">
        <v>883</v>
      </c>
      <c r="E29" s="357">
        <v>140156</v>
      </c>
      <c r="F29" s="358">
        <f t="shared" si="2"/>
        <v>5014</v>
      </c>
      <c r="G29" s="359" t="b">
        <f t="shared" si="0"/>
        <v>0</v>
      </c>
    </row>
    <row r="30" spans="1:7">
      <c r="A30" s="348">
        <v>9823</v>
      </c>
      <c r="B30" s="354" t="str">
        <f t="shared" si="1"/>
        <v>5.24.16</v>
      </c>
      <c r="C30" s="355">
        <v>140156</v>
      </c>
      <c r="D30" s="356" t="s">
        <v>882</v>
      </c>
      <c r="E30" s="357">
        <v>145455</v>
      </c>
      <c r="F30" s="358">
        <f t="shared" si="2"/>
        <v>5299</v>
      </c>
      <c r="G30" s="360" t="str">
        <f t="shared" si="0"/>
        <v>OVER</v>
      </c>
    </row>
    <row r="31" spans="1:7">
      <c r="A31" s="348">
        <v>9921</v>
      </c>
      <c r="B31" s="354" t="str">
        <f t="shared" si="1"/>
        <v>7.19.16</v>
      </c>
      <c r="C31" s="355">
        <v>145455</v>
      </c>
      <c r="D31" s="356" t="s">
        <v>881</v>
      </c>
      <c r="E31" s="357">
        <v>150634</v>
      </c>
      <c r="F31" s="358">
        <f t="shared" si="2"/>
        <v>5179</v>
      </c>
      <c r="G31" s="359" t="b">
        <f t="shared" si="0"/>
        <v>0</v>
      </c>
    </row>
    <row r="32" spans="1:7">
      <c r="A32" s="348">
        <v>10030</v>
      </c>
      <c r="B32" s="354" t="str">
        <f t="shared" si="1"/>
        <v>9.14.16</v>
      </c>
      <c r="C32" s="355">
        <v>150634</v>
      </c>
      <c r="D32" s="356" t="s">
        <v>880</v>
      </c>
      <c r="E32" s="357">
        <v>155539</v>
      </c>
      <c r="F32" s="358">
        <f t="shared" si="2"/>
        <v>4905</v>
      </c>
      <c r="G32" s="359" t="b">
        <f t="shared" si="0"/>
        <v>0</v>
      </c>
    </row>
    <row r="33" spans="1:7">
      <c r="A33" s="348">
        <v>10116</v>
      </c>
      <c r="B33" s="354" t="str">
        <f t="shared" si="1"/>
        <v>10.27.16</v>
      </c>
      <c r="C33" s="355">
        <v>155539</v>
      </c>
      <c r="D33" s="356" t="s">
        <v>879</v>
      </c>
      <c r="E33" s="357">
        <v>160582</v>
      </c>
      <c r="F33" s="358">
        <f t="shared" si="2"/>
        <v>5043</v>
      </c>
      <c r="G33" s="359" t="b">
        <f t="shared" si="0"/>
        <v>0</v>
      </c>
    </row>
    <row r="34" spans="1:7">
      <c r="A34" s="348"/>
      <c r="B34" s="354" t="str">
        <f t="shared" si="1"/>
        <v>12.8.16</v>
      </c>
      <c r="C34" s="355">
        <v>160582</v>
      </c>
      <c r="D34" s="356" t="s">
        <v>878</v>
      </c>
      <c r="E34" s="357">
        <v>165315</v>
      </c>
      <c r="F34" s="358">
        <f t="shared" si="2"/>
        <v>4733</v>
      </c>
      <c r="G34" s="359" t="b">
        <f t="shared" si="0"/>
        <v>0</v>
      </c>
    </row>
    <row r="35" spans="1:7">
      <c r="A35" s="348">
        <v>10268</v>
      </c>
      <c r="B35" s="354" t="str">
        <f t="shared" si="1"/>
        <v>1.27.17</v>
      </c>
      <c r="C35" s="355">
        <v>165315</v>
      </c>
      <c r="D35" s="356" t="s">
        <v>877</v>
      </c>
      <c r="E35" s="357">
        <v>170089</v>
      </c>
      <c r="F35" s="358">
        <f t="shared" si="2"/>
        <v>4774</v>
      </c>
      <c r="G35" s="359" t="b">
        <f t="shared" si="0"/>
        <v>0</v>
      </c>
    </row>
    <row r="36" spans="1:7">
      <c r="A36" s="348">
        <v>10354</v>
      </c>
      <c r="B36" s="354" t="str">
        <f t="shared" si="1"/>
        <v>3.15.17</v>
      </c>
      <c r="C36" s="355">
        <v>170089</v>
      </c>
      <c r="D36" s="356" t="s">
        <v>876</v>
      </c>
      <c r="E36" s="357">
        <v>175185</v>
      </c>
      <c r="F36" s="358">
        <f t="shared" si="2"/>
        <v>5096</v>
      </c>
      <c r="G36" s="359" t="b">
        <f t="shared" si="0"/>
        <v>0</v>
      </c>
    </row>
    <row r="37" spans="1:7">
      <c r="A37" s="348">
        <v>10441</v>
      </c>
      <c r="B37" s="354" t="str">
        <f t="shared" si="1"/>
        <v>4.27.17</v>
      </c>
      <c r="C37" s="355">
        <v>175185</v>
      </c>
      <c r="D37" s="356" t="s">
        <v>875</v>
      </c>
      <c r="E37" s="357">
        <v>180153</v>
      </c>
      <c r="F37" s="358">
        <f t="shared" si="2"/>
        <v>4968</v>
      </c>
      <c r="G37" s="359" t="b">
        <f t="shared" si="0"/>
        <v>0</v>
      </c>
    </row>
    <row r="38" spans="1:7">
      <c r="A38" s="348"/>
      <c r="B38" s="354" t="str">
        <f t="shared" si="1"/>
        <v>6.10.17</v>
      </c>
      <c r="C38" s="355">
        <v>180153</v>
      </c>
      <c r="D38" s="356"/>
      <c r="E38" s="357"/>
      <c r="F38" s="358">
        <f t="shared" si="2"/>
        <v>-180153</v>
      </c>
      <c r="G38" s="359" t="b">
        <f t="shared" si="0"/>
        <v>0</v>
      </c>
    </row>
    <row r="40" spans="1:7" ht="13.5" thickBot="1">
      <c r="A40" s="509" t="s">
        <v>836</v>
      </c>
    </row>
    <row r="41" spans="1:7">
      <c r="A41" s="278" t="s">
        <v>155</v>
      </c>
      <c r="B41" s="279" t="s">
        <v>154</v>
      </c>
      <c r="C41" s="280"/>
      <c r="D41" s="279" t="s">
        <v>153</v>
      </c>
      <c r="E41" s="280"/>
      <c r="F41" s="279" t="s">
        <v>152</v>
      </c>
      <c r="G41" s="280"/>
    </row>
    <row r="42" spans="1:7">
      <c r="A42" s="348"/>
      <c r="B42" s="349"/>
      <c r="C42" s="350"/>
      <c r="D42" s="351" t="s">
        <v>875</v>
      </c>
      <c r="E42" s="352">
        <v>180153</v>
      </c>
      <c r="F42" s="285"/>
      <c r="G42" s="353" t="b">
        <f t="shared" ref="G42:G78" si="3">IF(F42&gt;5250,"OVER")</f>
        <v>0</v>
      </c>
    </row>
    <row r="43" spans="1:7">
      <c r="A43" s="348"/>
      <c r="B43" s="354" t="str">
        <f t="shared" ref="B43:B78" si="4">D42</f>
        <v>6.10.17</v>
      </c>
      <c r="C43" s="355">
        <v>180153</v>
      </c>
      <c r="D43" s="356" t="s">
        <v>907</v>
      </c>
      <c r="E43" s="357">
        <v>185105</v>
      </c>
      <c r="F43" s="358">
        <f t="shared" ref="F43:F78" si="5">SUM(E43-E42)</f>
        <v>4952</v>
      </c>
      <c r="G43" s="359" t="b">
        <f t="shared" si="3"/>
        <v>0</v>
      </c>
    </row>
    <row r="44" spans="1:7">
      <c r="A44" s="348">
        <v>10660</v>
      </c>
      <c r="B44" s="354" t="str">
        <f t="shared" si="4"/>
        <v>7.27.17</v>
      </c>
      <c r="C44" s="355">
        <v>185105</v>
      </c>
      <c r="D44" s="356"/>
      <c r="E44" s="357"/>
      <c r="F44" s="358">
        <f t="shared" si="5"/>
        <v>-185105</v>
      </c>
      <c r="G44" s="359" t="b">
        <f t="shared" si="3"/>
        <v>0</v>
      </c>
    </row>
    <row r="45" spans="1:7">
      <c r="A45" s="348"/>
      <c r="B45" s="354">
        <f t="shared" si="4"/>
        <v>0</v>
      </c>
      <c r="C45" s="355"/>
      <c r="D45" s="356"/>
      <c r="E45" s="357"/>
      <c r="F45" s="358">
        <f t="shared" si="5"/>
        <v>0</v>
      </c>
      <c r="G45" s="359" t="b">
        <f t="shared" si="3"/>
        <v>0</v>
      </c>
    </row>
    <row r="46" spans="1:7">
      <c r="A46" s="348"/>
      <c r="B46" s="354">
        <f t="shared" si="4"/>
        <v>0</v>
      </c>
      <c r="C46" s="355"/>
      <c r="D46" s="356"/>
      <c r="E46" s="357"/>
      <c r="F46" s="358">
        <f t="shared" si="5"/>
        <v>0</v>
      </c>
      <c r="G46" s="359" t="b">
        <f t="shared" si="3"/>
        <v>0</v>
      </c>
    </row>
    <row r="47" spans="1:7">
      <c r="A47" s="348"/>
      <c r="B47" s="354">
        <f t="shared" si="4"/>
        <v>0</v>
      </c>
      <c r="C47" s="355"/>
      <c r="D47" s="356"/>
      <c r="E47" s="357"/>
      <c r="F47" s="358">
        <f t="shared" si="5"/>
        <v>0</v>
      </c>
      <c r="G47" s="359" t="b">
        <f t="shared" si="3"/>
        <v>0</v>
      </c>
    </row>
    <row r="48" spans="1:7">
      <c r="A48" s="348"/>
      <c r="B48" s="354">
        <f t="shared" si="4"/>
        <v>0</v>
      </c>
      <c r="C48" s="355"/>
      <c r="D48" s="356"/>
      <c r="E48" s="357"/>
      <c r="F48" s="358">
        <f t="shared" si="5"/>
        <v>0</v>
      </c>
      <c r="G48" s="359" t="b">
        <f t="shared" si="3"/>
        <v>0</v>
      </c>
    </row>
    <row r="49" spans="1:7">
      <c r="A49" s="348"/>
      <c r="B49" s="354">
        <f t="shared" si="4"/>
        <v>0</v>
      </c>
      <c r="C49" s="355"/>
      <c r="D49" s="356"/>
      <c r="E49" s="357"/>
      <c r="F49" s="358">
        <f t="shared" si="5"/>
        <v>0</v>
      </c>
      <c r="G49" s="359" t="b">
        <f t="shared" si="3"/>
        <v>0</v>
      </c>
    </row>
    <row r="50" spans="1:7">
      <c r="A50" s="348"/>
      <c r="B50" s="354">
        <f t="shared" si="4"/>
        <v>0</v>
      </c>
      <c r="C50" s="355"/>
      <c r="D50" s="356"/>
      <c r="E50" s="357"/>
      <c r="F50" s="358">
        <f t="shared" si="5"/>
        <v>0</v>
      </c>
      <c r="G50" s="359" t="b">
        <f t="shared" si="3"/>
        <v>0</v>
      </c>
    </row>
    <row r="51" spans="1:7">
      <c r="A51" s="348"/>
      <c r="B51" s="354">
        <f t="shared" si="4"/>
        <v>0</v>
      </c>
      <c r="C51" s="355"/>
      <c r="D51" s="356"/>
      <c r="E51" s="357"/>
      <c r="F51" s="358">
        <f t="shared" si="5"/>
        <v>0</v>
      </c>
      <c r="G51" s="359" t="b">
        <f t="shared" si="3"/>
        <v>0</v>
      </c>
    </row>
    <row r="52" spans="1:7">
      <c r="A52" s="348"/>
      <c r="B52" s="354">
        <f t="shared" si="4"/>
        <v>0</v>
      </c>
      <c r="C52" s="355"/>
      <c r="D52" s="356"/>
      <c r="E52" s="357"/>
      <c r="F52" s="358">
        <f t="shared" si="5"/>
        <v>0</v>
      </c>
      <c r="G52" s="359" t="b">
        <f t="shared" si="3"/>
        <v>0</v>
      </c>
    </row>
    <row r="53" spans="1:7">
      <c r="A53" s="348"/>
      <c r="B53" s="354">
        <f t="shared" si="4"/>
        <v>0</v>
      </c>
      <c r="C53" s="355"/>
      <c r="D53" s="356"/>
      <c r="E53" s="357"/>
      <c r="F53" s="358">
        <f t="shared" si="5"/>
        <v>0</v>
      </c>
      <c r="G53" s="359" t="b">
        <f t="shared" si="3"/>
        <v>0</v>
      </c>
    </row>
    <row r="54" spans="1:7">
      <c r="A54" s="348"/>
      <c r="B54" s="354">
        <f t="shared" si="4"/>
        <v>0</v>
      </c>
      <c r="C54" s="355"/>
      <c r="D54" s="356"/>
      <c r="E54" s="357"/>
      <c r="F54" s="358">
        <f t="shared" si="5"/>
        <v>0</v>
      </c>
      <c r="G54" s="359" t="b">
        <f t="shared" si="3"/>
        <v>0</v>
      </c>
    </row>
    <row r="55" spans="1:7">
      <c r="A55" s="348"/>
      <c r="B55" s="354">
        <f t="shared" si="4"/>
        <v>0</v>
      </c>
      <c r="C55" s="361"/>
      <c r="D55" s="362"/>
      <c r="E55" s="363"/>
      <c r="F55" s="358">
        <f t="shared" si="5"/>
        <v>0</v>
      </c>
      <c r="G55" s="359" t="b">
        <f t="shared" si="3"/>
        <v>0</v>
      </c>
    </row>
    <row r="56" spans="1:7" ht="13.5" thickBot="1">
      <c r="A56" s="364"/>
      <c r="B56" s="354">
        <f t="shared" si="4"/>
        <v>0</v>
      </c>
      <c r="C56" s="365"/>
      <c r="D56" s="366"/>
      <c r="E56" s="367"/>
      <c r="F56" s="358">
        <f t="shared" si="5"/>
        <v>0</v>
      </c>
      <c r="G56" s="359" t="b">
        <f t="shared" si="3"/>
        <v>0</v>
      </c>
    </row>
    <row r="57" spans="1:7" ht="13.5" thickBot="1">
      <c r="A57" s="369"/>
      <c r="B57" s="354">
        <f t="shared" si="4"/>
        <v>0</v>
      </c>
      <c r="C57" s="370"/>
      <c r="D57" s="371"/>
      <c r="E57" s="372"/>
      <c r="F57" s="358">
        <f t="shared" si="5"/>
        <v>0</v>
      </c>
      <c r="G57" s="359" t="b">
        <f t="shared" si="3"/>
        <v>0</v>
      </c>
    </row>
    <row r="58" spans="1:7">
      <c r="A58" s="374"/>
      <c r="B58" s="354">
        <f t="shared" si="4"/>
        <v>0</v>
      </c>
      <c r="C58" s="375"/>
      <c r="D58" s="403"/>
      <c r="E58" s="377"/>
      <c r="F58" s="358">
        <f t="shared" si="5"/>
        <v>0</v>
      </c>
      <c r="G58" s="359" t="b">
        <f t="shared" si="3"/>
        <v>0</v>
      </c>
    </row>
    <row r="59" spans="1:7">
      <c r="A59" s="348"/>
      <c r="B59" s="354">
        <f t="shared" si="4"/>
        <v>0</v>
      </c>
      <c r="C59" s="355"/>
      <c r="D59" s="356"/>
      <c r="E59" s="357"/>
      <c r="F59" s="358">
        <f t="shared" si="5"/>
        <v>0</v>
      </c>
      <c r="G59" s="359" t="b">
        <f t="shared" si="3"/>
        <v>0</v>
      </c>
    </row>
    <row r="60" spans="1:7">
      <c r="A60" s="348"/>
      <c r="B60" s="354">
        <f t="shared" si="4"/>
        <v>0</v>
      </c>
      <c r="C60" s="355"/>
      <c r="D60" s="356"/>
      <c r="E60" s="357"/>
      <c r="F60" s="358">
        <f t="shared" si="5"/>
        <v>0</v>
      </c>
      <c r="G60" s="359" t="b">
        <f t="shared" si="3"/>
        <v>0</v>
      </c>
    </row>
    <row r="61" spans="1:7">
      <c r="A61" s="348"/>
      <c r="B61" s="354">
        <f t="shared" si="4"/>
        <v>0</v>
      </c>
      <c r="C61" s="355"/>
      <c r="D61" s="356"/>
      <c r="E61" s="357"/>
      <c r="F61" s="358">
        <f t="shared" si="5"/>
        <v>0</v>
      </c>
      <c r="G61" s="359" t="b">
        <f t="shared" si="3"/>
        <v>0</v>
      </c>
    </row>
    <row r="62" spans="1:7">
      <c r="A62" s="348"/>
      <c r="B62" s="354">
        <f t="shared" si="4"/>
        <v>0</v>
      </c>
      <c r="C62" s="355"/>
      <c r="D62" s="356"/>
      <c r="E62" s="357"/>
      <c r="F62" s="358">
        <f t="shared" si="5"/>
        <v>0</v>
      </c>
      <c r="G62" s="359" t="b">
        <f t="shared" si="3"/>
        <v>0</v>
      </c>
    </row>
    <row r="63" spans="1:7">
      <c r="A63" s="348"/>
      <c r="B63" s="354">
        <f t="shared" si="4"/>
        <v>0</v>
      </c>
      <c r="C63" s="355"/>
      <c r="D63" s="356"/>
      <c r="E63" s="357"/>
      <c r="F63" s="358">
        <f t="shared" si="5"/>
        <v>0</v>
      </c>
      <c r="G63" s="359" t="b">
        <f t="shared" si="3"/>
        <v>0</v>
      </c>
    </row>
    <row r="64" spans="1:7">
      <c r="A64" s="348"/>
      <c r="B64" s="354">
        <f t="shared" si="4"/>
        <v>0</v>
      </c>
      <c r="C64" s="355"/>
      <c r="D64" s="356"/>
      <c r="E64" s="357"/>
      <c r="F64" s="358">
        <f t="shared" si="5"/>
        <v>0</v>
      </c>
      <c r="G64" s="359" t="b">
        <f t="shared" si="3"/>
        <v>0</v>
      </c>
    </row>
    <row r="65" spans="1:7">
      <c r="A65" s="348"/>
      <c r="B65" s="354">
        <f t="shared" si="4"/>
        <v>0</v>
      </c>
      <c r="C65" s="355"/>
      <c r="D65" s="356"/>
      <c r="E65" s="357"/>
      <c r="F65" s="358">
        <f t="shared" si="5"/>
        <v>0</v>
      </c>
      <c r="G65" s="359" t="b">
        <f t="shared" si="3"/>
        <v>0</v>
      </c>
    </row>
    <row r="66" spans="1:7">
      <c r="A66" s="348"/>
      <c r="B66" s="354">
        <f t="shared" si="4"/>
        <v>0</v>
      </c>
      <c r="C66" s="355"/>
      <c r="D66" s="356"/>
      <c r="E66" s="357"/>
      <c r="F66" s="358">
        <f t="shared" si="5"/>
        <v>0</v>
      </c>
      <c r="G66" s="359" t="b">
        <f t="shared" si="3"/>
        <v>0</v>
      </c>
    </row>
    <row r="67" spans="1:7">
      <c r="A67" s="348"/>
      <c r="B67" s="354">
        <f t="shared" si="4"/>
        <v>0</v>
      </c>
      <c r="C67" s="355"/>
      <c r="D67" s="356"/>
      <c r="E67" s="357"/>
      <c r="F67" s="358">
        <f t="shared" si="5"/>
        <v>0</v>
      </c>
      <c r="G67" s="359" t="b">
        <f t="shared" si="3"/>
        <v>0</v>
      </c>
    </row>
    <row r="68" spans="1:7">
      <c r="A68" s="348"/>
      <c r="B68" s="354">
        <f t="shared" si="4"/>
        <v>0</v>
      </c>
      <c r="C68" s="355"/>
      <c r="D68" s="356"/>
      <c r="E68" s="357"/>
      <c r="F68" s="358">
        <f t="shared" si="5"/>
        <v>0</v>
      </c>
      <c r="G68" s="359" t="b">
        <f t="shared" si="3"/>
        <v>0</v>
      </c>
    </row>
    <row r="69" spans="1:7">
      <c r="A69" s="348"/>
      <c r="B69" s="354">
        <f t="shared" si="4"/>
        <v>0</v>
      </c>
      <c r="C69" s="355"/>
      <c r="D69" s="356"/>
      <c r="E69" s="357"/>
      <c r="F69" s="358">
        <f t="shared" si="5"/>
        <v>0</v>
      </c>
      <c r="G69" s="359" t="b">
        <f t="shared" si="3"/>
        <v>0</v>
      </c>
    </row>
    <row r="70" spans="1:7">
      <c r="A70" s="348"/>
      <c r="B70" s="354">
        <f t="shared" si="4"/>
        <v>0</v>
      </c>
      <c r="C70" s="355"/>
      <c r="D70" s="356"/>
      <c r="E70" s="357"/>
      <c r="F70" s="358">
        <f t="shared" si="5"/>
        <v>0</v>
      </c>
      <c r="G70" s="360" t="b">
        <f t="shared" si="3"/>
        <v>0</v>
      </c>
    </row>
    <row r="71" spans="1:7">
      <c r="A71" s="348"/>
      <c r="B71" s="354">
        <f t="shared" si="4"/>
        <v>0</v>
      </c>
      <c r="C71" s="355"/>
      <c r="D71" s="356"/>
      <c r="E71" s="357"/>
      <c r="F71" s="358">
        <f t="shared" si="5"/>
        <v>0</v>
      </c>
      <c r="G71" s="359" t="b">
        <f t="shared" si="3"/>
        <v>0</v>
      </c>
    </row>
    <row r="72" spans="1:7">
      <c r="A72" s="348"/>
      <c r="B72" s="354">
        <f t="shared" si="4"/>
        <v>0</v>
      </c>
      <c r="C72" s="355"/>
      <c r="D72" s="356"/>
      <c r="E72" s="357"/>
      <c r="F72" s="358">
        <f t="shared" si="5"/>
        <v>0</v>
      </c>
      <c r="G72" s="359" t="b">
        <f t="shared" si="3"/>
        <v>0</v>
      </c>
    </row>
    <row r="73" spans="1:7">
      <c r="A73" s="348"/>
      <c r="B73" s="354">
        <f t="shared" si="4"/>
        <v>0</v>
      </c>
      <c r="C73" s="355"/>
      <c r="D73" s="356"/>
      <c r="E73" s="357"/>
      <c r="F73" s="358">
        <f t="shared" si="5"/>
        <v>0</v>
      </c>
      <c r="G73" s="359" t="b">
        <f t="shared" si="3"/>
        <v>0</v>
      </c>
    </row>
    <row r="74" spans="1:7">
      <c r="A74" s="348"/>
      <c r="B74" s="354">
        <f t="shared" si="4"/>
        <v>0</v>
      </c>
      <c r="C74" s="355"/>
      <c r="D74" s="356"/>
      <c r="E74" s="357"/>
      <c r="F74" s="358">
        <f t="shared" si="5"/>
        <v>0</v>
      </c>
      <c r="G74" s="359" t="b">
        <f t="shared" si="3"/>
        <v>0</v>
      </c>
    </row>
    <row r="75" spans="1:7">
      <c r="A75" s="348"/>
      <c r="B75" s="354">
        <f t="shared" si="4"/>
        <v>0</v>
      </c>
      <c r="C75" s="355"/>
      <c r="D75" s="356"/>
      <c r="E75" s="357"/>
      <c r="F75" s="358">
        <f t="shared" si="5"/>
        <v>0</v>
      </c>
      <c r="G75" s="359" t="b">
        <f t="shared" si="3"/>
        <v>0</v>
      </c>
    </row>
    <row r="76" spans="1:7">
      <c r="A76" s="348"/>
      <c r="B76" s="354">
        <f t="shared" si="4"/>
        <v>0</v>
      </c>
      <c r="C76" s="355"/>
      <c r="D76" s="356"/>
      <c r="E76" s="357"/>
      <c r="F76" s="358">
        <f t="shared" si="5"/>
        <v>0</v>
      </c>
      <c r="G76" s="359" t="b">
        <f t="shared" si="3"/>
        <v>0</v>
      </c>
    </row>
    <row r="77" spans="1:7">
      <c r="A77" s="348"/>
      <c r="B77" s="354">
        <f t="shared" si="4"/>
        <v>0</v>
      </c>
      <c r="C77" s="355"/>
      <c r="D77" s="356"/>
      <c r="E77" s="357"/>
      <c r="F77" s="358">
        <f t="shared" si="5"/>
        <v>0</v>
      </c>
      <c r="G77" s="359" t="b">
        <f t="shared" si="3"/>
        <v>0</v>
      </c>
    </row>
    <row r="78" spans="1:7">
      <c r="A78" s="348"/>
      <c r="B78" s="354">
        <f t="shared" si="4"/>
        <v>0</v>
      </c>
      <c r="C78" s="355"/>
      <c r="D78" s="356"/>
      <c r="E78" s="357"/>
      <c r="F78" s="358">
        <f t="shared" si="5"/>
        <v>0</v>
      </c>
      <c r="G78" s="359" t="b">
        <f t="shared" si="3"/>
        <v>0</v>
      </c>
    </row>
  </sheetData>
  <mergeCells count="6">
    <mergeCell ref="B1:C1"/>
    <mergeCell ref="D1:E1"/>
    <mergeCell ref="F1:G1"/>
    <mergeCell ref="B41:C41"/>
    <mergeCell ref="D41:E41"/>
    <mergeCell ref="F41:G4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R16"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'[14]Projected Maint Practices'!Q7</f>
        <v>4913</v>
      </c>
      <c r="D6" s="264">
        <f>'[14]True Maint Practices'!Q7</f>
        <v>2573</v>
      </c>
    </row>
    <row r="7" spans="1:6" ht="15">
      <c r="B7" s="263">
        <v>2</v>
      </c>
      <c r="C7" s="264">
        <f>'[14]Projected Maint Practices'!Q8</f>
        <v>4913</v>
      </c>
      <c r="D7" s="264">
        <f>'[14]True Maint Practices'!Q8</f>
        <v>1847</v>
      </c>
    </row>
    <row r="8" spans="1:6" ht="15">
      <c r="B8" s="263">
        <v>3</v>
      </c>
      <c r="C8" s="264">
        <f>'[14]Projected Maint Practices'!Q9</f>
        <v>4913</v>
      </c>
      <c r="D8" s="264">
        <f>'[14]True Maint Practices'!Q9</f>
        <v>4160</v>
      </c>
    </row>
    <row r="9" spans="1:6" ht="15">
      <c r="B9" s="263">
        <v>4</v>
      </c>
      <c r="C9" s="264">
        <f>'[14]Projected Maint Practices'!Q10</f>
        <v>4913</v>
      </c>
      <c r="D9" s="264">
        <f>'[14]True Maint Practices'!Q10</f>
        <v>4072</v>
      </c>
    </row>
    <row r="10" spans="1:6" ht="15">
      <c r="B10" s="263">
        <v>5</v>
      </c>
      <c r="C10" s="264">
        <f>'[14]Projected Maint Practices'!Q11</f>
        <v>17239.669999999998</v>
      </c>
      <c r="D10" s="264">
        <f>'[14]True Maint Practices'!Q11</f>
        <v>2253</v>
      </c>
    </row>
    <row r="11" spans="1:6" ht="15">
      <c r="B11" s="263">
        <v>6</v>
      </c>
      <c r="C11" s="264">
        <f>'[14]Projected Maint Practices'!Q12</f>
        <v>4913</v>
      </c>
      <c r="D11" s="264">
        <f>'[14]True Maint Practices'!Q12</f>
        <v>0</v>
      </c>
    </row>
    <row r="12" spans="1:6" ht="15">
      <c r="B12" s="263">
        <v>7</v>
      </c>
      <c r="C12" s="264">
        <f>'[14]Projected Maint Practices'!Q13</f>
        <v>4913</v>
      </c>
      <c r="D12" s="264">
        <f>'[14]True Maint Practices'!Q13</f>
        <v>0</v>
      </c>
    </row>
    <row r="13" spans="1:6" ht="15">
      <c r="B13" s="263">
        <v>8</v>
      </c>
      <c r="C13" s="264">
        <f>'[14]Projected Maint Practices'!Q14</f>
        <v>4913</v>
      </c>
      <c r="D13" s="264">
        <f>'[14]True Maint Practices'!Q14</f>
        <v>0</v>
      </c>
    </row>
    <row r="14" spans="1:6" ht="15">
      <c r="B14" s="263">
        <v>9</v>
      </c>
      <c r="C14" s="264">
        <f>'[14]Projected Maint Practices'!Q15</f>
        <v>4913</v>
      </c>
      <c r="D14" s="264">
        <f>'[14]True Maint Practices'!Q15</f>
        <v>0</v>
      </c>
    </row>
    <row r="15" spans="1:6" ht="15">
      <c r="B15" s="263">
        <v>10</v>
      </c>
      <c r="C15" s="264">
        <f>'[14]Projected Maint Practices'!Q16</f>
        <v>4913</v>
      </c>
      <c r="D15" s="264">
        <f>'[14]True Maint Practices'!Q16</f>
        <v>0</v>
      </c>
    </row>
    <row r="16" spans="1:6" ht="15">
      <c r="B16" s="263">
        <v>11</v>
      </c>
      <c r="C16" s="264">
        <f>'[14]Projected Maint Practices'!Q17</f>
        <v>4913</v>
      </c>
      <c r="D16" s="264">
        <f>'[14]True Maint Practices'!Q17</f>
        <v>0</v>
      </c>
    </row>
    <row r="17" spans="2:4" ht="15">
      <c r="B17" s="263">
        <v>12</v>
      </c>
      <c r="C17" s="264">
        <f>'[14]Projected Maint Practices'!Q18</f>
        <v>4913</v>
      </c>
      <c r="D17" s="264">
        <f>'[14]True Maint Practices'!Q18</f>
        <v>0</v>
      </c>
    </row>
    <row r="18" spans="2:4" ht="15">
      <c r="B18" s="260" t="s">
        <v>1</v>
      </c>
      <c r="C18" s="264">
        <f>SUM(C6:C17)</f>
        <v>71282.67</v>
      </c>
      <c r="D18" s="264">
        <f>SUM(D6:D17)</f>
        <v>14905</v>
      </c>
    </row>
  </sheetData>
  <printOptions horizontalCentered="1" verticalCentered="1"/>
  <pageMargins left="0.5" right="0.5" top="0.75" bottom="0.75" header="0.5" footer="0.5"/>
  <pageSetup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44"/>
  <sheetViews>
    <sheetView topLeftCell="A4" zoomScaleNormal="100" workbookViewId="0">
      <selection activeCell="R15" sqref="A1:XFD1048576"/>
    </sheetView>
  </sheetViews>
  <sheetFormatPr defaultColWidth="9.140625" defaultRowHeight="16.5" customHeight="1"/>
  <cols>
    <col min="1" max="1" width="3.140625" style="1" customWidth="1"/>
    <col min="2" max="2" width="16.140625"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s="1" customFormat="1" ht="16.5" customHeight="1">
      <c r="B1" s="43"/>
      <c r="C1" s="43"/>
      <c r="D1" s="43"/>
      <c r="E1" s="43"/>
      <c r="F1" s="43"/>
      <c r="G1" s="43"/>
      <c r="H1" s="43"/>
      <c r="I1" s="43"/>
      <c r="J1" s="43"/>
      <c r="K1" s="43"/>
      <c r="L1" s="43"/>
      <c r="M1" s="43"/>
      <c r="N1" s="43"/>
      <c r="O1" s="43"/>
      <c r="P1" s="43"/>
    </row>
    <row r="2" spans="2:22" s="1" customFormat="1" ht="31.5" customHeight="1">
      <c r="B2" s="404" t="s">
        <v>1789</v>
      </c>
      <c r="C2" s="43"/>
      <c r="D2" s="43"/>
      <c r="E2" s="43"/>
      <c r="F2" s="43"/>
      <c r="G2" s="43"/>
      <c r="H2" s="43"/>
      <c r="I2" s="43"/>
      <c r="J2" s="43"/>
      <c r="K2" s="43"/>
      <c r="L2" s="43"/>
      <c r="M2" s="43"/>
      <c r="N2" s="43"/>
      <c r="O2" s="43" t="s">
        <v>233</v>
      </c>
      <c r="P2" s="43"/>
    </row>
    <row r="3" spans="2:22" s="1" customFormat="1" ht="16.5" customHeight="1">
      <c r="B3" s="43"/>
      <c r="C3" s="43"/>
      <c r="D3" s="43"/>
      <c r="E3" s="43"/>
      <c r="F3" s="43"/>
      <c r="G3" s="43"/>
      <c r="H3" s="43"/>
      <c r="I3" s="43"/>
      <c r="J3" s="43"/>
      <c r="K3" s="43"/>
      <c r="L3" s="43"/>
      <c r="M3" s="43"/>
      <c r="N3" s="43"/>
      <c r="O3" s="43"/>
      <c r="P3" s="43"/>
    </row>
    <row r="12" spans="2:22" s="1" customFormat="1" ht="16.5" customHeight="1">
      <c r="V12" s="1" t="s">
        <v>32</v>
      </c>
    </row>
    <row r="18" spans="2:16" s="1" customFormat="1"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s="1" customFormat="1" ht="16.5" customHeight="1">
      <c r="B19" s="101" t="s">
        <v>17</v>
      </c>
      <c r="C19" s="8"/>
      <c r="D19" s="8"/>
      <c r="E19" s="8"/>
      <c r="F19" s="8"/>
      <c r="G19" s="8"/>
      <c r="H19" s="8"/>
      <c r="I19" s="8"/>
      <c r="J19" s="8">
        <v>96.87</v>
      </c>
      <c r="K19" s="8">
        <v>317.31</v>
      </c>
      <c r="L19" s="8"/>
      <c r="M19" s="30"/>
      <c r="N19" s="8"/>
      <c r="O19" s="4">
        <f t="shared" ref="O19:O38" si="0">SUM(C19:N19)</f>
        <v>414.18</v>
      </c>
      <c r="P19" s="102"/>
    </row>
    <row r="20" spans="2:16" s="1" customFormat="1" ht="16.5" customHeight="1">
      <c r="B20" s="101" t="s">
        <v>16</v>
      </c>
      <c r="C20" s="8"/>
      <c r="D20" s="8"/>
      <c r="E20" s="8"/>
      <c r="F20" s="8"/>
      <c r="G20" s="8"/>
      <c r="H20" s="8"/>
      <c r="I20" s="8">
        <v>502.06</v>
      </c>
      <c r="J20" s="8">
        <v>418.88</v>
      </c>
      <c r="K20" s="8">
        <v>502.06</v>
      </c>
      <c r="L20" s="8"/>
      <c r="M20" s="30"/>
      <c r="N20" s="8"/>
      <c r="O20" s="4">
        <f t="shared" si="0"/>
        <v>1423</v>
      </c>
      <c r="P20" s="102"/>
    </row>
    <row r="21" spans="2:16" s="1" customFormat="1" ht="16.5" customHeight="1">
      <c r="B21" s="101" t="s">
        <v>15</v>
      </c>
      <c r="C21" s="8"/>
      <c r="D21" s="8"/>
      <c r="E21" s="8"/>
      <c r="F21" s="8"/>
      <c r="G21" s="8"/>
      <c r="H21" s="8"/>
      <c r="I21" s="8"/>
      <c r="J21" s="8">
        <v>48.09</v>
      </c>
      <c r="K21" s="8">
        <v>48.09</v>
      </c>
      <c r="L21" s="8"/>
      <c r="M21" s="30"/>
      <c r="N21" s="8"/>
      <c r="O21" s="4">
        <f t="shared" si="0"/>
        <v>96.18</v>
      </c>
      <c r="P21" s="102"/>
    </row>
    <row r="22" spans="2:16" s="1" customFormat="1" ht="16.5" customHeight="1">
      <c r="B22" s="101" t="s">
        <v>14</v>
      </c>
      <c r="C22" s="8"/>
      <c r="D22" s="8"/>
      <c r="E22" s="8"/>
      <c r="F22" s="8"/>
      <c r="G22" s="8"/>
      <c r="H22" s="8"/>
      <c r="I22" s="8"/>
      <c r="J22" s="8">
        <v>85.78</v>
      </c>
      <c r="K22" s="8">
        <v>85.78</v>
      </c>
      <c r="L22" s="8"/>
      <c r="M22" s="30"/>
      <c r="N22" s="8"/>
      <c r="O22" s="4">
        <f t="shared" si="0"/>
        <v>171.56</v>
      </c>
      <c r="P22" s="102"/>
    </row>
    <row r="23" spans="2:16" s="1" customFormat="1" ht="16.5" customHeight="1">
      <c r="B23" s="101" t="s">
        <v>13</v>
      </c>
      <c r="C23" s="8"/>
      <c r="D23" s="8"/>
      <c r="E23" s="8"/>
      <c r="F23" s="8"/>
      <c r="G23" s="8"/>
      <c r="H23" s="8"/>
      <c r="I23" s="8">
        <v>128.79</v>
      </c>
      <c r="J23" s="8"/>
      <c r="K23" s="8"/>
      <c r="L23" s="8"/>
      <c r="M23" s="30"/>
      <c r="N23" s="8"/>
      <c r="O23" s="4">
        <f t="shared" si="0"/>
        <v>128.79</v>
      </c>
      <c r="P23" s="102"/>
    </row>
    <row r="24" spans="2:16" s="1" customFormat="1" ht="16.5" customHeight="1">
      <c r="B24" s="103" t="s">
        <v>12</v>
      </c>
      <c r="C24" s="8"/>
      <c r="D24" s="8"/>
      <c r="E24" s="8"/>
      <c r="F24" s="8"/>
      <c r="G24" s="8"/>
      <c r="H24" s="8"/>
      <c r="I24" s="8"/>
      <c r="J24" s="8"/>
      <c r="K24" s="8"/>
      <c r="L24" s="8"/>
      <c r="M24" s="30"/>
      <c r="N24" s="8"/>
      <c r="O24" s="4">
        <f t="shared" si="0"/>
        <v>0</v>
      </c>
      <c r="P24" s="102"/>
    </row>
    <row r="25" spans="2:16" s="1" customFormat="1" ht="16.5" customHeight="1">
      <c r="B25" s="103" t="s">
        <v>11</v>
      </c>
      <c r="C25" s="17"/>
      <c r="D25" s="17"/>
      <c r="E25" s="17"/>
      <c r="F25" s="17"/>
      <c r="G25" s="17"/>
      <c r="H25" s="17"/>
      <c r="I25" s="17"/>
      <c r="J25" s="17"/>
      <c r="K25" s="17"/>
      <c r="L25" s="17"/>
      <c r="M25" s="35"/>
      <c r="N25" s="17"/>
      <c r="O25" s="4">
        <f t="shared" si="0"/>
        <v>0</v>
      </c>
      <c r="P25" s="102"/>
    </row>
    <row r="26" spans="2:16" s="1" customFormat="1" ht="16.5" customHeight="1">
      <c r="B26" s="103" t="s">
        <v>10</v>
      </c>
      <c r="C26" s="17"/>
      <c r="D26" s="17"/>
      <c r="E26" s="17"/>
      <c r="F26" s="17"/>
      <c r="G26" s="17"/>
      <c r="H26" s="17"/>
      <c r="I26" s="17"/>
      <c r="J26" s="17"/>
      <c r="K26" s="17"/>
      <c r="L26" s="17"/>
      <c r="M26" s="35"/>
      <c r="N26" s="17"/>
      <c r="O26" s="4">
        <f t="shared" si="0"/>
        <v>0</v>
      </c>
      <c r="P26" s="102"/>
    </row>
    <row r="27" spans="2:16" s="1" customFormat="1" ht="16.5" customHeight="1">
      <c r="B27" s="103" t="s">
        <v>9</v>
      </c>
      <c r="C27" s="17"/>
      <c r="D27" s="17"/>
      <c r="E27" s="17"/>
      <c r="F27" s="17"/>
      <c r="G27" s="17"/>
      <c r="H27" s="17"/>
      <c r="I27" s="17"/>
      <c r="J27" s="17"/>
      <c r="K27" s="17"/>
      <c r="L27" s="17"/>
      <c r="M27" s="35"/>
      <c r="N27" s="17"/>
      <c r="O27" s="4">
        <f t="shared" si="0"/>
        <v>0</v>
      </c>
      <c r="P27" s="102"/>
    </row>
    <row r="28" spans="2:16" s="1" customFormat="1" ht="16.5" hidden="1" customHeight="1">
      <c r="B28" s="103"/>
      <c r="C28" s="15"/>
      <c r="D28" s="15"/>
      <c r="E28" s="15"/>
      <c r="F28" s="15"/>
      <c r="G28" s="15"/>
      <c r="H28" s="15"/>
      <c r="I28" s="15"/>
      <c r="J28" s="15"/>
      <c r="K28" s="15"/>
      <c r="L28" s="15"/>
      <c r="M28" s="16"/>
      <c r="N28" s="15"/>
      <c r="O28" s="4">
        <f t="shared" si="0"/>
        <v>0</v>
      </c>
      <c r="P28" s="102"/>
    </row>
    <row r="29" spans="2:16" s="1" customFormat="1" ht="16.5" hidden="1" customHeight="1">
      <c r="B29" s="103"/>
      <c r="C29" s="15"/>
      <c r="D29" s="15"/>
      <c r="E29" s="15"/>
      <c r="F29" s="15"/>
      <c r="G29" s="15"/>
      <c r="H29" s="15"/>
      <c r="I29" s="15"/>
      <c r="J29" s="15"/>
      <c r="K29" s="15"/>
      <c r="L29" s="15"/>
      <c r="M29" s="16"/>
      <c r="N29" s="15"/>
      <c r="O29" s="4">
        <f t="shared" si="0"/>
        <v>0</v>
      </c>
      <c r="P29" s="102"/>
    </row>
    <row r="30" spans="2:16" s="1" customFormat="1" ht="16.5" hidden="1" customHeight="1">
      <c r="B30" s="103"/>
      <c r="C30" s="15"/>
      <c r="D30" s="15"/>
      <c r="E30" s="15"/>
      <c r="F30" s="15"/>
      <c r="G30" s="15"/>
      <c r="H30" s="15"/>
      <c r="I30" s="15"/>
      <c r="J30" s="15"/>
      <c r="K30" s="15"/>
      <c r="L30" s="15"/>
      <c r="M30" s="16"/>
      <c r="N30" s="15"/>
      <c r="O30" s="4">
        <f t="shared" si="0"/>
        <v>0</v>
      </c>
      <c r="P30" s="102"/>
    </row>
    <row r="31" spans="2:16" s="1" customFormat="1" ht="16.5" hidden="1" customHeight="1">
      <c r="B31" s="103"/>
      <c r="C31" s="15"/>
      <c r="D31" s="15"/>
      <c r="E31" s="15"/>
      <c r="F31" s="15"/>
      <c r="G31" s="15"/>
      <c r="H31" s="15"/>
      <c r="I31" s="15"/>
      <c r="J31" s="15"/>
      <c r="K31" s="15"/>
      <c r="L31" s="15"/>
      <c r="M31" s="16"/>
      <c r="N31" s="15"/>
      <c r="O31" s="4">
        <f t="shared" si="0"/>
        <v>0</v>
      </c>
      <c r="P31" s="102"/>
    </row>
    <row r="32" spans="2:16" s="1" customFormat="1" ht="16.5" customHeight="1">
      <c r="B32" s="103" t="s">
        <v>8</v>
      </c>
      <c r="C32" s="4"/>
      <c r="D32" s="4"/>
      <c r="E32" s="4"/>
      <c r="F32" s="4"/>
      <c r="G32" s="4"/>
      <c r="H32" s="4"/>
      <c r="I32" s="4"/>
      <c r="J32" s="4"/>
      <c r="K32" s="4"/>
      <c r="L32" s="4"/>
      <c r="M32" s="33"/>
      <c r="N32" s="4"/>
      <c r="O32" s="4">
        <f t="shared" si="0"/>
        <v>0</v>
      </c>
      <c r="P32" s="102"/>
    </row>
    <row r="33" spans="2:16" s="1" customFormat="1" ht="16.5" customHeight="1">
      <c r="B33" s="103" t="s">
        <v>7</v>
      </c>
      <c r="C33" s="12"/>
      <c r="D33" s="12"/>
      <c r="E33" s="12"/>
      <c r="F33" s="12"/>
      <c r="G33" s="12"/>
      <c r="H33" s="12"/>
      <c r="I33" s="12"/>
      <c r="J33" s="12"/>
      <c r="K33" s="12"/>
      <c r="L33" s="12"/>
      <c r="M33" s="32"/>
      <c r="N33" s="12"/>
      <c r="O33" s="4">
        <f t="shared" si="0"/>
        <v>0</v>
      </c>
      <c r="P33" s="102"/>
    </row>
    <row r="34" spans="2:16" s="1" customFormat="1" ht="16.5" customHeight="1">
      <c r="B34" s="103" t="s">
        <v>6</v>
      </c>
      <c r="C34" s="41"/>
      <c r="D34" s="41"/>
      <c r="E34" s="41"/>
      <c r="F34" s="41"/>
      <c r="G34" s="41"/>
      <c r="H34" s="41"/>
      <c r="I34" s="41"/>
      <c r="J34" s="41"/>
      <c r="K34" s="41"/>
      <c r="L34" s="41"/>
      <c r="M34" s="42"/>
      <c r="N34" s="41"/>
      <c r="O34" s="4">
        <f t="shared" si="0"/>
        <v>0</v>
      </c>
      <c r="P34" s="102"/>
    </row>
    <row r="35" spans="2:16" s="1" customFormat="1" ht="16.5" customHeight="1">
      <c r="B35" s="103" t="s">
        <v>5</v>
      </c>
      <c r="C35" s="8"/>
      <c r="D35" s="8"/>
      <c r="E35" s="8"/>
      <c r="F35" s="8"/>
      <c r="G35" s="8"/>
      <c r="H35" s="8"/>
      <c r="I35" s="8">
        <v>7.83</v>
      </c>
      <c r="J35" s="8"/>
      <c r="K35" s="8">
        <v>15.66</v>
      </c>
      <c r="L35" s="8"/>
      <c r="M35" s="30"/>
      <c r="N35" s="8"/>
      <c r="O35" s="4">
        <f t="shared" si="0"/>
        <v>23.490000000000002</v>
      </c>
      <c r="P35" s="102"/>
    </row>
    <row r="36" spans="2:16" s="1" customFormat="1" ht="16.5" customHeight="1">
      <c r="B36" s="103" t="s">
        <v>171</v>
      </c>
      <c r="C36" s="8"/>
      <c r="D36" s="8"/>
      <c r="E36" s="8"/>
      <c r="F36" s="8"/>
      <c r="G36" s="8"/>
      <c r="H36" s="8"/>
      <c r="I36" s="8"/>
      <c r="J36" s="8"/>
      <c r="K36" s="8">
        <v>27.1</v>
      </c>
      <c r="L36" s="8"/>
      <c r="M36" s="30"/>
      <c r="N36" s="8"/>
      <c r="O36" s="4">
        <f t="shared" si="0"/>
        <v>27.1</v>
      </c>
      <c r="P36" s="102"/>
    </row>
    <row r="37" spans="2:16" s="1" customFormat="1" ht="16.5" customHeight="1">
      <c r="B37" s="103" t="s">
        <v>3</v>
      </c>
      <c r="C37" s="8"/>
      <c r="D37" s="8"/>
      <c r="E37" s="8"/>
      <c r="F37" s="8"/>
      <c r="G37" s="8"/>
      <c r="H37" s="8"/>
      <c r="I37" s="8">
        <v>439.99</v>
      </c>
      <c r="J37" s="8">
        <v>176.33</v>
      </c>
      <c r="K37" s="8">
        <v>33.950000000000003</v>
      </c>
      <c r="L37" s="8"/>
      <c r="M37" s="30"/>
      <c r="N37" s="8"/>
      <c r="O37" s="4">
        <f t="shared" si="0"/>
        <v>650.2700000000001</v>
      </c>
      <c r="P37" s="102"/>
    </row>
    <row r="38" spans="2:16" s="1" customFormat="1" ht="16.5" customHeight="1">
      <c r="B38" s="103" t="s">
        <v>2</v>
      </c>
      <c r="C38" s="5"/>
      <c r="D38" s="5"/>
      <c r="E38" s="5"/>
      <c r="F38" s="5"/>
      <c r="G38" s="5"/>
      <c r="H38" s="5"/>
      <c r="I38" s="5">
        <v>240</v>
      </c>
      <c r="J38" s="5">
        <v>150</v>
      </c>
      <c r="K38" s="5">
        <v>100</v>
      </c>
      <c r="L38" s="5"/>
      <c r="M38" s="29"/>
      <c r="N38" s="5"/>
      <c r="O38" s="4">
        <f t="shared" si="0"/>
        <v>490</v>
      </c>
      <c r="P38" s="102"/>
    </row>
    <row r="39" spans="2:16" s="1" customFormat="1" ht="16.5" customHeight="1">
      <c r="B39" s="101" t="s">
        <v>1</v>
      </c>
      <c r="C39" s="104">
        <f>SUBTOTAL(109,ExpenseSummary110[Jan])</f>
        <v>0</v>
      </c>
      <c r="D39" s="105">
        <f>SUBTOTAL(109,ExpenseSummary110[Feb])</f>
        <v>0</v>
      </c>
      <c r="E39" s="104">
        <f>SUBTOTAL(109,ExpenseSummary110[Mar])</f>
        <v>0</v>
      </c>
      <c r="F39" s="105">
        <f>SUBTOTAL(109,ExpenseSummary110[Apr])</f>
        <v>0</v>
      </c>
      <c r="G39" s="104">
        <f>SUBTOTAL(109,ExpenseSummary110[May])</f>
        <v>0</v>
      </c>
      <c r="H39" s="105">
        <f>SUBTOTAL(109,ExpenseSummary110[Jun])</f>
        <v>0</v>
      </c>
      <c r="I39" s="104">
        <f>SUBTOTAL(109,ExpenseSummary110[Jul])</f>
        <v>1318.67</v>
      </c>
      <c r="J39" s="105">
        <f>SUBTOTAL(109,ExpenseSummary110[Aug])</f>
        <v>975.95</v>
      </c>
      <c r="K39" s="104">
        <f>SUBTOTAL(109,ExpenseSummary110[Sep])</f>
        <v>1129.95</v>
      </c>
      <c r="L39" s="105">
        <f>SUBTOTAL(109,ExpenseSummary110[Oct])</f>
        <v>0</v>
      </c>
      <c r="M39" s="267">
        <f>SUBTOTAL(109,ExpenseSummary110[Nov])</f>
        <v>0</v>
      </c>
      <c r="N39" s="105">
        <f>SUBTOTAL(109,ExpenseSummary110[Dec])</f>
        <v>0</v>
      </c>
      <c r="O39" s="106">
        <f>SUBTOTAL(109,ExpenseSummary110[Total])</f>
        <v>3424.5699999999997</v>
      </c>
      <c r="P39" s="102"/>
    </row>
    <row r="40" spans="2:16" s="1" customFormat="1" ht="16.5" customHeight="1">
      <c r="B40" s="28"/>
      <c r="C40" s="28"/>
    </row>
    <row r="42" spans="2:16" s="1" customFormat="1" ht="16.5" customHeight="1">
      <c r="B42" s="510"/>
      <c r="C42" s="510"/>
    </row>
    <row r="43" spans="2:16" s="1" customFormat="1" ht="16.5" customHeight="1">
      <c r="B43" s="510"/>
      <c r="C43" s="510"/>
    </row>
    <row r="44" spans="2:16" s="1" customFormat="1" ht="16.5" customHeight="1">
      <c r="B44" s="510"/>
      <c r="C44" s="510"/>
    </row>
  </sheetData>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markers="1" last="1">
          <x14:colorSeries rgb="FF323232"/>
          <x14:colorNegative rgb="FFD00000"/>
          <x14:colorAxis rgb="FF000000"/>
          <x14:colorMarkers rgb="FFD00000"/>
          <x14:colorFirst rgb="FFD00000"/>
          <x14:colorLast rgb="FFD00000"/>
          <x14:colorHigh rgb="FFD00000"/>
          <x14:colorLow rgb="FFD00000"/>
          <x14:sparklines>
            <x14:sparkline>
              <xm:f>'Bus 307 summary'!C19:N19</xm:f>
              <xm:sqref>P19</xm:sqref>
            </x14:sparkline>
            <x14:sparkline>
              <xm:f>'Bus 307 summary'!C20:N20</xm:f>
              <xm:sqref>P20</xm:sqref>
            </x14:sparkline>
            <x14:sparkline>
              <xm:f>'Bus 307 summary'!C21:N21</xm:f>
              <xm:sqref>P21</xm:sqref>
            </x14:sparkline>
            <x14:sparkline>
              <xm:f>'Bus 307 summary'!C22:N22</xm:f>
              <xm:sqref>P22</xm:sqref>
            </x14:sparkline>
            <x14:sparkline>
              <xm:f>'Bus 307 summary'!C23:N23</xm:f>
              <xm:sqref>P23</xm:sqref>
            </x14:sparkline>
            <x14:sparkline>
              <xm:f>'Bus 307 summary'!C24:N24</xm:f>
              <xm:sqref>P24</xm:sqref>
            </x14:sparkline>
            <x14:sparkline>
              <xm:f>'Bus 307 summary'!C25:N25</xm:f>
              <xm:sqref>P25</xm:sqref>
            </x14:sparkline>
            <x14:sparkline>
              <xm:f>'Bus 307 summary'!C26:N26</xm:f>
              <xm:sqref>P26</xm:sqref>
            </x14:sparkline>
            <x14:sparkline>
              <xm:f>'Bus 307 summary'!C27:N27</xm:f>
              <xm:sqref>P27</xm:sqref>
            </x14:sparkline>
            <x14:sparkline>
              <xm:f>'Bus 307 summary'!C28:N28</xm:f>
              <xm:sqref>P28</xm:sqref>
            </x14:sparkline>
            <x14:sparkline>
              <xm:f>'Bus 307 summary'!C29:N29</xm:f>
              <xm:sqref>P29</xm:sqref>
            </x14:sparkline>
            <x14:sparkline>
              <xm:f>'Bus 307 summary'!C30:N30</xm:f>
              <xm:sqref>P30</xm:sqref>
            </x14:sparkline>
            <x14:sparkline>
              <xm:f>'Bus 307 summary'!C31:N31</xm:f>
              <xm:sqref>P31</xm:sqref>
            </x14:sparkline>
            <x14:sparkline>
              <xm:f>'Bus 307 summary'!C32:N32</xm:f>
              <xm:sqref>P32</xm:sqref>
            </x14:sparkline>
            <x14:sparkline>
              <xm:f>'Bus 307 summary'!C33:N33</xm:f>
              <xm:sqref>P33</xm:sqref>
            </x14:sparkline>
            <x14:sparkline>
              <xm:f>'Bus 307 summary'!C34:N34</xm:f>
              <xm:sqref>P34</xm:sqref>
            </x14:sparkline>
            <x14:sparkline>
              <xm:f>'Bus 307 summary'!C35:N35</xm:f>
              <xm:sqref>P35</xm:sqref>
            </x14:sparkline>
            <x14:sparkline>
              <xm:f>'Bus 307 summary'!C36:N36</xm:f>
              <xm:sqref>P36</xm:sqref>
            </x14:sparkline>
            <x14:sparkline>
              <xm:f>'Bus 307 summary'!C37:N37</xm:f>
              <xm:sqref>P37</xm:sqref>
            </x14:sparkline>
            <x14:sparkline>
              <xm:f>'Bus 307 summary'!C38:N38</xm:f>
              <xm:sqref>P38</xm:sqref>
            </x14:sparkline>
          </x14:sparklines>
        </x14:sparklineGroup>
        <x14:sparklineGroup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307 summary'!C39:N39</xm:f>
              <xm:sqref>P39</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230"/>
  <sheetViews>
    <sheetView showGridLines="0" zoomScale="115" zoomScaleNormal="115" workbookViewId="0">
      <selection activeCell="E71" sqref="E71"/>
    </sheetView>
  </sheetViews>
  <sheetFormatPr defaultColWidth="9.140625" defaultRowHeight="16.5" customHeight="1"/>
  <cols>
    <col min="1" max="1" width="3.140625" style="1" customWidth="1"/>
    <col min="2" max="4" width="12.28515625" style="1" customWidth="1"/>
    <col min="5" max="5" width="15.7109375" style="1" customWidth="1"/>
    <col min="6" max="6" width="40.7109375"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46</v>
      </c>
      <c r="G4" s="185" t="s">
        <v>45</v>
      </c>
    </row>
    <row r="5" spans="2:8" s="1" customFormat="1" ht="16.5" customHeight="1">
      <c r="B5" s="187">
        <v>42937</v>
      </c>
      <c r="C5" s="188">
        <v>10649</v>
      </c>
      <c r="D5" s="8">
        <v>2.87</v>
      </c>
      <c r="E5" s="188" t="s">
        <v>17</v>
      </c>
      <c r="F5" s="188" t="s">
        <v>44</v>
      </c>
      <c r="G5" s="188" t="s">
        <v>43</v>
      </c>
    </row>
    <row r="6" spans="2:8" s="1" customFormat="1" ht="16.5" customHeight="1">
      <c r="B6" s="187">
        <v>42937</v>
      </c>
      <c r="C6" s="188">
        <v>10649</v>
      </c>
      <c r="D6" s="8">
        <v>62.48</v>
      </c>
      <c r="E6" s="188" t="s">
        <v>17</v>
      </c>
      <c r="F6" s="188" t="s">
        <v>42</v>
      </c>
      <c r="G6" s="188" t="s">
        <v>41</v>
      </c>
    </row>
    <row r="7" spans="2:8" s="1" customFormat="1" ht="16.5" customHeight="1">
      <c r="B7" s="187">
        <v>42937</v>
      </c>
      <c r="C7" s="188">
        <v>10649</v>
      </c>
      <c r="D7" s="8">
        <v>73.3</v>
      </c>
      <c r="E7" s="188" t="s">
        <v>17</v>
      </c>
      <c r="F7" s="188" t="s">
        <v>40</v>
      </c>
      <c r="G7" s="188" t="s">
        <v>39</v>
      </c>
    </row>
    <row r="8" spans="2:8" s="1" customFormat="1" ht="16.5" customHeight="1">
      <c r="B8" s="187">
        <v>42937</v>
      </c>
      <c r="C8" s="188">
        <v>10649</v>
      </c>
      <c r="D8" s="8">
        <v>12</v>
      </c>
      <c r="E8" s="188" t="s">
        <v>17</v>
      </c>
      <c r="F8" s="188" t="s">
        <v>38</v>
      </c>
      <c r="G8" s="188" t="s">
        <v>37</v>
      </c>
    </row>
    <row r="9" spans="2:8" s="1" customFormat="1" ht="16.5" customHeight="1">
      <c r="B9" s="187">
        <v>42937</v>
      </c>
      <c r="C9" s="188">
        <v>10649</v>
      </c>
      <c r="D9" s="8">
        <v>140</v>
      </c>
      <c r="E9" s="188" t="s">
        <v>17</v>
      </c>
      <c r="F9" s="188" t="s">
        <v>36</v>
      </c>
      <c r="G9" s="188"/>
    </row>
    <row r="10" spans="2:8" s="1" customFormat="1" ht="16.5" customHeight="1">
      <c r="B10" s="189">
        <v>42944</v>
      </c>
      <c r="C10" s="190">
        <v>10663</v>
      </c>
      <c r="D10" s="52">
        <v>17.91</v>
      </c>
      <c r="E10" s="190" t="s">
        <v>3</v>
      </c>
      <c r="F10" s="190" t="s">
        <v>35</v>
      </c>
      <c r="G10" s="191" t="s">
        <v>34</v>
      </c>
    </row>
    <row r="11" spans="2:8" s="1" customFormat="1" ht="16.5" customHeight="1">
      <c r="B11" s="189">
        <v>42944</v>
      </c>
      <c r="C11" s="190">
        <v>10663</v>
      </c>
      <c r="D11" s="52">
        <v>10</v>
      </c>
      <c r="E11" s="190" t="s">
        <v>2</v>
      </c>
      <c r="F11" s="190" t="s">
        <v>33</v>
      </c>
      <c r="G11" s="191"/>
    </row>
    <row r="12" spans="2:8" s="1" customFormat="1" ht="16.5" customHeight="1">
      <c r="B12" s="189"/>
      <c r="C12" s="190"/>
      <c r="D12" s="52"/>
      <c r="E12" s="190"/>
      <c r="F12" s="190"/>
      <c r="G12" s="191"/>
    </row>
    <row r="13" spans="2:8" s="1" customFormat="1" ht="16.5" customHeight="1">
      <c r="B13" s="189"/>
      <c r="C13" s="190"/>
      <c r="D13" s="52"/>
      <c r="E13" s="190"/>
      <c r="F13" s="190"/>
      <c r="G13" s="191"/>
    </row>
    <row r="14" spans="2:8" s="1" customFormat="1" ht="16.5" customHeight="1">
      <c r="B14" s="189"/>
      <c r="C14" s="190"/>
      <c r="D14" s="52"/>
      <c r="E14" s="190"/>
      <c r="F14" s="190"/>
      <c r="G14" s="191"/>
    </row>
    <row r="15" spans="2:8" s="1" customFormat="1" ht="16.5" customHeight="1">
      <c r="B15" s="189"/>
      <c r="C15" s="190"/>
      <c r="D15" s="52"/>
      <c r="E15" s="190"/>
      <c r="F15" s="190"/>
      <c r="G15" s="191"/>
    </row>
    <row r="16" spans="2:8" s="1" customFormat="1" ht="16.5" customHeight="1">
      <c r="B16" s="189"/>
      <c r="C16" s="190"/>
      <c r="D16" s="52"/>
      <c r="E16" s="190"/>
      <c r="F16" s="190"/>
      <c r="G16" s="191"/>
    </row>
    <row r="17" spans="2:7" s="1" customFormat="1" ht="16.5" customHeight="1">
      <c r="B17" s="192" t="s">
        <v>1</v>
      </c>
      <c r="C17" s="193"/>
      <c r="D17" s="194">
        <f>SUBTOTAL(109,ExpJul[Amount])</f>
        <v>318.56</v>
      </c>
      <c r="E17" s="193"/>
      <c r="F17" s="193"/>
      <c r="G17" s="192"/>
    </row>
    <row r="18" spans="2:7" s="1" customFormat="1" ht="24" customHeight="1">
      <c r="B18" s="195"/>
      <c r="C18" s="196"/>
      <c r="D18" s="197"/>
      <c r="E18" s="196"/>
      <c r="F18" s="196"/>
      <c r="G18" s="196"/>
    </row>
    <row r="19" spans="2:7" s="1" customFormat="1" ht="25.5" customHeight="1">
      <c r="B19" s="184" t="s">
        <v>52</v>
      </c>
    </row>
    <row r="20" spans="2:7" s="1" customFormat="1" ht="16.5" customHeight="1"/>
    <row r="21" spans="2:7" s="1" customFormat="1" ht="16.5" customHeight="1">
      <c r="B21" s="185" t="s">
        <v>50</v>
      </c>
      <c r="C21" s="186" t="s">
        <v>53</v>
      </c>
      <c r="D21" s="185" t="s">
        <v>48</v>
      </c>
      <c r="E21" s="186" t="s">
        <v>47</v>
      </c>
      <c r="F21" s="186" t="s">
        <v>46</v>
      </c>
      <c r="G21" s="185" t="s">
        <v>45</v>
      </c>
    </row>
    <row r="22" spans="2:7" s="1" customFormat="1" ht="16.5" customHeight="1">
      <c r="B22" s="189">
        <v>42954</v>
      </c>
      <c r="C22" s="190">
        <v>10695</v>
      </c>
      <c r="D22" s="52">
        <v>7.83</v>
      </c>
      <c r="E22" s="190" t="s">
        <v>5</v>
      </c>
      <c r="F22" s="190" t="s">
        <v>54</v>
      </c>
      <c r="G22" s="191" t="s">
        <v>55</v>
      </c>
    </row>
    <row r="23" spans="2:7" s="1" customFormat="1" ht="16.5" customHeight="1">
      <c r="B23" s="189">
        <v>42954</v>
      </c>
      <c r="C23" s="190">
        <v>10695</v>
      </c>
      <c r="D23" s="52">
        <v>10</v>
      </c>
      <c r="E23" s="190" t="s">
        <v>3</v>
      </c>
      <c r="F23" s="190" t="s">
        <v>33</v>
      </c>
      <c r="G23" s="191"/>
    </row>
    <row r="24" spans="2:7" s="1" customFormat="1" ht="16.5" customHeight="1">
      <c r="B24" s="189"/>
      <c r="C24" s="190"/>
      <c r="D24" s="52"/>
      <c r="E24" s="190"/>
      <c r="F24" s="190"/>
      <c r="G24" s="191"/>
    </row>
    <row r="25" spans="2:7" s="1" customFormat="1" ht="16.5" customHeight="1">
      <c r="B25" s="189"/>
      <c r="C25" s="190"/>
      <c r="D25" s="52"/>
      <c r="E25" s="190"/>
      <c r="F25" s="190"/>
      <c r="G25" s="191"/>
    </row>
    <row r="26" spans="2:7" s="1" customFormat="1" ht="16.5" customHeight="1">
      <c r="B26" s="189"/>
      <c r="C26" s="190"/>
      <c r="D26" s="52"/>
      <c r="E26" s="190"/>
      <c r="F26" s="190"/>
      <c r="G26" s="191"/>
    </row>
    <row r="27" spans="2:7" s="1" customFormat="1" ht="16.5" customHeight="1">
      <c r="B27" s="189"/>
      <c r="C27" s="190"/>
      <c r="D27" s="52"/>
      <c r="E27" s="190"/>
      <c r="F27" s="190"/>
      <c r="G27" s="191"/>
    </row>
    <row r="28" spans="2:7" s="1" customFormat="1" ht="16.5" customHeight="1">
      <c r="B28" s="189"/>
      <c r="C28" s="190"/>
      <c r="D28" s="52"/>
      <c r="E28" s="190"/>
      <c r="F28" s="190"/>
      <c r="G28" s="191"/>
    </row>
    <row r="29" spans="2:7" s="1" customFormat="1" ht="16.5" customHeight="1">
      <c r="B29" s="189"/>
      <c r="C29" s="190"/>
      <c r="D29" s="52"/>
      <c r="E29" s="190"/>
      <c r="F29" s="190"/>
      <c r="G29" s="191"/>
    </row>
    <row r="30" spans="2:7" s="1" customFormat="1" ht="16.5" customHeight="1">
      <c r="B30" s="189"/>
      <c r="C30" s="190"/>
      <c r="D30" s="52"/>
      <c r="E30" s="190"/>
      <c r="F30" s="190"/>
      <c r="G30" s="191"/>
    </row>
    <row r="31" spans="2:7" s="1" customFormat="1" ht="16.5" customHeight="1">
      <c r="B31" s="189"/>
      <c r="C31" s="190"/>
      <c r="D31" s="52"/>
      <c r="E31" s="190"/>
      <c r="F31" s="190"/>
      <c r="G31" s="191"/>
    </row>
    <row r="32" spans="2:7" s="1" customFormat="1" ht="16.5" customHeight="1">
      <c r="B32" s="189"/>
      <c r="C32" s="190"/>
      <c r="D32" s="52"/>
      <c r="E32" s="190"/>
      <c r="F32" s="190"/>
      <c r="G32" s="191"/>
    </row>
    <row r="33" spans="2:7" s="1" customFormat="1" ht="16.5" customHeight="1">
      <c r="B33" s="189"/>
      <c r="C33" s="190"/>
      <c r="D33" s="52"/>
      <c r="E33" s="190"/>
      <c r="F33" s="190"/>
      <c r="G33" s="191"/>
    </row>
    <row r="34" spans="2:7" s="1" customFormat="1" ht="16.5" customHeight="1">
      <c r="B34" s="189"/>
      <c r="C34" s="190"/>
      <c r="D34" s="52"/>
      <c r="E34" s="190"/>
      <c r="F34" s="190"/>
      <c r="G34" s="191"/>
    </row>
    <row r="35" spans="2:7" s="1" customFormat="1" ht="16.5" customHeight="1">
      <c r="B35" s="189"/>
      <c r="C35" s="190"/>
      <c r="D35" s="52"/>
      <c r="E35" s="190"/>
      <c r="F35" s="190"/>
      <c r="G35" s="191"/>
    </row>
    <row r="36" spans="2:7" s="1" customFormat="1" ht="16.5" customHeight="1">
      <c r="B36" s="189"/>
      <c r="C36" s="190"/>
      <c r="D36" s="52"/>
      <c r="E36" s="190"/>
      <c r="F36" s="190"/>
      <c r="G36" s="191"/>
    </row>
    <row r="37" spans="2:7" s="1" customFormat="1" ht="16.5" customHeight="1">
      <c r="B37" s="189"/>
      <c r="C37" s="190"/>
      <c r="D37" s="52"/>
      <c r="E37" s="190"/>
      <c r="F37" s="190"/>
      <c r="G37" s="191"/>
    </row>
    <row r="38" spans="2:7" s="1" customFormat="1" ht="16.5" customHeight="1">
      <c r="B38" s="198"/>
      <c r="C38" s="199"/>
      <c r="D38" s="200"/>
      <c r="E38" s="199"/>
      <c r="F38" s="199"/>
      <c r="G38" s="201"/>
    </row>
    <row r="39" spans="2:7" s="1" customFormat="1" ht="16.5" customHeight="1">
      <c r="B39" s="202" t="s">
        <v>1</v>
      </c>
      <c r="C39" s="203"/>
      <c r="D39" s="204">
        <f>SUBTOTAL(109,ExpAug9[Amount])</f>
        <v>17.829999999999998</v>
      </c>
      <c r="E39" s="203"/>
      <c r="F39" s="203"/>
      <c r="G39" s="202"/>
    </row>
    <row r="41" spans="2:7" s="1" customFormat="1" ht="27" customHeight="1">
      <c r="B41" s="205" t="s">
        <v>56</v>
      </c>
      <c r="C41" s="117"/>
      <c r="D41" s="117"/>
      <c r="E41" s="117"/>
      <c r="F41" s="117"/>
      <c r="G41" s="117"/>
    </row>
    <row r="42" spans="2:7" s="1" customFormat="1" ht="16.5" customHeight="1">
      <c r="B42" s="117"/>
      <c r="C42" s="117"/>
      <c r="D42" s="117"/>
      <c r="E42" s="117"/>
      <c r="F42" s="117"/>
      <c r="G42" s="117"/>
    </row>
    <row r="43" spans="2:7" s="1" customFormat="1" ht="16.5" customHeight="1">
      <c r="B43" s="206" t="s">
        <v>50</v>
      </c>
      <c r="C43" s="207" t="s">
        <v>53</v>
      </c>
      <c r="D43" s="206" t="s">
        <v>48</v>
      </c>
      <c r="E43" s="207" t="s">
        <v>47</v>
      </c>
      <c r="F43" s="207" t="s">
        <v>46</v>
      </c>
      <c r="G43" s="206" t="s">
        <v>45</v>
      </c>
    </row>
    <row r="44" spans="2:7" s="1" customFormat="1" ht="16.5" customHeight="1">
      <c r="B44" s="208">
        <v>42987</v>
      </c>
      <c r="C44" s="209">
        <v>10783</v>
      </c>
      <c r="D44" s="210">
        <v>2.87</v>
      </c>
      <c r="E44" s="209" t="s">
        <v>17</v>
      </c>
      <c r="F44" s="209" t="s">
        <v>57</v>
      </c>
      <c r="G44" s="209" t="s">
        <v>58</v>
      </c>
    </row>
    <row r="45" spans="2:7" s="1" customFormat="1" ht="16.5" customHeight="1">
      <c r="B45" s="208">
        <v>42987</v>
      </c>
      <c r="C45" s="209">
        <v>10783</v>
      </c>
      <c r="D45" s="210">
        <v>7.99</v>
      </c>
      <c r="E45" s="209" t="s">
        <v>17</v>
      </c>
      <c r="F45" s="209" t="s">
        <v>59</v>
      </c>
      <c r="G45" s="209" t="s">
        <v>60</v>
      </c>
    </row>
    <row r="46" spans="2:7" s="1" customFormat="1" ht="16.5" customHeight="1">
      <c r="B46" s="208">
        <v>42987</v>
      </c>
      <c r="C46" s="209">
        <v>10783</v>
      </c>
      <c r="D46" s="210">
        <v>235</v>
      </c>
      <c r="E46" s="209" t="s">
        <v>17</v>
      </c>
      <c r="F46" s="209" t="s">
        <v>61</v>
      </c>
      <c r="G46" s="209" t="s">
        <v>62</v>
      </c>
    </row>
    <row r="47" spans="2:7" s="1" customFormat="1" ht="16.5" customHeight="1">
      <c r="B47" s="208">
        <v>42987</v>
      </c>
      <c r="C47" s="209">
        <v>10783</v>
      </c>
      <c r="D47" s="210">
        <v>68.599999999999994</v>
      </c>
      <c r="E47" s="209" t="s">
        <v>17</v>
      </c>
      <c r="F47" s="209" t="s">
        <v>63</v>
      </c>
      <c r="G47" s="209" t="s">
        <v>64</v>
      </c>
    </row>
    <row r="48" spans="2:7" s="1" customFormat="1" ht="16.5" customHeight="1">
      <c r="B48" s="208">
        <v>42987</v>
      </c>
      <c r="C48" s="209">
        <v>10783</v>
      </c>
      <c r="D48" s="210">
        <v>7.83</v>
      </c>
      <c r="E48" s="209" t="s">
        <v>17</v>
      </c>
      <c r="F48" s="209" t="s">
        <v>65</v>
      </c>
      <c r="G48" s="209" t="s">
        <v>66</v>
      </c>
    </row>
    <row r="49" spans="2:7" s="1" customFormat="1" ht="16.5" customHeight="1">
      <c r="B49" s="208">
        <v>42987</v>
      </c>
      <c r="C49" s="209">
        <v>10783</v>
      </c>
      <c r="D49" s="210">
        <v>14</v>
      </c>
      <c r="E49" s="209" t="s">
        <v>17</v>
      </c>
      <c r="F49" s="209" t="s">
        <v>67</v>
      </c>
      <c r="G49" s="209" t="s">
        <v>68</v>
      </c>
    </row>
    <row r="50" spans="2:7" s="1" customFormat="1" ht="16.5" customHeight="1">
      <c r="B50" s="208">
        <v>42987</v>
      </c>
      <c r="C50" s="209">
        <v>10783</v>
      </c>
      <c r="D50" s="210">
        <v>160</v>
      </c>
      <c r="E50" s="209" t="s">
        <v>17</v>
      </c>
      <c r="F50" s="209" t="s">
        <v>69</v>
      </c>
      <c r="G50" s="209"/>
    </row>
    <row r="51" spans="2:7" s="1" customFormat="1" ht="16.5" customHeight="1">
      <c r="B51" s="25"/>
      <c r="C51" s="51"/>
      <c r="D51" s="211"/>
      <c r="E51" s="51"/>
      <c r="F51" s="51"/>
      <c r="G51" s="27"/>
    </row>
    <row r="52" spans="2:7" s="1" customFormat="1" ht="16.5" customHeight="1">
      <c r="B52" s="25"/>
      <c r="C52" s="51"/>
      <c r="D52" s="211"/>
      <c r="E52" s="51"/>
      <c r="F52" s="51"/>
      <c r="G52" s="27"/>
    </row>
    <row r="53" spans="2:7" s="1" customFormat="1" ht="16.5" customHeight="1">
      <c r="B53" s="25"/>
      <c r="C53" s="51"/>
      <c r="D53" s="211"/>
      <c r="E53" s="51"/>
      <c r="F53" s="51"/>
      <c r="G53" s="27"/>
    </row>
    <row r="54" spans="2:7" s="1" customFormat="1" ht="16.5" customHeight="1">
      <c r="B54" s="212" t="s">
        <v>1</v>
      </c>
      <c r="C54" s="213"/>
      <c r="D54" s="214">
        <f>SUBTOTAL(109,ExpSep11[Amount])</f>
        <v>496.29</v>
      </c>
      <c r="E54" s="213"/>
      <c r="F54" s="213"/>
      <c r="G54" s="212"/>
    </row>
    <row r="56" spans="2:7" s="1" customFormat="1" ht="25.5" customHeight="1">
      <c r="B56" s="205" t="s">
        <v>70</v>
      </c>
      <c r="C56" s="117"/>
      <c r="D56" s="117"/>
      <c r="E56" s="117"/>
      <c r="F56" s="117"/>
      <c r="G56" s="117"/>
    </row>
    <row r="57" spans="2:7" s="1" customFormat="1" ht="16.5" customHeight="1">
      <c r="B57" s="117"/>
      <c r="C57" s="117"/>
      <c r="D57" s="117"/>
      <c r="E57" s="117"/>
      <c r="F57" s="117"/>
      <c r="G57" s="117"/>
    </row>
    <row r="58" spans="2:7" s="1" customFormat="1" ht="16.5" customHeight="1">
      <c r="B58" s="206" t="s">
        <v>50</v>
      </c>
      <c r="C58" s="207" t="s">
        <v>71</v>
      </c>
      <c r="D58" s="206" t="s">
        <v>48</v>
      </c>
      <c r="E58" s="207" t="s">
        <v>47</v>
      </c>
      <c r="F58" s="207" t="s">
        <v>46</v>
      </c>
      <c r="G58" s="206" t="s">
        <v>45</v>
      </c>
    </row>
    <row r="59" spans="2:7" s="1" customFormat="1" ht="16.5" customHeight="1">
      <c r="B59" s="25">
        <v>43018</v>
      </c>
      <c r="C59" s="51" t="s">
        <v>72</v>
      </c>
      <c r="D59" s="211">
        <v>12</v>
      </c>
      <c r="E59" s="51" t="s">
        <v>4</v>
      </c>
      <c r="F59" s="51" t="s">
        <v>73</v>
      </c>
      <c r="G59" s="27"/>
    </row>
    <row r="60" spans="2:7" s="1" customFormat="1" ht="16.5" customHeight="1">
      <c r="B60" s="25">
        <v>43021</v>
      </c>
      <c r="C60" s="51" t="s">
        <v>1706</v>
      </c>
      <c r="D60" s="211">
        <v>12</v>
      </c>
      <c r="E60" s="51" t="s">
        <v>4</v>
      </c>
      <c r="F60" s="51" t="s">
        <v>73</v>
      </c>
      <c r="G60" s="27"/>
    </row>
    <row r="61" spans="2:7" s="1" customFormat="1" ht="16.5" customHeight="1">
      <c r="B61" s="25">
        <v>43028</v>
      </c>
      <c r="C61" s="51">
        <v>10879</v>
      </c>
      <c r="D61" s="211">
        <v>15.66</v>
      </c>
      <c r="E61" s="51" t="s">
        <v>5</v>
      </c>
      <c r="F61" s="51" t="s">
        <v>1751</v>
      </c>
      <c r="G61" s="27" t="s">
        <v>1752</v>
      </c>
    </row>
    <row r="62" spans="2:7" s="1" customFormat="1" ht="16.5" customHeight="1">
      <c r="B62" s="25">
        <v>43028</v>
      </c>
      <c r="C62" s="51">
        <v>10879</v>
      </c>
      <c r="D62" s="211">
        <v>20</v>
      </c>
      <c r="E62" s="51" t="s">
        <v>2</v>
      </c>
      <c r="F62" s="51" t="s">
        <v>178</v>
      </c>
      <c r="G62" s="27"/>
    </row>
    <row r="63" spans="2:7" s="1" customFormat="1" ht="16.5" customHeight="1">
      <c r="B63" s="25"/>
      <c r="C63" s="51"/>
      <c r="D63" s="211"/>
      <c r="E63" s="51"/>
      <c r="F63" s="51"/>
      <c r="G63" s="27"/>
    </row>
    <row r="64" spans="2:7" s="1" customFormat="1" ht="16.5" customHeight="1">
      <c r="B64" s="25"/>
      <c r="C64" s="51"/>
      <c r="D64" s="211"/>
      <c r="E64" s="51"/>
      <c r="F64" s="51"/>
      <c r="G64" s="27"/>
    </row>
    <row r="65" spans="2:7" s="1" customFormat="1" ht="16.5" customHeight="1">
      <c r="B65" s="25"/>
      <c r="C65" s="51"/>
      <c r="D65" s="211"/>
      <c r="E65" s="51"/>
      <c r="F65" s="51"/>
      <c r="G65" s="27"/>
    </row>
    <row r="66" spans="2:7" s="1" customFormat="1" ht="16.5" customHeight="1">
      <c r="B66" s="25"/>
      <c r="C66" s="51"/>
      <c r="D66" s="211"/>
      <c r="E66" s="51"/>
      <c r="F66" s="51"/>
      <c r="G66" s="27"/>
    </row>
    <row r="67" spans="2:7" s="1" customFormat="1" ht="16.5" customHeight="1">
      <c r="B67" s="25"/>
      <c r="C67" s="51"/>
      <c r="D67" s="211"/>
      <c r="E67" s="51"/>
      <c r="F67" s="51"/>
      <c r="G67" s="27"/>
    </row>
    <row r="68" spans="2:7" s="1" customFormat="1" ht="16.5" customHeight="1">
      <c r="B68" s="25"/>
      <c r="C68" s="51"/>
      <c r="D68" s="211"/>
      <c r="E68" s="51"/>
      <c r="F68" s="51"/>
      <c r="G68" s="27"/>
    </row>
    <row r="69" spans="2:7" s="1" customFormat="1" ht="16.5" customHeight="1">
      <c r="B69" s="25"/>
      <c r="C69" s="51"/>
      <c r="D69" s="211"/>
      <c r="E69" s="51"/>
      <c r="F69" s="51"/>
      <c r="G69" s="27"/>
    </row>
    <row r="70" spans="2:7" s="1" customFormat="1" ht="16.5" customHeight="1">
      <c r="B70" s="25"/>
      <c r="C70" s="51"/>
      <c r="D70" s="211"/>
      <c r="E70" s="51"/>
      <c r="F70" s="51"/>
      <c r="G70" s="27"/>
    </row>
    <row r="71" spans="2:7" s="1" customFormat="1" ht="16.5" customHeight="1">
      <c r="B71" s="25"/>
      <c r="C71" s="51"/>
      <c r="D71" s="211"/>
      <c r="E71" s="51"/>
      <c r="F71" s="51"/>
      <c r="G71" s="27"/>
    </row>
    <row r="72" spans="2:7" s="1" customFormat="1" ht="16.5" customHeight="1">
      <c r="B72" s="25"/>
      <c r="C72" s="51"/>
      <c r="D72" s="211"/>
      <c r="E72" s="51"/>
      <c r="F72" s="51"/>
      <c r="G72" s="27"/>
    </row>
    <row r="73" spans="2:7" s="1" customFormat="1" ht="16.5" customHeight="1">
      <c r="B73" s="212" t="s">
        <v>1</v>
      </c>
      <c r="C73" s="213"/>
      <c r="D73" s="214">
        <f>SUBTOTAL(109,ExpOct[Amount])</f>
        <v>59.66</v>
      </c>
      <c r="E73" s="213"/>
      <c r="F73" s="213"/>
      <c r="G73" s="212"/>
    </row>
    <row r="75" spans="2:7" s="1" customFormat="1" ht="27.75" customHeight="1">
      <c r="B75" s="205" t="s">
        <v>159</v>
      </c>
      <c r="C75" s="117"/>
      <c r="D75" s="117"/>
      <c r="E75" s="117"/>
      <c r="F75" s="117"/>
      <c r="G75" s="117"/>
    </row>
    <row r="76" spans="2:7" s="1" customFormat="1" ht="16.5" customHeight="1">
      <c r="B76" s="117"/>
      <c r="C76" s="117"/>
      <c r="D76" s="117"/>
      <c r="E76" s="117"/>
      <c r="F76" s="117"/>
      <c r="G76" s="117"/>
    </row>
    <row r="77" spans="2:7" s="1" customFormat="1" ht="16.5" customHeight="1">
      <c r="B77" s="206" t="s">
        <v>50</v>
      </c>
      <c r="C77" s="207" t="s">
        <v>71</v>
      </c>
      <c r="D77" s="206" t="s">
        <v>48</v>
      </c>
      <c r="E77" s="207" t="s">
        <v>47</v>
      </c>
      <c r="F77" s="207" t="s">
        <v>161</v>
      </c>
      <c r="G77" s="206" t="s">
        <v>160</v>
      </c>
    </row>
    <row r="78" spans="2:7" s="1" customFormat="1" ht="16.5" customHeight="1">
      <c r="B78" s="25"/>
      <c r="C78" s="51"/>
      <c r="D78" s="211"/>
      <c r="E78" s="51"/>
      <c r="F78" s="51"/>
      <c r="G78" s="27"/>
    </row>
    <row r="79" spans="2:7" s="1" customFormat="1" ht="16.5" customHeight="1">
      <c r="B79" s="25"/>
      <c r="C79" s="51"/>
      <c r="D79" s="211"/>
      <c r="E79" s="51"/>
      <c r="F79" s="51"/>
      <c r="G79" s="27"/>
    </row>
    <row r="80" spans="2:7" s="1" customFormat="1" ht="16.5" customHeight="1">
      <c r="B80" s="25"/>
      <c r="C80" s="51"/>
      <c r="D80" s="211"/>
      <c r="E80" s="51"/>
      <c r="F80" s="51"/>
      <c r="G80" s="27"/>
    </row>
    <row r="81" spans="2:7" s="1" customFormat="1" ht="16.5" customHeight="1">
      <c r="B81" s="25"/>
      <c r="C81" s="51"/>
      <c r="D81" s="211"/>
      <c r="E81" s="51"/>
      <c r="F81" s="51"/>
      <c r="G81" s="27"/>
    </row>
    <row r="82" spans="2:7" s="1" customFormat="1" ht="16.5" customHeight="1">
      <c r="B82" s="25"/>
      <c r="C82" s="51"/>
      <c r="D82" s="211"/>
      <c r="E82" s="51"/>
      <c r="F82" s="51"/>
      <c r="G82" s="27"/>
    </row>
    <row r="83" spans="2:7" s="1" customFormat="1" ht="16.5" customHeight="1">
      <c r="B83" s="25"/>
      <c r="C83" s="51"/>
      <c r="D83" s="211"/>
      <c r="E83" s="51"/>
      <c r="F83" s="51"/>
      <c r="G83" s="27"/>
    </row>
    <row r="84" spans="2:7" s="1" customFormat="1" ht="16.5" customHeight="1">
      <c r="B84" s="25"/>
      <c r="C84" s="51"/>
      <c r="D84" s="211"/>
      <c r="E84" s="51"/>
      <c r="F84" s="51"/>
      <c r="G84" s="27"/>
    </row>
    <row r="85" spans="2:7" s="1" customFormat="1" ht="16.5" customHeight="1">
      <c r="B85" s="25"/>
      <c r="C85" s="51"/>
      <c r="D85" s="211"/>
      <c r="E85" s="51"/>
      <c r="F85" s="51"/>
      <c r="G85" s="27"/>
    </row>
    <row r="86" spans="2:7" s="1" customFormat="1" ht="16.5" customHeight="1">
      <c r="B86" s="25"/>
      <c r="C86" s="51"/>
      <c r="D86" s="211"/>
      <c r="E86" s="51"/>
      <c r="F86" s="51"/>
      <c r="G86" s="27"/>
    </row>
    <row r="87" spans="2:7" s="1" customFormat="1" ht="16.5" customHeight="1">
      <c r="B87" s="25"/>
      <c r="C87" s="51"/>
      <c r="D87" s="211"/>
      <c r="E87" s="51"/>
      <c r="F87" s="51"/>
      <c r="G87" s="27"/>
    </row>
    <row r="88" spans="2:7" s="1" customFormat="1" ht="16.5" customHeight="1">
      <c r="B88" s="25"/>
      <c r="C88" s="51"/>
      <c r="D88" s="211"/>
      <c r="E88" s="51"/>
      <c r="F88" s="51"/>
      <c r="G88" s="27"/>
    </row>
    <row r="89" spans="2:7" s="1" customFormat="1" ht="16.5" customHeight="1">
      <c r="B89" s="25"/>
      <c r="C89" s="51"/>
      <c r="D89" s="211"/>
      <c r="E89" s="51"/>
      <c r="F89" s="51"/>
      <c r="G89" s="27"/>
    </row>
    <row r="90" spans="2:7" s="1" customFormat="1" ht="16.5" customHeight="1">
      <c r="B90" s="25"/>
      <c r="C90" s="51"/>
      <c r="D90" s="211"/>
      <c r="E90" s="51"/>
      <c r="F90" s="51"/>
      <c r="G90" s="27"/>
    </row>
    <row r="91" spans="2:7" s="1" customFormat="1" ht="16.5" customHeight="1">
      <c r="B91" s="25"/>
      <c r="C91" s="51"/>
      <c r="D91" s="211"/>
      <c r="E91" s="51"/>
      <c r="F91" s="51"/>
      <c r="G91" s="27"/>
    </row>
    <row r="92" spans="2:7" s="1" customFormat="1" ht="16.5" customHeight="1">
      <c r="B92" s="212" t="s">
        <v>1</v>
      </c>
      <c r="C92" s="213"/>
      <c r="D92" s="214">
        <f>SUBTOTAL(109,ExpNov[Amount])</f>
        <v>0</v>
      </c>
      <c r="E92" s="213"/>
      <c r="F92" s="213"/>
      <c r="G92" s="212"/>
    </row>
    <row r="94" spans="2:7" s="1" customFormat="1" ht="25.5" customHeight="1">
      <c r="B94" s="205" t="s">
        <v>162</v>
      </c>
      <c r="C94" s="117"/>
      <c r="D94" s="117"/>
      <c r="E94" s="117"/>
      <c r="F94" s="117"/>
      <c r="G94" s="117"/>
    </row>
    <row r="95" spans="2:7" s="1" customFormat="1" ht="16.5" customHeight="1">
      <c r="B95" s="117"/>
      <c r="C95" s="117"/>
      <c r="D95" s="117"/>
      <c r="E95" s="117"/>
      <c r="F95" s="117"/>
      <c r="G95" s="117"/>
    </row>
    <row r="96" spans="2:7" s="1" customFormat="1" ht="16.5" customHeight="1">
      <c r="B96" s="206" t="s">
        <v>50</v>
      </c>
      <c r="C96" s="207" t="s">
        <v>71</v>
      </c>
      <c r="D96" s="206" t="s">
        <v>48</v>
      </c>
      <c r="E96" s="207" t="s">
        <v>47</v>
      </c>
      <c r="F96" s="207" t="s">
        <v>161</v>
      </c>
      <c r="G96" s="206" t="s">
        <v>160</v>
      </c>
    </row>
    <row r="97" spans="2:7" s="1" customFormat="1" ht="16.5" customHeight="1">
      <c r="B97" s="25"/>
      <c r="C97" s="51"/>
      <c r="D97" s="211"/>
      <c r="E97" s="51"/>
      <c r="F97" s="51"/>
      <c r="G97" s="27"/>
    </row>
    <row r="98" spans="2:7" s="1" customFormat="1" ht="16.5" customHeight="1">
      <c r="B98" s="25"/>
      <c r="C98" s="51"/>
      <c r="D98" s="211"/>
      <c r="E98" s="51"/>
      <c r="F98" s="51"/>
      <c r="G98" s="27"/>
    </row>
    <row r="99" spans="2:7" s="1" customFormat="1" ht="16.5" customHeight="1">
      <c r="B99" s="25"/>
      <c r="C99" s="51"/>
      <c r="D99" s="211"/>
      <c r="E99" s="51"/>
      <c r="F99" s="51"/>
      <c r="G99" s="27"/>
    </row>
    <row r="100" spans="2:7" s="1" customFormat="1" ht="16.5" customHeight="1">
      <c r="B100" s="25"/>
      <c r="C100" s="51"/>
      <c r="D100" s="211"/>
      <c r="E100" s="51"/>
      <c r="F100" s="51"/>
      <c r="G100" s="27"/>
    </row>
    <row r="101" spans="2:7" s="1" customFormat="1" ht="16.5" customHeight="1">
      <c r="B101" s="25"/>
      <c r="C101" s="51"/>
      <c r="D101" s="211"/>
      <c r="E101" s="51"/>
      <c r="F101" s="51"/>
      <c r="G101" s="27"/>
    </row>
    <row r="102" spans="2:7" s="1" customFormat="1" ht="16.5" customHeight="1">
      <c r="B102" s="25"/>
      <c r="C102" s="51"/>
      <c r="D102" s="211"/>
      <c r="E102" s="51"/>
      <c r="F102" s="51"/>
      <c r="G102" s="27"/>
    </row>
    <row r="103" spans="2:7" s="1" customFormat="1" ht="16.5" customHeight="1">
      <c r="B103" s="25"/>
      <c r="C103" s="51"/>
      <c r="D103" s="211"/>
      <c r="E103" s="51"/>
      <c r="F103" s="51"/>
      <c r="G103" s="27"/>
    </row>
    <row r="104" spans="2:7" s="1" customFormat="1" ht="16.5" customHeight="1">
      <c r="B104" s="25"/>
      <c r="C104" s="51"/>
      <c r="D104" s="211"/>
      <c r="E104" s="51"/>
      <c r="F104" s="51"/>
      <c r="G104" s="27"/>
    </row>
    <row r="105" spans="2:7" s="1" customFormat="1" ht="16.5" customHeight="1">
      <c r="B105" s="25"/>
      <c r="C105" s="51"/>
      <c r="D105" s="211"/>
      <c r="E105" s="51"/>
      <c r="F105" s="51"/>
      <c r="G105" s="27"/>
    </row>
    <row r="106" spans="2:7" s="1" customFormat="1" ht="16.5" customHeight="1">
      <c r="B106" s="25"/>
      <c r="C106" s="51"/>
      <c r="D106" s="211"/>
      <c r="E106" s="51"/>
      <c r="F106" s="51"/>
      <c r="G106" s="27"/>
    </row>
    <row r="107" spans="2:7" s="1" customFormat="1" ht="16.5" customHeight="1">
      <c r="B107" s="25"/>
      <c r="C107" s="51"/>
      <c r="D107" s="211"/>
      <c r="E107" s="51"/>
      <c r="F107" s="51"/>
      <c r="G107" s="27"/>
    </row>
    <row r="108" spans="2:7" s="1" customFormat="1" ht="16.5" customHeight="1">
      <c r="B108" s="25"/>
      <c r="C108" s="51"/>
      <c r="D108" s="211"/>
      <c r="E108" s="51"/>
      <c r="F108" s="51"/>
      <c r="G108" s="27"/>
    </row>
    <row r="109" spans="2:7" s="1" customFormat="1" ht="16.5" customHeight="1">
      <c r="B109" s="25"/>
      <c r="C109" s="51"/>
      <c r="D109" s="211"/>
      <c r="E109" s="51"/>
      <c r="F109" s="51"/>
      <c r="G109" s="27"/>
    </row>
    <row r="110" spans="2:7" s="1" customFormat="1" ht="16.5" customHeight="1">
      <c r="B110" s="25"/>
      <c r="C110" s="51"/>
      <c r="D110" s="211"/>
      <c r="E110" s="51"/>
      <c r="F110" s="51"/>
      <c r="G110" s="27"/>
    </row>
    <row r="111" spans="2:7" s="1" customFormat="1" ht="16.5" customHeight="1">
      <c r="B111" s="25"/>
      <c r="C111" s="51"/>
      <c r="D111" s="211"/>
      <c r="E111" s="51"/>
      <c r="F111" s="51"/>
      <c r="G111" s="27"/>
    </row>
    <row r="112" spans="2:7" s="1" customFormat="1" ht="16.5" customHeight="1">
      <c r="B112" s="25"/>
      <c r="C112" s="51"/>
      <c r="D112" s="211"/>
      <c r="E112" s="51"/>
      <c r="F112" s="51"/>
      <c r="G112" s="27"/>
    </row>
    <row r="113" spans="2:7" s="1" customFormat="1" ht="16.5" customHeight="1">
      <c r="B113" s="25"/>
      <c r="C113" s="51"/>
      <c r="D113" s="211"/>
      <c r="E113" s="51"/>
      <c r="F113" s="51"/>
      <c r="G113" s="27"/>
    </row>
    <row r="114" spans="2:7" s="1" customFormat="1" ht="16.5" customHeight="1">
      <c r="B114" s="25"/>
      <c r="C114" s="51"/>
      <c r="D114" s="211"/>
      <c r="E114" s="51"/>
      <c r="F114" s="51"/>
      <c r="G114" s="27"/>
    </row>
    <row r="115" spans="2:7" s="1" customFormat="1" ht="16.5" customHeight="1">
      <c r="B115" s="212" t="s">
        <v>1</v>
      </c>
      <c r="C115" s="213"/>
      <c r="D115" s="214">
        <f>SUBTOTAL(109,ExpDec[Amount])</f>
        <v>0</v>
      </c>
      <c r="E115" s="213"/>
      <c r="F115" s="213"/>
      <c r="G115" s="212"/>
    </row>
    <row r="117" spans="2:7" s="1" customFormat="1" ht="26.25" customHeight="1">
      <c r="B117" s="205" t="s">
        <v>163</v>
      </c>
      <c r="C117" s="117"/>
      <c r="D117" s="117"/>
      <c r="E117" s="117"/>
      <c r="F117" s="117"/>
      <c r="G117" s="117"/>
    </row>
    <row r="118" spans="2:7" s="1" customFormat="1" ht="16.5" customHeight="1">
      <c r="B118" s="117"/>
      <c r="C118" s="117"/>
      <c r="D118" s="117"/>
      <c r="E118" s="117"/>
      <c r="F118" s="117"/>
      <c r="G118" s="117"/>
    </row>
    <row r="119" spans="2:7" s="1" customFormat="1" ht="16.5" customHeight="1">
      <c r="B119" s="206" t="s">
        <v>50</v>
      </c>
      <c r="C119" s="207" t="s">
        <v>164</v>
      </c>
      <c r="D119" s="206" t="s">
        <v>48</v>
      </c>
      <c r="E119" s="207" t="s">
        <v>47</v>
      </c>
      <c r="F119" s="207" t="s">
        <v>161</v>
      </c>
      <c r="G119" s="206" t="s">
        <v>160</v>
      </c>
    </row>
    <row r="120" spans="2:7" s="1" customFormat="1" ht="16.5" customHeight="1">
      <c r="B120" s="25"/>
      <c r="C120" s="51"/>
      <c r="D120" s="211"/>
      <c r="E120" s="51"/>
      <c r="F120" s="51"/>
      <c r="G120" s="27"/>
    </row>
    <row r="121" spans="2:7" s="1" customFormat="1" ht="16.5" customHeight="1">
      <c r="B121" s="25"/>
      <c r="C121" s="51"/>
      <c r="D121" s="211"/>
      <c r="E121" s="51"/>
      <c r="F121" s="51"/>
      <c r="G121" s="27"/>
    </row>
    <row r="122" spans="2:7" s="1" customFormat="1" ht="16.5" customHeight="1">
      <c r="B122" s="25"/>
      <c r="C122" s="51"/>
      <c r="D122" s="211"/>
      <c r="E122" s="51"/>
      <c r="F122" s="51"/>
      <c r="G122" s="27"/>
    </row>
    <row r="123" spans="2:7" s="1" customFormat="1" ht="16.5" customHeight="1">
      <c r="B123" s="25"/>
      <c r="C123" s="51"/>
      <c r="D123" s="211"/>
      <c r="E123" s="51"/>
      <c r="F123" s="51"/>
      <c r="G123" s="27"/>
    </row>
    <row r="124" spans="2:7" s="1" customFormat="1" ht="16.5" customHeight="1">
      <c r="B124" s="25"/>
      <c r="C124" s="51"/>
      <c r="D124" s="211"/>
      <c r="E124" s="51"/>
      <c r="F124" s="51"/>
      <c r="G124" s="27"/>
    </row>
    <row r="125" spans="2:7" s="1" customFormat="1" ht="16.5" customHeight="1">
      <c r="B125" s="25"/>
      <c r="C125" s="51"/>
      <c r="D125" s="211"/>
      <c r="E125" s="51"/>
      <c r="F125" s="51"/>
      <c r="G125" s="27"/>
    </row>
    <row r="126" spans="2:7" s="1" customFormat="1" ht="16.5" customHeight="1">
      <c r="B126" s="25"/>
      <c r="C126" s="26"/>
      <c r="D126" s="211"/>
      <c r="E126" s="26"/>
      <c r="F126" s="26"/>
      <c r="G126" s="27"/>
    </row>
    <row r="127" spans="2:7" s="1" customFormat="1" ht="16.5" customHeight="1">
      <c r="B127" s="25"/>
      <c r="C127" s="26"/>
      <c r="D127" s="211"/>
      <c r="E127" s="26"/>
      <c r="F127" s="26"/>
      <c r="G127" s="27"/>
    </row>
    <row r="128" spans="2:7" s="1" customFormat="1" ht="16.5" customHeight="1">
      <c r="B128" s="27"/>
      <c r="C128" s="26"/>
      <c r="D128" s="211"/>
      <c r="E128" s="26"/>
      <c r="F128" s="26"/>
      <c r="G128" s="27"/>
    </row>
    <row r="129" spans="2:7" s="1" customFormat="1" ht="16.5" customHeight="1">
      <c r="B129" s="27"/>
      <c r="C129" s="26"/>
      <c r="D129" s="211"/>
      <c r="E129" s="26"/>
      <c r="F129" s="26"/>
      <c r="G129" s="27"/>
    </row>
    <row r="130" spans="2:7" s="1" customFormat="1" ht="16.5" customHeight="1">
      <c r="B130" s="27"/>
      <c r="C130" s="26"/>
      <c r="D130" s="211"/>
      <c r="E130" s="26"/>
      <c r="F130" s="26"/>
      <c r="G130" s="27"/>
    </row>
    <row r="131" spans="2:7" s="1" customFormat="1" ht="16.5" customHeight="1">
      <c r="B131" s="27"/>
      <c r="C131" s="26"/>
      <c r="D131" s="211"/>
      <c r="E131" s="26"/>
      <c r="F131" s="26"/>
      <c r="G131" s="27"/>
    </row>
    <row r="132" spans="2:7" s="1" customFormat="1" ht="16.5" customHeight="1">
      <c r="B132" s="27"/>
      <c r="C132" s="26"/>
      <c r="D132" s="211"/>
      <c r="E132" s="26"/>
      <c r="F132" s="26"/>
      <c r="G132" s="27"/>
    </row>
    <row r="133" spans="2:7" s="1" customFormat="1" ht="16.5" customHeight="1">
      <c r="B133" s="27"/>
      <c r="C133" s="26"/>
      <c r="D133" s="211"/>
      <c r="E133" s="26"/>
      <c r="F133" s="26"/>
      <c r="G133" s="27"/>
    </row>
    <row r="134" spans="2:7" s="1" customFormat="1" ht="16.5" customHeight="1">
      <c r="B134" s="27"/>
      <c r="C134" s="26"/>
      <c r="D134" s="211"/>
      <c r="E134" s="26"/>
      <c r="F134" s="26"/>
      <c r="G134" s="27"/>
    </row>
    <row r="135" spans="2:7" s="1" customFormat="1" ht="16.5" customHeight="1">
      <c r="B135" s="27"/>
      <c r="C135" s="26"/>
      <c r="D135" s="211"/>
      <c r="E135" s="26"/>
      <c r="F135" s="26"/>
      <c r="G135" s="27"/>
    </row>
    <row r="136" spans="2:7" s="1" customFormat="1" ht="16.5" customHeight="1">
      <c r="B136" s="27"/>
      <c r="C136" s="26"/>
      <c r="D136" s="211"/>
      <c r="E136" s="26"/>
      <c r="F136" s="26"/>
      <c r="G136" s="27"/>
    </row>
    <row r="137" spans="2:7" s="1" customFormat="1" ht="16.5" customHeight="1">
      <c r="B137" s="27"/>
      <c r="C137" s="26"/>
      <c r="D137" s="211"/>
      <c r="E137" s="26"/>
      <c r="F137" s="26"/>
      <c r="G137" s="27"/>
    </row>
    <row r="138" spans="2:7" s="1" customFormat="1" ht="16.5" customHeight="1">
      <c r="B138" s="27"/>
      <c r="C138" s="26"/>
      <c r="D138" s="211"/>
      <c r="E138" s="26"/>
      <c r="F138" s="26"/>
      <c r="G138" s="27"/>
    </row>
    <row r="139" spans="2:7" s="1" customFormat="1" ht="16.5" customHeight="1">
      <c r="B139" s="27"/>
      <c r="C139" s="26"/>
      <c r="D139" s="211"/>
      <c r="E139" s="26"/>
      <c r="F139" s="26"/>
      <c r="G139" s="27"/>
    </row>
    <row r="140" spans="2:7" s="1" customFormat="1" ht="16.5" customHeight="1">
      <c r="B140" s="212" t="s">
        <v>1</v>
      </c>
      <c r="C140" s="213"/>
      <c r="D140" s="214">
        <f>SUBTOTAL(109,ExpJan[Amount])</f>
        <v>0</v>
      </c>
      <c r="E140" s="213"/>
      <c r="F140" s="213"/>
      <c r="G140" s="212"/>
    </row>
    <row r="142" spans="2:7" s="1" customFormat="1" ht="24" customHeight="1">
      <c r="B142" s="205" t="s">
        <v>165</v>
      </c>
      <c r="C142" s="117"/>
      <c r="D142" s="117"/>
      <c r="E142" s="117"/>
      <c r="F142" s="117"/>
      <c r="G142" s="117"/>
    </row>
    <row r="143" spans="2:7" s="1" customFormat="1" ht="16.5" customHeight="1">
      <c r="B143" s="117"/>
      <c r="C143" s="117"/>
      <c r="D143" s="117"/>
      <c r="E143" s="117"/>
      <c r="F143" s="117"/>
      <c r="G143" s="117"/>
    </row>
    <row r="144" spans="2:7" s="1" customFormat="1" ht="16.5" customHeight="1">
      <c r="B144" s="206" t="s">
        <v>50</v>
      </c>
      <c r="C144" s="207" t="s">
        <v>71</v>
      </c>
      <c r="D144" s="206" t="s">
        <v>48</v>
      </c>
      <c r="E144" s="207" t="s">
        <v>47</v>
      </c>
      <c r="F144" s="207" t="s">
        <v>161</v>
      </c>
      <c r="G144" s="206" t="s">
        <v>160</v>
      </c>
    </row>
    <row r="145" spans="2:7" s="1" customFormat="1" ht="16.5" customHeight="1">
      <c r="B145" s="25"/>
      <c r="C145" s="51"/>
      <c r="D145" s="211"/>
      <c r="E145" s="51"/>
      <c r="F145" s="51"/>
      <c r="G145" s="27"/>
    </row>
    <row r="146" spans="2:7" s="1" customFormat="1" ht="16.5" customHeight="1">
      <c r="B146" s="25"/>
      <c r="C146" s="51"/>
      <c r="D146" s="211"/>
      <c r="E146" s="51"/>
      <c r="F146" s="51"/>
      <c r="G146" s="27"/>
    </row>
    <row r="147" spans="2:7" s="1" customFormat="1" ht="16.5" customHeight="1">
      <c r="B147" s="25"/>
      <c r="C147" s="51"/>
      <c r="D147" s="211"/>
      <c r="E147" s="51"/>
      <c r="F147" s="51"/>
      <c r="G147" s="27"/>
    </row>
    <row r="148" spans="2:7" s="1" customFormat="1" ht="16.5" customHeight="1">
      <c r="B148" s="25"/>
      <c r="C148" s="51"/>
      <c r="D148" s="211"/>
      <c r="E148" s="51"/>
      <c r="F148" s="51"/>
      <c r="G148" s="27"/>
    </row>
    <row r="149" spans="2:7" s="1" customFormat="1" ht="16.5" customHeight="1">
      <c r="B149" s="25"/>
      <c r="C149" s="51"/>
      <c r="D149" s="211"/>
      <c r="E149" s="51"/>
      <c r="F149" s="51"/>
      <c r="G149" s="27"/>
    </row>
    <row r="150" spans="2:7" s="1" customFormat="1" ht="16.5" customHeight="1">
      <c r="B150" s="25"/>
      <c r="C150" s="51"/>
      <c r="D150" s="211"/>
      <c r="E150" s="51"/>
      <c r="F150" s="51"/>
      <c r="G150" s="27"/>
    </row>
    <row r="151" spans="2:7" s="1" customFormat="1" ht="16.5" customHeight="1">
      <c r="B151" s="25"/>
      <c r="C151" s="51"/>
      <c r="D151" s="211"/>
      <c r="E151" s="51"/>
      <c r="F151" s="51"/>
      <c r="G151" s="27"/>
    </row>
    <row r="152" spans="2:7" s="1" customFormat="1" ht="16.5" customHeight="1">
      <c r="B152" s="25"/>
      <c r="C152" s="51"/>
      <c r="D152" s="211"/>
      <c r="E152" s="51"/>
      <c r="F152" s="51"/>
      <c r="G152" s="27"/>
    </row>
    <row r="153" spans="2:7" s="1" customFormat="1" ht="16.5" customHeight="1">
      <c r="B153" s="25"/>
      <c r="C153" s="51"/>
      <c r="D153" s="211"/>
      <c r="E153" s="51"/>
      <c r="F153" s="51"/>
      <c r="G153" s="27"/>
    </row>
    <row r="154" spans="2:7" s="1" customFormat="1" ht="16.5" customHeight="1">
      <c r="B154" s="25"/>
      <c r="C154" s="51"/>
      <c r="D154" s="211"/>
      <c r="E154" s="51"/>
      <c r="F154" s="51"/>
      <c r="G154" s="27"/>
    </row>
    <row r="155" spans="2:7" s="1" customFormat="1" ht="16.5" customHeight="1">
      <c r="B155" s="25"/>
      <c r="C155" s="51"/>
      <c r="D155" s="211"/>
      <c r="E155" s="51"/>
      <c r="F155" s="51"/>
      <c r="G155" s="27"/>
    </row>
    <row r="156" spans="2:7" s="1" customFormat="1" ht="16.5" customHeight="1">
      <c r="B156" s="212" t="s">
        <v>1</v>
      </c>
      <c r="C156" s="213"/>
      <c r="D156" s="214">
        <f>SUBTOTAL(109,ExpFeb[Amount])</f>
        <v>0</v>
      </c>
      <c r="E156" s="213"/>
      <c r="F156" s="213"/>
      <c r="G156" s="212"/>
    </row>
    <row r="158" spans="2:7" s="1" customFormat="1" ht="29.25" customHeight="1">
      <c r="B158" s="205" t="s">
        <v>166</v>
      </c>
      <c r="C158" s="117"/>
      <c r="D158" s="117"/>
      <c r="E158" s="117"/>
      <c r="F158" s="117"/>
      <c r="G158" s="117"/>
    </row>
    <row r="159" spans="2:7" s="1" customFormat="1" ht="16.5" customHeight="1">
      <c r="B159" s="117"/>
      <c r="C159" s="117"/>
      <c r="D159" s="117"/>
      <c r="E159" s="117"/>
      <c r="F159" s="117"/>
      <c r="G159" s="117"/>
    </row>
    <row r="160" spans="2:7" s="1" customFormat="1" ht="16.5" customHeight="1">
      <c r="B160" s="206" t="s">
        <v>50</v>
      </c>
      <c r="C160" s="207" t="s">
        <v>71</v>
      </c>
      <c r="D160" s="206" t="s">
        <v>48</v>
      </c>
      <c r="E160" s="207" t="s">
        <v>47</v>
      </c>
      <c r="F160" s="207" t="s">
        <v>161</v>
      </c>
      <c r="G160" s="206" t="s">
        <v>160</v>
      </c>
    </row>
    <row r="161" spans="2:7" s="1" customFormat="1" ht="16.5" customHeight="1">
      <c r="B161" s="25"/>
      <c r="C161" s="51"/>
      <c r="D161" s="211"/>
      <c r="E161" s="51"/>
      <c r="F161" s="51"/>
      <c r="G161" s="27"/>
    </row>
    <row r="162" spans="2:7" s="1" customFormat="1" ht="16.5" customHeight="1">
      <c r="B162" s="25"/>
      <c r="C162" s="51"/>
      <c r="D162" s="211"/>
      <c r="E162" s="51"/>
      <c r="F162" s="51"/>
      <c r="G162" s="27"/>
    </row>
    <row r="163" spans="2:7" s="1" customFormat="1" ht="16.5" customHeight="1">
      <c r="B163" s="25"/>
      <c r="C163" s="51"/>
      <c r="D163" s="211"/>
      <c r="E163" s="51"/>
      <c r="F163" s="51"/>
      <c r="G163" s="27"/>
    </row>
    <row r="164" spans="2:7" s="1" customFormat="1" ht="16.5" customHeight="1">
      <c r="B164" s="25"/>
      <c r="C164" s="51"/>
      <c r="D164" s="211"/>
      <c r="E164" s="51"/>
      <c r="F164" s="51"/>
      <c r="G164" s="27"/>
    </row>
    <row r="165" spans="2:7" s="1" customFormat="1" ht="16.5" customHeight="1">
      <c r="B165" s="25"/>
      <c r="C165" s="51"/>
      <c r="D165" s="211"/>
      <c r="E165" s="51"/>
      <c r="F165" s="51"/>
      <c r="G165" s="27"/>
    </row>
    <row r="166" spans="2:7" s="1" customFormat="1" ht="16.5" customHeight="1">
      <c r="B166" s="25"/>
      <c r="C166" s="51"/>
      <c r="D166" s="211"/>
      <c r="E166" s="51"/>
      <c r="F166" s="51"/>
      <c r="G166" s="27"/>
    </row>
    <row r="167" spans="2:7" s="1" customFormat="1" ht="16.5" customHeight="1">
      <c r="B167" s="25"/>
      <c r="C167" s="51"/>
      <c r="D167" s="211"/>
      <c r="E167" s="51"/>
      <c r="F167" s="51"/>
      <c r="G167" s="27"/>
    </row>
    <row r="168" spans="2:7" s="1" customFormat="1" ht="16.5" customHeight="1">
      <c r="B168" s="25"/>
      <c r="C168" s="51"/>
      <c r="D168" s="211"/>
      <c r="E168" s="51"/>
      <c r="F168" s="51"/>
      <c r="G168" s="27"/>
    </row>
    <row r="169" spans="2:7" s="1" customFormat="1" ht="16.5" customHeight="1">
      <c r="B169" s="25"/>
      <c r="C169" s="51"/>
      <c r="D169" s="211"/>
      <c r="E169" s="51"/>
      <c r="F169" s="51"/>
      <c r="G169" s="27"/>
    </row>
    <row r="170" spans="2:7" s="1" customFormat="1" ht="16.5" customHeight="1">
      <c r="B170" s="25"/>
      <c r="C170" s="51"/>
      <c r="D170" s="211"/>
      <c r="E170" s="51"/>
      <c r="F170" s="51"/>
      <c r="G170" s="27"/>
    </row>
    <row r="171" spans="2:7" s="1" customFormat="1" ht="16.5" customHeight="1">
      <c r="B171" s="25"/>
      <c r="C171" s="51"/>
      <c r="D171" s="211"/>
      <c r="E171" s="51"/>
      <c r="F171" s="51"/>
      <c r="G171" s="27"/>
    </row>
    <row r="172" spans="2:7" s="1" customFormat="1" ht="16.5" customHeight="1">
      <c r="B172" s="25"/>
      <c r="C172" s="51"/>
      <c r="D172" s="211"/>
      <c r="E172" s="51"/>
      <c r="F172" s="51"/>
      <c r="G172" s="27"/>
    </row>
    <row r="173" spans="2:7" s="1" customFormat="1" ht="16.5" customHeight="1">
      <c r="B173" s="25"/>
      <c r="C173" s="51"/>
      <c r="D173" s="211"/>
      <c r="E173" s="51"/>
      <c r="F173" s="51"/>
      <c r="G173" s="27"/>
    </row>
    <row r="174" spans="2:7" s="1" customFormat="1" ht="16.5" customHeight="1">
      <c r="B174" s="25"/>
      <c r="C174" s="51"/>
      <c r="D174" s="211"/>
      <c r="E174" s="51"/>
      <c r="F174" s="51"/>
      <c r="G174" s="27"/>
    </row>
    <row r="175" spans="2:7" s="1" customFormat="1" ht="16.5" customHeight="1">
      <c r="B175" s="25"/>
      <c r="C175" s="51"/>
      <c r="D175" s="211"/>
      <c r="E175" s="51"/>
      <c r="F175" s="51"/>
      <c r="G175" s="27"/>
    </row>
    <row r="176" spans="2:7" s="1" customFormat="1" ht="16.5" customHeight="1">
      <c r="B176" s="212" t="s">
        <v>1</v>
      </c>
      <c r="C176" s="213"/>
      <c r="D176" s="214">
        <f>SUBTOTAL(109,ExpMar[Amount])</f>
        <v>0</v>
      </c>
      <c r="E176" s="213"/>
      <c r="F176" s="213"/>
      <c r="G176" s="212"/>
    </row>
    <row r="178" spans="2:7" s="1" customFormat="1" ht="27.75" customHeight="1">
      <c r="B178" s="205" t="s">
        <v>167</v>
      </c>
      <c r="C178" s="117"/>
      <c r="D178" s="117"/>
      <c r="E178" s="117"/>
      <c r="F178" s="117"/>
      <c r="G178" s="117"/>
    </row>
    <row r="179" spans="2:7" s="1" customFormat="1" ht="16.5" customHeight="1">
      <c r="B179" s="117"/>
      <c r="C179" s="117"/>
      <c r="D179" s="117"/>
      <c r="E179" s="117"/>
      <c r="F179" s="117"/>
      <c r="G179" s="117"/>
    </row>
    <row r="180" spans="2:7" s="1" customFormat="1" ht="16.5" customHeight="1">
      <c r="B180" s="206" t="s">
        <v>50</v>
      </c>
      <c r="C180" s="207" t="s">
        <v>168</v>
      </c>
      <c r="D180" s="206" t="s">
        <v>48</v>
      </c>
      <c r="E180" s="207" t="s">
        <v>47</v>
      </c>
      <c r="F180" s="207" t="s">
        <v>46</v>
      </c>
      <c r="G180" s="206" t="s">
        <v>45</v>
      </c>
    </row>
    <row r="181" spans="2:7" s="1" customFormat="1" ht="16.5" customHeight="1">
      <c r="B181" s="215"/>
      <c r="C181" s="51"/>
      <c r="D181" s="216"/>
      <c r="E181" s="51"/>
      <c r="F181" s="51"/>
      <c r="G181" s="51"/>
    </row>
    <row r="182" spans="2:7" s="1" customFormat="1" ht="16.5" customHeight="1">
      <c r="B182" s="215"/>
      <c r="C182" s="51"/>
      <c r="D182" s="216"/>
      <c r="E182" s="51"/>
      <c r="F182" s="51"/>
      <c r="G182" s="51"/>
    </row>
    <row r="183" spans="2:7" s="1" customFormat="1" ht="16.5" customHeight="1">
      <c r="B183" s="215"/>
      <c r="C183" s="51"/>
      <c r="D183" s="216"/>
      <c r="E183" s="51"/>
      <c r="F183" s="51"/>
      <c r="G183" s="51"/>
    </row>
    <row r="184" spans="2:7" s="1" customFormat="1" ht="16.5" customHeight="1">
      <c r="B184" s="215"/>
      <c r="C184" s="51"/>
      <c r="D184" s="216"/>
      <c r="E184" s="51"/>
      <c r="F184" s="51"/>
      <c r="G184" s="51"/>
    </row>
    <row r="185" spans="2:7" s="1" customFormat="1" ht="16.5" customHeight="1">
      <c r="B185" s="215"/>
      <c r="C185" s="51"/>
      <c r="D185" s="216"/>
      <c r="E185" s="51"/>
      <c r="F185" s="51"/>
      <c r="G185" s="51"/>
    </row>
    <row r="186" spans="2:7" s="1" customFormat="1" ht="16.5" customHeight="1">
      <c r="B186" s="215"/>
      <c r="C186" s="51"/>
      <c r="D186" s="216"/>
      <c r="E186" s="51"/>
      <c r="F186" s="51"/>
      <c r="G186" s="51"/>
    </row>
    <row r="187" spans="2:7" s="1" customFormat="1" ht="16.5" customHeight="1">
      <c r="B187" s="25"/>
      <c r="C187" s="51"/>
      <c r="D187" s="211"/>
      <c r="E187" s="51"/>
      <c r="F187" s="51"/>
      <c r="G187" s="27"/>
    </row>
    <row r="188" spans="2:7" s="1" customFormat="1" ht="16.5" customHeight="1">
      <c r="B188" s="25"/>
      <c r="C188" s="51"/>
      <c r="D188" s="211"/>
      <c r="E188" s="51"/>
      <c r="F188" s="51"/>
      <c r="G188" s="27"/>
    </row>
    <row r="189" spans="2:7" s="1" customFormat="1" ht="16.5" customHeight="1">
      <c r="B189" s="25"/>
      <c r="C189" s="51"/>
      <c r="D189" s="211"/>
      <c r="E189" s="51"/>
      <c r="F189" s="51"/>
      <c r="G189" s="27"/>
    </row>
    <row r="190" spans="2:7" s="1" customFormat="1" ht="16.5" customHeight="1">
      <c r="B190" s="25"/>
      <c r="C190" s="51"/>
      <c r="D190" s="211"/>
      <c r="E190" s="51"/>
      <c r="F190" s="51"/>
      <c r="G190" s="27"/>
    </row>
    <row r="191" spans="2:7" s="1" customFormat="1" ht="16.5" customHeight="1">
      <c r="B191" s="212" t="s">
        <v>1</v>
      </c>
      <c r="C191" s="213"/>
      <c r="D191" s="214">
        <f>SUBTOTAL(109,ExpApr[Amount])</f>
        <v>0</v>
      </c>
      <c r="E191" s="213"/>
      <c r="F191" s="213"/>
      <c r="G191" s="212"/>
    </row>
    <row r="193" spans="2:7" s="1" customFormat="1" ht="27.75" customHeight="1">
      <c r="B193" s="205" t="s">
        <v>169</v>
      </c>
      <c r="C193" s="117"/>
      <c r="D193" s="117"/>
      <c r="E193" s="117"/>
      <c r="F193" s="117"/>
      <c r="G193" s="117"/>
    </row>
    <row r="194" spans="2:7" s="1" customFormat="1" ht="16.5" customHeight="1">
      <c r="B194" s="117"/>
      <c r="C194" s="117"/>
      <c r="D194" s="117"/>
      <c r="E194" s="117"/>
      <c r="F194" s="117"/>
      <c r="G194" s="117"/>
    </row>
    <row r="195" spans="2:7" s="1" customFormat="1" ht="16.5" customHeight="1">
      <c r="B195" s="206" t="s">
        <v>50</v>
      </c>
      <c r="C195" s="207" t="s">
        <v>71</v>
      </c>
      <c r="D195" s="206" t="s">
        <v>48</v>
      </c>
      <c r="E195" s="207" t="s">
        <v>47</v>
      </c>
      <c r="F195" s="206" t="s">
        <v>46</v>
      </c>
      <c r="G195" s="206" t="s">
        <v>45</v>
      </c>
    </row>
    <row r="196" spans="2:7" s="1" customFormat="1" ht="16.5" customHeight="1">
      <c r="B196" s="217"/>
      <c r="C196" s="218"/>
      <c r="D196" s="219"/>
      <c r="E196" s="218"/>
      <c r="F196" s="220"/>
      <c r="G196" s="220"/>
    </row>
    <row r="197" spans="2:7" s="1" customFormat="1" ht="16.5" customHeight="1">
      <c r="B197" s="217"/>
      <c r="C197" s="218"/>
      <c r="D197" s="219"/>
      <c r="E197" s="218"/>
      <c r="F197" s="220"/>
      <c r="G197" s="220"/>
    </row>
    <row r="198" spans="2:7" s="1" customFormat="1" ht="16.5" customHeight="1">
      <c r="B198" s="217"/>
      <c r="C198" s="218"/>
      <c r="D198" s="219"/>
      <c r="E198" s="218"/>
      <c r="F198" s="220"/>
      <c r="G198" s="220"/>
    </row>
    <row r="199" spans="2:7" s="1" customFormat="1" ht="16.5" customHeight="1">
      <c r="B199" s="217"/>
      <c r="C199" s="218"/>
      <c r="D199" s="219"/>
      <c r="E199" s="218"/>
      <c r="F199" s="220"/>
      <c r="G199" s="220"/>
    </row>
    <row r="200" spans="2:7" s="1" customFormat="1" ht="16.5" customHeight="1">
      <c r="B200" s="217"/>
      <c r="C200" s="218"/>
      <c r="D200" s="219"/>
      <c r="E200" s="218"/>
      <c r="F200" s="220"/>
      <c r="G200" s="220"/>
    </row>
    <row r="201" spans="2:7" s="1" customFormat="1" ht="16.5" customHeight="1">
      <c r="B201" s="218"/>
      <c r="C201" s="218"/>
      <c r="D201" s="219"/>
      <c r="E201" s="218"/>
      <c r="F201" s="220"/>
      <c r="G201" s="220"/>
    </row>
    <row r="202" spans="2:7" s="1" customFormat="1" ht="16.5" customHeight="1">
      <c r="B202" s="221"/>
      <c r="C202" s="221"/>
      <c r="D202" s="222"/>
      <c r="E202" s="221"/>
      <c r="F202" s="223"/>
      <c r="G202" s="223"/>
    </row>
    <row r="203" spans="2:7" s="1" customFormat="1" ht="16.5" customHeight="1">
      <c r="B203" s="221"/>
      <c r="C203" s="221"/>
      <c r="D203" s="222"/>
      <c r="E203" s="221"/>
      <c r="F203" s="223"/>
      <c r="G203" s="223"/>
    </row>
    <row r="204" spans="2:7" s="1" customFormat="1" ht="16.5" customHeight="1">
      <c r="B204" s="221"/>
      <c r="C204" s="221"/>
      <c r="D204" s="222"/>
      <c r="E204" s="221"/>
      <c r="F204" s="223"/>
      <c r="G204" s="223"/>
    </row>
    <row r="205" spans="2:7" s="1" customFormat="1" ht="16.5" customHeight="1">
      <c r="B205" s="221"/>
      <c r="C205" s="221"/>
      <c r="D205" s="222"/>
      <c r="E205" s="221"/>
      <c r="F205" s="223"/>
      <c r="G205" s="223"/>
    </row>
    <row r="206" spans="2:7" s="1" customFormat="1" ht="16.5" customHeight="1">
      <c r="B206" s="221"/>
      <c r="C206" s="221"/>
      <c r="D206" s="222"/>
      <c r="E206" s="221"/>
      <c r="F206" s="223"/>
      <c r="G206" s="223"/>
    </row>
    <row r="207" spans="2:7" s="1" customFormat="1" ht="16.5" customHeight="1">
      <c r="B207" s="221"/>
      <c r="C207" s="221"/>
      <c r="D207" s="222"/>
      <c r="E207" s="221"/>
      <c r="F207" s="223"/>
      <c r="G207" s="223"/>
    </row>
    <row r="208" spans="2:7" s="1" customFormat="1" ht="16.5" customHeight="1">
      <c r="B208" s="221"/>
      <c r="C208" s="221"/>
      <c r="D208" s="222"/>
      <c r="E208" s="221"/>
      <c r="F208" s="223"/>
      <c r="G208" s="223"/>
    </row>
    <row r="209" spans="2:7" s="1" customFormat="1" ht="16.5" customHeight="1">
      <c r="B209" s="221"/>
      <c r="C209" s="221"/>
      <c r="D209" s="222"/>
      <c r="E209" s="221"/>
      <c r="F209" s="223"/>
      <c r="G209" s="223"/>
    </row>
    <row r="210" spans="2:7" s="1" customFormat="1" ht="16.5" customHeight="1">
      <c r="B210" s="224" t="s">
        <v>1</v>
      </c>
      <c r="C210" s="225"/>
      <c r="D210" s="226">
        <f>SUBTOTAL(109,ExpMay[Amount])</f>
        <v>0</v>
      </c>
      <c r="E210" s="225"/>
      <c r="F210" s="224"/>
      <c r="G210" s="223"/>
    </row>
    <row r="212" spans="2:7" s="1" customFormat="1" ht="27" customHeight="1">
      <c r="B212" s="205" t="s">
        <v>170</v>
      </c>
      <c r="C212" s="117"/>
      <c r="D212" s="117"/>
      <c r="E212" s="117"/>
      <c r="F212" s="117"/>
      <c r="G212" s="117"/>
    </row>
    <row r="213" spans="2:7" s="1" customFormat="1" ht="16.5" customHeight="1">
      <c r="B213" s="117"/>
      <c r="C213" s="117"/>
      <c r="D213" s="117"/>
      <c r="E213" s="117"/>
      <c r="F213" s="117"/>
      <c r="G213" s="117"/>
    </row>
    <row r="214" spans="2:7" s="1" customFormat="1" ht="16.5" customHeight="1">
      <c r="B214" s="206" t="s">
        <v>50</v>
      </c>
      <c r="C214" s="207" t="s">
        <v>155</v>
      </c>
      <c r="D214" s="206" t="s">
        <v>48</v>
      </c>
      <c r="E214" s="207" t="s">
        <v>47</v>
      </c>
      <c r="F214" s="207" t="s">
        <v>46</v>
      </c>
      <c r="G214" s="206" t="s">
        <v>45</v>
      </c>
    </row>
    <row r="215" spans="2:7" s="1" customFormat="1" ht="16.5" customHeight="1">
      <c r="B215" s="25"/>
      <c r="C215" s="51"/>
      <c r="D215" s="211"/>
      <c r="E215" s="51"/>
      <c r="F215" s="51"/>
      <c r="G215" s="27"/>
    </row>
    <row r="216" spans="2:7" s="1" customFormat="1" ht="16.5" customHeight="1">
      <c r="B216" s="25"/>
      <c r="C216" s="51"/>
      <c r="D216" s="211"/>
      <c r="E216" s="51"/>
      <c r="F216" s="51"/>
      <c r="G216" s="27"/>
    </row>
    <row r="217" spans="2:7" s="1" customFormat="1" ht="16.5" customHeight="1">
      <c r="B217" s="25"/>
      <c r="C217" s="51"/>
      <c r="D217" s="211"/>
      <c r="E217" s="51"/>
      <c r="F217" s="51"/>
      <c r="G217" s="27"/>
    </row>
    <row r="218" spans="2:7" s="1" customFormat="1" ht="16.5" customHeight="1">
      <c r="B218" s="25"/>
      <c r="C218" s="51"/>
      <c r="D218" s="211"/>
      <c r="E218" s="51"/>
      <c r="F218" s="51"/>
      <c r="G218" s="27"/>
    </row>
    <row r="219" spans="2:7" s="1" customFormat="1" ht="16.5" customHeight="1">
      <c r="B219" s="25"/>
      <c r="C219" s="51"/>
      <c r="D219" s="211"/>
      <c r="E219" s="51"/>
      <c r="F219" s="51"/>
      <c r="G219" s="27"/>
    </row>
    <row r="220" spans="2:7" s="1" customFormat="1" ht="16.5" customHeight="1">
      <c r="B220" s="25"/>
      <c r="C220" s="51"/>
      <c r="D220" s="211"/>
      <c r="E220" s="51"/>
      <c r="F220" s="51"/>
      <c r="G220" s="27"/>
    </row>
    <row r="221" spans="2:7" s="1" customFormat="1" ht="16.5" customHeight="1">
      <c r="B221" s="25"/>
      <c r="C221" s="51"/>
      <c r="D221" s="211"/>
      <c r="E221" s="51"/>
      <c r="F221" s="51"/>
      <c r="G221" s="27"/>
    </row>
    <row r="222" spans="2:7" s="1" customFormat="1" ht="16.5" customHeight="1">
      <c r="B222" s="25"/>
      <c r="C222" s="51"/>
      <c r="D222" s="211"/>
      <c r="E222" s="51"/>
      <c r="F222" s="51"/>
      <c r="G222" s="27"/>
    </row>
    <row r="223" spans="2:7" s="1" customFormat="1" ht="16.5" customHeight="1">
      <c r="B223" s="25"/>
      <c r="C223" s="51"/>
      <c r="D223" s="211"/>
      <c r="E223" s="51"/>
      <c r="F223" s="51"/>
      <c r="G223" s="27"/>
    </row>
    <row r="224" spans="2:7" s="1" customFormat="1" ht="16.5" customHeight="1">
      <c r="B224" s="25"/>
      <c r="C224" s="51"/>
      <c r="D224" s="211"/>
      <c r="E224" s="51"/>
      <c r="F224" s="51"/>
      <c r="G224" s="27"/>
    </row>
    <row r="225" spans="2:7" s="1" customFormat="1" ht="16.5" customHeight="1">
      <c r="B225" s="25"/>
      <c r="C225" s="51"/>
      <c r="D225" s="211"/>
      <c r="E225" s="51"/>
      <c r="F225" s="51"/>
      <c r="G225" s="27"/>
    </row>
    <row r="226" spans="2:7" s="1" customFormat="1" ht="16.5" customHeight="1">
      <c r="B226" s="25"/>
      <c r="C226" s="51"/>
      <c r="D226" s="211"/>
      <c r="E226" s="51"/>
      <c r="F226" s="51"/>
      <c r="G226" s="27"/>
    </row>
    <row r="227" spans="2:7" s="1" customFormat="1" ht="16.5" customHeight="1">
      <c r="B227" s="25"/>
      <c r="C227" s="51"/>
      <c r="D227" s="211"/>
      <c r="E227" s="51"/>
      <c r="F227" s="51"/>
      <c r="G227" s="27"/>
    </row>
    <row r="228" spans="2:7" s="1" customFormat="1" ht="16.5" customHeight="1">
      <c r="B228" s="25"/>
      <c r="C228" s="51"/>
      <c r="D228" s="211"/>
      <c r="E228" s="51"/>
      <c r="F228" s="51"/>
      <c r="G228" s="27"/>
    </row>
    <row r="229" spans="2:7" s="1" customFormat="1" ht="16.5" customHeight="1">
      <c r="B229" s="25"/>
      <c r="C229" s="51"/>
      <c r="D229" s="211"/>
      <c r="E229" s="51"/>
      <c r="F229" s="51"/>
      <c r="G229" s="27"/>
    </row>
    <row r="230" spans="2:7" s="1" customFormat="1" ht="16.5" customHeight="1">
      <c r="B230" s="224" t="s">
        <v>1</v>
      </c>
      <c r="C230" s="225"/>
      <c r="D230" s="226">
        <f>SUBTOTAL(109,ExpJun[Amount])</f>
        <v>0</v>
      </c>
      <c r="E230" s="225"/>
      <c r="F230" s="225"/>
      <c r="G230" s="224"/>
    </row>
  </sheetData>
  <dataValidations count="14">
    <dataValidation type="custom" errorStyle="warning" allowBlank="1" showInputMessage="1" showErrorMessage="1" errorTitle="Amount Validation" error="Amount should be a number." sqref="D5:D16 D18 D22:D38 D44:D53 D59:D72 D78:D91 D97:D114 D120:D139 D145:D155 D161:D175 D181:D190 D196:D209 D215:D229">
      <formula1>ISNUMBER($D5)</formula1>
    </dataValidation>
    <dataValidation type="custom" errorStyle="warning" allowBlank="1" showInputMessage="1" showErrorMessage="1" errorTitle="Date Validation" error="A date in July needs be entered  in order for this expense to be added to the Summary sheet." sqref="B5:B16 B18">
      <formula1>MONTH($B5)=7</formula1>
    </dataValidation>
    <dataValidation type="list" errorStyle="warning" allowBlank="1" showInputMessage="1" showErrorMessage="1" errorTitle="Unknown Category" error="An expense from the drop down should be selected in order for it to be included on the Summary sheet." sqref="E5:F16 E18:F18 E22:F38 E44:F53 E59:F72 E78:F91 E97:F114 E120:F139 E145:F155 E161:F175 E181:F190 E196:E209 E215:F229">
      <formula1>ExpenseCategories</formula1>
    </dataValidation>
    <dataValidation type="custom" errorStyle="warning" allowBlank="1" showInputMessage="1" showErrorMessage="1" errorTitle="Date Validation" error="A date in August needs be entered  in order for this expense to be added to the Summary sheet." sqref="B22:B38">
      <formula1>MONTH($B22)=8</formula1>
    </dataValidation>
    <dataValidation type="custom" errorStyle="warning" allowBlank="1" showInputMessage="1" showErrorMessage="1" errorTitle="Date Validation" error="A date in September needs be entered  in order for this expense to be added to the Summary sheet." sqref="B44:B53">
      <formula1>MONTH($B44)=9</formula1>
    </dataValidation>
    <dataValidation type="custom" errorStyle="warning" allowBlank="1" showInputMessage="1" showErrorMessage="1" errorTitle="Date Validation" error="A date in October needs be entered  in order for this expense to be added to the Summary sheet." sqref="B59:B72">
      <formula1>MONTH($B59)=10</formula1>
    </dataValidation>
    <dataValidation type="custom" errorStyle="warning" allowBlank="1" showInputMessage="1" showErrorMessage="1" errorTitle="Date Validation" error="A date in November needs be entered  in order for this expense to be added to the Summary sheet." sqref="B78:B91">
      <formula1>MONTH($B78)=11</formula1>
    </dataValidation>
    <dataValidation type="custom" errorStyle="warning" allowBlank="1" showInputMessage="1" showErrorMessage="1" errorTitle="Date Validation" error="A date in December needs be entered  in order for this expense to be added to the Summary sheet." sqref="B97:B114">
      <formula1>MONTH($B97)=12</formula1>
    </dataValidation>
    <dataValidation type="custom" errorStyle="warning" allowBlank="1" showInputMessage="1" showErrorMessage="1" errorTitle="Date Validation" error="A date in January needs be entered in order for this expense to be added to the Summary sheet." sqref="B120:B139">
      <formula1>MONTH($B120)=1</formula1>
    </dataValidation>
    <dataValidation type="custom" errorStyle="warning" allowBlank="1" showInputMessage="1" showErrorMessage="1" errorTitle="Date Validation" error="A date in February needs be entered in order for this expense to be added to the Summary sheet." sqref="B145:B155">
      <formula1>MONTH($B145)=2</formula1>
    </dataValidation>
    <dataValidation type="custom" errorStyle="warning" allowBlank="1" showInputMessage="1" showErrorMessage="1" errorTitle="Date Validation" error="A date in March needs be entered in order for this expense to be added to the Summary sheet." sqref="B161:B175">
      <formula1>MONTH($B161)=3</formula1>
    </dataValidation>
    <dataValidation type="custom" errorStyle="warning" allowBlank="1" showInputMessage="1" showErrorMessage="1" errorTitle="Date Validation" error="A date in April needs be entered  in order for this expense to be added to the Summary sheet." sqref="B181:B190">
      <formula1>MONTH($B181)=4</formula1>
    </dataValidation>
    <dataValidation type="custom" errorStyle="warning" allowBlank="1" showInputMessage="1" showErrorMessage="1" errorTitle="Date Validation" error="A date in May needs be entered  in order for this expense to be added to the Summary sheet." sqref="B196:B209">
      <formula1>MONTH($B196)=5</formula1>
    </dataValidation>
    <dataValidation type="custom" errorStyle="warning" allowBlank="1" showInputMessage="1" showErrorMessage="1" errorTitle="Date Validation" error="A date in June needs be entered  in order for this expense to be added to the Summary sheet." sqref="B215:B229">
      <formula1>MONTH($B215)=6</formula1>
    </dataValidation>
  </dataValidations>
  <printOptions horizontalCentered="1"/>
  <pageMargins left="0.25" right="0.25" top="0.75" bottom="0.75" header="0.3" footer="0.3"/>
  <pageSetup scale="93" fitToHeight="0" orientation="landscape"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199"/>
  <sheetViews>
    <sheetView showGridLines="0" topLeftCell="A58" zoomScale="115" zoomScaleNormal="115" workbookViewId="0">
      <selection activeCell="F69" sqref="A1:XFD1048576"/>
    </sheetView>
  </sheetViews>
  <sheetFormatPr defaultColWidth="9.140625" defaultRowHeight="16.5" customHeight="1"/>
  <cols>
    <col min="1" max="1" width="3.140625" style="1" customWidth="1"/>
    <col min="2" max="4" width="12.28515625" style="1" customWidth="1"/>
    <col min="5" max="5" width="15.7109375" style="1" customWidth="1"/>
    <col min="6" max="6" width="41"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660</v>
      </c>
      <c r="G4" s="185" t="s">
        <v>45</v>
      </c>
    </row>
    <row r="5" spans="2:8" s="1" customFormat="1" ht="16.5" customHeight="1">
      <c r="B5" s="189">
        <v>42924</v>
      </c>
      <c r="C5" s="190">
        <v>10624</v>
      </c>
      <c r="D5" s="52">
        <v>502.06</v>
      </c>
      <c r="E5" s="190" t="s">
        <v>16</v>
      </c>
      <c r="F5" s="190" t="s">
        <v>924</v>
      </c>
      <c r="G5" s="191" t="s">
        <v>923</v>
      </c>
    </row>
    <row r="6" spans="2:8" s="1" customFormat="1" ht="16.5" customHeight="1">
      <c r="B6" s="189">
        <v>42924</v>
      </c>
      <c r="C6" s="190">
        <v>10624</v>
      </c>
      <c r="D6" s="52">
        <v>20</v>
      </c>
      <c r="E6" s="190" t="s">
        <v>2</v>
      </c>
      <c r="F6" s="190" t="s">
        <v>922</v>
      </c>
      <c r="G6" s="191"/>
    </row>
    <row r="7" spans="2:8" s="1" customFormat="1" ht="16.5" customHeight="1">
      <c r="B7" s="189">
        <v>42931</v>
      </c>
      <c r="C7" s="190">
        <v>10637</v>
      </c>
      <c r="D7" s="52">
        <v>312.94</v>
      </c>
      <c r="E7" s="190" t="s">
        <v>3</v>
      </c>
      <c r="F7" s="190" t="s">
        <v>921</v>
      </c>
      <c r="G7" s="191" t="s">
        <v>920</v>
      </c>
    </row>
    <row r="8" spans="2:8" s="1" customFormat="1" ht="16.5" customHeight="1">
      <c r="B8" s="189">
        <v>42931</v>
      </c>
      <c r="C8" s="190">
        <v>10637</v>
      </c>
      <c r="D8" s="52">
        <v>60</v>
      </c>
      <c r="E8" s="190" t="s">
        <v>2</v>
      </c>
      <c r="F8" s="190" t="s">
        <v>919</v>
      </c>
      <c r="G8" s="191"/>
    </row>
    <row r="9" spans="2:8" s="1" customFormat="1" ht="16.5" customHeight="1">
      <c r="B9" s="189">
        <v>42938</v>
      </c>
      <c r="C9" s="190">
        <v>10652</v>
      </c>
      <c r="D9" s="52">
        <v>10.37</v>
      </c>
      <c r="E9" s="190" t="s">
        <v>3</v>
      </c>
      <c r="F9" s="190" t="s">
        <v>918</v>
      </c>
      <c r="G9" s="191" t="s">
        <v>917</v>
      </c>
    </row>
    <row r="10" spans="2:8" s="1" customFormat="1" ht="16.5" customHeight="1">
      <c r="B10" s="189">
        <v>42938</v>
      </c>
      <c r="C10" s="190">
        <v>10652</v>
      </c>
      <c r="D10" s="52">
        <v>40</v>
      </c>
      <c r="E10" s="190" t="s">
        <v>2</v>
      </c>
      <c r="F10" s="190" t="s">
        <v>409</v>
      </c>
      <c r="G10" s="191"/>
    </row>
    <row r="11" spans="2:8" s="1" customFormat="1" ht="16.5" customHeight="1">
      <c r="B11" s="189">
        <v>42940</v>
      </c>
      <c r="C11" s="190">
        <v>10655</v>
      </c>
      <c r="D11" s="52">
        <v>7.83</v>
      </c>
      <c r="E11" s="190" t="s">
        <v>5</v>
      </c>
      <c r="F11" s="190" t="s">
        <v>916</v>
      </c>
      <c r="G11" s="191" t="s">
        <v>915</v>
      </c>
    </row>
    <row r="12" spans="2:8" s="1" customFormat="1" ht="16.5" customHeight="1">
      <c r="B12" s="189">
        <v>42940</v>
      </c>
      <c r="C12" s="190">
        <v>10655</v>
      </c>
      <c r="D12" s="52">
        <v>10</v>
      </c>
      <c r="E12" s="190" t="s">
        <v>2</v>
      </c>
      <c r="F12" s="190" t="s">
        <v>33</v>
      </c>
      <c r="G12" s="191"/>
    </row>
    <row r="13" spans="2:8" s="1" customFormat="1" ht="16.5" customHeight="1">
      <c r="B13" s="189">
        <v>42943</v>
      </c>
      <c r="C13" s="190">
        <v>10661</v>
      </c>
      <c r="D13" s="52">
        <v>105.18</v>
      </c>
      <c r="E13" s="190" t="s">
        <v>3</v>
      </c>
      <c r="F13" s="190" t="s">
        <v>914</v>
      </c>
      <c r="G13" s="191" t="s">
        <v>913</v>
      </c>
    </row>
    <row r="14" spans="2:8" s="1" customFormat="1" ht="16.5" customHeight="1">
      <c r="B14" s="189">
        <v>42943</v>
      </c>
      <c r="C14" s="190">
        <v>10661</v>
      </c>
      <c r="D14" s="52">
        <v>128.79</v>
      </c>
      <c r="E14" s="190" t="s">
        <v>13</v>
      </c>
      <c r="F14" s="190" t="s">
        <v>912</v>
      </c>
      <c r="G14" s="191" t="s">
        <v>911</v>
      </c>
    </row>
    <row r="15" spans="2:8" s="1" customFormat="1" ht="16.5" customHeight="1">
      <c r="B15" s="189">
        <v>42943</v>
      </c>
      <c r="C15" s="190">
        <v>10661</v>
      </c>
      <c r="D15" s="52">
        <v>100</v>
      </c>
      <c r="E15" s="190" t="s">
        <v>2</v>
      </c>
      <c r="F15" s="190" t="s">
        <v>910</v>
      </c>
      <c r="G15" s="191"/>
    </row>
    <row r="16" spans="2:8" s="1" customFormat="1" ht="16.5" customHeight="1">
      <c r="B16" s="189">
        <v>42944</v>
      </c>
      <c r="C16" s="190">
        <v>10666</v>
      </c>
      <c r="D16" s="52">
        <v>11.5</v>
      </c>
      <c r="E16" s="190" t="s">
        <v>3</v>
      </c>
      <c r="F16" s="190" t="s">
        <v>909</v>
      </c>
      <c r="G16" s="191" t="s">
        <v>908</v>
      </c>
    </row>
    <row r="17" spans="2:7" s="1" customFormat="1" ht="16.5" customHeight="1">
      <c r="B17" s="189">
        <v>42944</v>
      </c>
      <c r="C17" s="190">
        <v>10666</v>
      </c>
      <c r="D17" s="52">
        <v>10</v>
      </c>
      <c r="E17" s="190" t="s">
        <v>2</v>
      </c>
      <c r="F17" s="190" t="s">
        <v>33</v>
      </c>
      <c r="G17" s="191"/>
    </row>
    <row r="18" spans="2:7" s="1" customFormat="1" ht="16.5" customHeight="1">
      <c r="B18" s="192" t="s">
        <v>1</v>
      </c>
      <c r="C18" s="193"/>
      <c r="D18" s="194">
        <f>SUBTOTAL(109,ExpJul111[Amount])</f>
        <v>1318.67</v>
      </c>
      <c r="E18" s="193"/>
      <c r="F18" s="193"/>
      <c r="G18" s="192"/>
    </row>
    <row r="19" spans="2:7" s="1" customFormat="1" ht="16.5" customHeight="1">
      <c r="B19" s="195"/>
      <c r="C19" s="196"/>
      <c r="D19" s="197"/>
      <c r="E19" s="196"/>
      <c r="F19" s="196"/>
      <c r="G19" s="196"/>
    </row>
    <row r="20" spans="2:7" s="1" customFormat="1" ht="27" customHeight="1">
      <c r="B20" s="205" t="s">
        <v>52</v>
      </c>
      <c r="C20" s="36"/>
      <c r="D20" s="36"/>
      <c r="E20" s="36"/>
      <c r="F20" s="36"/>
      <c r="G20" s="36"/>
    </row>
    <row r="21" spans="2:7" s="1" customFormat="1" ht="16.5" customHeight="1">
      <c r="B21" s="36"/>
      <c r="C21" s="36"/>
      <c r="D21" s="36"/>
      <c r="E21" s="36"/>
      <c r="F21" s="36"/>
      <c r="G21" s="36"/>
    </row>
    <row r="22" spans="2:7" s="1" customFormat="1" ht="16.5" customHeight="1">
      <c r="B22" s="206" t="s">
        <v>50</v>
      </c>
      <c r="C22" s="207" t="s">
        <v>53</v>
      </c>
      <c r="D22" s="206" t="s">
        <v>48</v>
      </c>
      <c r="E22" s="207" t="s">
        <v>47</v>
      </c>
      <c r="F22" s="207" t="s">
        <v>660</v>
      </c>
      <c r="G22" s="206" t="s">
        <v>45</v>
      </c>
    </row>
    <row r="23" spans="2:7" s="1" customFormat="1" ht="16.5" customHeight="1">
      <c r="B23" s="208">
        <v>42948</v>
      </c>
      <c r="C23" s="209">
        <v>10675</v>
      </c>
      <c r="D23" s="210">
        <v>2.87</v>
      </c>
      <c r="E23" s="209" t="s">
        <v>17</v>
      </c>
      <c r="F23" s="209" t="s">
        <v>963</v>
      </c>
      <c r="G23" s="209" t="s">
        <v>964</v>
      </c>
    </row>
    <row r="24" spans="2:7" s="1" customFormat="1" ht="16.5" customHeight="1">
      <c r="B24" s="208">
        <v>42948</v>
      </c>
      <c r="C24" s="209">
        <v>10675</v>
      </c>
      <c r="D24" s="210">
        <v>14</v>
      </c>
      <c r="E24" s="209" t="s">
        <v>17</v>
      </c>
      <c r="F24" s="209" t="s">
        <v>965</v>
      </c>
      <c r="G24" s="209" t="s">
        <v>966</v>
      </c>
    </row>
    <row r="25" spans="2:7" s="1" customFormat="1" ht="16.5" customHeight="1">
      <c r="B25" s="208">
        <v>42948</v>
      </c>
      <c r="C25" s="209">
        <v>10675</v>
      </c>
      <c r="D25" s="210">
        <v>80</v>
      </c>
      <c r="E25" s="209" t="s">
        <v>17</v>
      </c>
      <c r="F25" s="209" t="s">
        <v>591</v>
      </c>
      <c r="G25" s="209"/>
    </row>
    <row r="26" spans="2:7" s="1" customFormat="1" ht="16.5" customHeight="1">
      <c r="B26" s="25">
        <v>42954</v>
      </c>
      <c r="C26" s="51">
        <v>10693</v>
      </c>
      <c r="D26" s="211">
        <v>15.15</v>
      </c>
      <c r="E26" s="51" t="s">
        <v>3</v>
      </c>
      <c r="F26" s="51" t="s">
        <v>967</v>
      </c>
      <c r="G26" s="27" t="s">
        <v>968</v>
      </c>
    </row>
    <row r="27" spans="2:7" s="1" customFormat="1" ht="16.5" customHeight="1">
      <c r="B27" s="25">
        <v>42954</v>
      </c>
      <c r="C27" s="51">
        <v>10693</v>
      </c>
      <c r="D27" s="211">
        <v>10</v>
      </c>
      <c r="E27" s="51" t="s">
        <v>2</v>
      </c>
      <c r="F27" s="51" t="s">
        <v>33</v>
      </c>
      <c r="G27" s="27"/>
    </row>
    <row r="28" spans="2:7" s="1" customFormat="1" ht="16.5" customHeight="1">
      <c r="B28" s="25">
        <v>42954</v>
      </c>
      <c r="C28" s="51">
        <v>10708</v>
      </c>
      <c r="D28" s="211">
        <v>10.94</v>
      </c>
      <c r="E28" s="51" t="s">
        <v>3</v>
      </c>
      <c r="F28" s="51" t="s">
        <v>969</v>
      </c>
      <c r="G28" s="27" t="s">
        <v>970</v>
      </c>
    </row>
    <row r="29" spans="2:7" s="1" customFormat="1" ht="16.5" customHeight="1">
      <c r="B29" s="25">
        <v>42954</v>
      </c>
      <c r="C29" s="51">
        <v>10708</v>
      </c>
      <c r="D29" s="211">
        <v>10</v>
      </c>
      <c r="E29" s="51" t="s">
        <v>2</v>
      </c>
      <c r="F29" s="51" t="s">
        <v>663</v>
      </c>
      <c r="G29" s="27"/>
    </row>
    <row r="30" spans="2:7" s="1" customFormat="1" ht="16.5" customHeight="1">
      <c r="B30" s="25">
        <v>42963</v>
      </c>
      <c r="C30" s="51">
        <v>10717</v>
      </c>
      <c r="D30" s="211">
        <v>57.85</v>
      </c>
      <c r="E30" s="51" t="s">
        <v>3</v>
      </c>
      <c r="F30" s="51" t="s">
        <v>971</v>
      </c>
      <c r="G30" s="27" t="s">
        <v>972</v>
      </c>
    </row>
    <row r="31" spans="2:7" s="1" customFormat="1" ht="16.5" customHeight="1">
      <c r="B31" s="25">
        <v>42963</v>
      </c>
      <c r="C31" s="51">
        <v>17017</v>
      </c>
      <c r="D31" s="211">
        <v>42.89</v>
      </c>
      <c r="E31" s="51" t="s">
        <v>14</v>
      </c>
      <c r="F31" s="51" t="s">
        <v>973</v>
      </c>
      <c r="G31" s="27" t="s">
        <v>974</v>
      </c>
    </row>
    <row r="32" spans="2:7" s="1" customFormat="1" ht="16.5" customHeight="1">
      <c r="B32" s="25">
        <v>42963</v>
      </c>
      <c r="C32" s="51">
        <v>17017</v>
      </c>
      <c r="D32" s="211">
        <v>42.89</v>
      </c>
      <c r="E32" s="51" t="s">
        <v>14</v>
      </c>
      <c r="F32" s="51" t="s">
        <v>973</v>
      </c>
      <c r="G32" s="27" t="s">
        <v>975</v>
      </c>
    </row>
    <row r="33" spans="2:7" s="1" customFormat="1" ht="16.5" customHeight="1">
      <c r="B33" s="25">
        <v>42963</v>
      </c>
      <c r="C33" s="51">
        <v>17017</v>
      </c>
      <c r="D33" s="211">
        <v>48.09</v>
      </c>
      <c r="E33" s="51" t="s">
        <v>15</v>
      </c>
      <c r="F33" s="51" t="s">
        <v>976</v>
      </c>
      <c r="G33" s="27" t="s">
        <v>977</v>
      </c>
    </row>
    <row r="34" spans="2:7" s="1" customFormat="1" ht="16.5" customHeight="1">
      <c r="B34" s="337">
        <v>42963</v>
      </c>
      <c r="C34" s="338">
        <v>17017</v>
      </c>
      <c r="D34" s="339">
        <v>54.7</v>
      </c>
      <c r="E34" s="338" t="s">
        <v>3</v>
      </c>
      <c r="F34" s="338" t="s">
        <v>978</v>
      </c>
      <c r="G34" s="340" t="s">
        <v>979</v>
      </c>
    </row>
    <row r="35" spans="2:7" s="1" customFormat="1" ht="16.5" customHeight="1">
      <c r="B35" s="337">
        <v>42963</v>
      </c>
      <c r="C35" s="338">
        <v>17017</v>
      </c>
      <c r="D35" s="339">
        <v>418.88</v>
      </c>
      <c r="E35" s="338" t="s">
        <v>16</v>
      </c>
      <c r="F35" s="338" t="s">
        <v>980</v>
      </c>
      <c r="G35" s="340" t="s">
        <v>981</v>
      </c>
    </row>
    <row r="36" spans="2:7" s="1" customFormat="1" ht="16.5" customHeight="1">
      <c r="B36" s="337">
        <v>42963</v>
      </c>
      <c r="C36" s="338">
        <v>17017</v>
      </c>
      <c r="D36" s="339">
        <v>120</v>
      </c>
      <c r="E36" s="338" t="s">
        <v>2</v>
      </c>
      <c r="F36" s="338" t="s">
        <v>982</v>
      </c>
      <c r="G36" s="340"/>
    </row>
    <row r="37" spans="2:7" s="1" customFormat="1" ht="16.5" customHeight="1">
      <c r="B37" s="511">
        <v>42958</v>
      </c>
      <c r="C37" s="338">
        <v>10731</v>
      </c>
      <c r="D37" s="339">
        <v>16.16</v>
      </c>
      <c r="E37" s="338" t="s">
        <v>3</v>
      </c>
      <c r="F37" s="338" t="s">
        <v>983</v>
      </c>
      <c r="G37" s="340" t="s">
        <v>984</v>
      </c>
    </row>
    <row r="38" spans="2:7" s="1" customFormat="1" ht="16.5" customHeight="1">
      <c r="B38" s="337">
        <v>42958</v>
      </c>
      <c r="C38" s="338">
        <v>10731</v>
      </c>
      <c r="D38" s="339">
        <v>15.47</v>
      </c>
      <c r="E38" s="338" t="s">
        <v>3</v>
      </c>
      <c r="F38" s="338" t="s">
        <v>985</v>
      </c>
      <c r="G38" s="340" t="s">
        <v>986</v>
      </c>
    </row>
    <row r="39" spans="2:7" s="1" customFormat="1" ht="16.5" customHeight="1">
      <c r="B39" s="337">
        <v>42976</v>
      </c>
      <c r="C39" s="338">
        <v>10753</v>
      </c>
      <c r="D39" s="339">
        <v>6.06</v>
      </c>
      <c r="E39" s="338" t="s">
        <v>3</v>
      </c>
      <c r="F39" s="338" t="s">
        <v>987</v>
      </c>
      <c r="G39" s="340" t="s">
        <v>988</v>
      </c>
    </row>
    <row r="40" spans="2:7" s="1" customFormat="1" ht="16.5" customHeight="1">
      <c r="B40" s="337">
        <v>42976</v>
      </c>
      <c r="C40" s="338">
        <v>10753</v>
      </c>
      <c r="D40" s="339">
        <v>10</v>
      </c>
      <c r="E40" s="338" t="s">
        <v>2</v>
      </c>
      <c r="F40" s="338" t="s">
        <v>33</v>
      </c>
      <c r="G40" s="340"/>
    </row>
    <row r="41" spans="2:7" s="1" customFormat="1" ht="16.5" customHeight="1">
      <c r="B41" s="337"/>
      <c r="C41" s="338"/>
      <c r="D41" s="339"/>
      <c r="E41" s="338"/>
      <c r="F41" s="338"/>
      <c r="G41" s="340"/>
    </row>
    <row r="42" spans="2:7" s="1" customFormat="1" ht="16.5" customHeight="1">
      <c r="B42" s="212" t="s">
        <v>1</v>
      </c>
      <c r="C42" s="213"/>
      <c r="D42" s="214">
        <f>SUBTOTAL(109,ExpAug112[Amount])</f>
        <v>975.94999999999993</v>
      </c>
      <c r="E42" s="213"/>
      <c r="F42" s="213"/>
      <c r="G42" s="212"/>
    </row>
    <row r="44" spans="2:7" s="1" customFormat="1" ht="26.25" customHeight="1">
      <c r="B44" s="205" t="s">
        <v>56</v>
      </c>
      <c r="C44" s="117"/>
      <c r="D44" s="117"/>
      <c r="E44" s="117"/>
      <c r="F44" s="117"/>
      <c r="G44" s="117"/>
    </row>
    <row r="45" spans="2:7" s="1" customFormat="1" ht="16.5" customHeight="1">
      <c r="B45" s="117"/>
      <c r="C45" s="117"/>
      <c r="D45" s="117"/>
      <c r="E45" s="117"/>
      <c r="F45" s="117"/>
      <c r="G45" s="117"/>
    </row>
    <row r="46" spans="2:7" s="1" customFormat="1" ht="16.5" customHeight="1">
      <c r="B46" s="206" t="s">
        <v>50</v>
      </c>
      <c r="C46" s="207" t="s">
        <v>53</v>
      </c>
      <c r="D46" s="206" t="s">
        <v>48</v>
      </c>
      <c r="E46" s="207" t="s">
        <v>47</v>
      </c>
      <c r="F46" s="207" t="s">
        <v>660</v>
      </c>
      <c r="G46" s="206" t="s">
        <v>45</v>
      </c>
    </row>
    <row r="47" spans="2:7" s="1" customFormat="1" ht="16.5" customHeight="1">
      <c r="B47" s="25">
        <v>42985</v>
      </c>
      <c r="C47" s="51">
        <v>10776</v>
      </c>
      <c r="D47" s="211">
        <v>33.950000000000003</v>
      </c>
      <c r="E47" s="51" t="s">
        <v>3</v>
      </c>
      <c r="F47" s="51" t="s">
        <v>989</v>
      </c>
      <c r="G47" s="27" t="s">
        <v>990</v>
      </c>
    </row>
    <row r="48" spans="2:7" s="1" customFormat="1" ht="16.5" customHeight="1">
      <c r="B48" s="25">
        <v>42985</v>
      </c>
      <c r="C48" s="51">
        <v>10776</v>
      </c>
      <c r="D48" s="211">
        <v>20</v>
      </c>
      <c r="E48" s="51" t="s">
        <v>2</v>
      </c>
      <c r="F48" s="51" t="s">
        <v>178</v>
      </c>
      <c r="G48" s="27"/>
    </row>
    <row r="49" spans="2:7" s="1" customFormat="1" ht="16.5" customHeight="1">
      <c r="B49" s="25">
        <v>42990</v>
      </c>
      <c r="C49" s="51">
        <v>10790</v>
      </c>
      <c r="D49" s="211">
        <v>20.95</v>
      </c>
      <c r="E49" s="51" t="s">
        <v>171</v>
      </c>
      <c r="F49" s="51" t="s">
        <v>991</v>
      </c>
      <c r="G49" s="27" t="s">
        <v>992</v>
      </c>
    </row>
    <row r="50" spans="2:7" s="1" customFormat="1" ht="16.5" customHeight="1">
      <c r="B50" s="25">
        <v>42990</v>
      </c>
      <c r="C50" s="51">
        <v>10790</v>
      </c>
      <c r="D50" s="211">
        <v>6.15</v>
      </c>
      <c r="E50" s="51" t="s">
        <v>171</v>
      </c>
      <c r="F50" s="51" t="s">
        <v>993</v>
      </c>
      <c r="G50" s="27" t="s">
        <v>994</v>
      </c>
    </row>
    <row r="51" spans="2:7" s="1" customFormat="1" ht="16.5" customHeight="1">
      <c r="B51" s="25">
        <v>42990</v>
      </c>
      <c r="C51" s="51">
        <v>10790</v>
      </c>
      <c r="D51" s="211">
        <v>48.09</v>
      </c>
      <c r="E51" s="51" t="s">
        <v>15</v>
      </c>
      <c r="F51" s="51" t="s">
        <v>995</v>
      </c>
      <c r="G51" s="27" t="s">
        <v>996</v>
      </c>
    </row>
    <row r="52" spans="2:7" s="1" customFormat="1" ht="16.5" customHeight="1">
      <c r="B52" s="25">
        <v>42990</v>
      </c>
      <c r="C52" s="51">
        <v>10790</v>
      </c>
      <c r="D52" s="211">
        <v>42.89</v>
      </c>
      <c r="E52" s="51" t="s">
        <v>14</v>
      </c>
      <c r="F52" s="51" t="s">
        <v>997</v>
      </c>
      <c r="G52" s="27" t="s">
        <v>998</v>
      </c>
    </row>
    <row r="53" spans="2:7" s="1" customFormat="1" ht="16.5" customHeight="1">
      <c r="B53" s="25">
        <v>42990</v>
      </c>
      <c r="C53" s="51">
        <v>10790</v>
      </c>
      <c r="D53" s="211">
        <v>42.89</v>
      </c>
      <c r="E53" s="51" t="s">
        <v>14</v>
      </c>
      <c r="F53" s="51" t="s">
        <v>999</v>
      </c>
      <c r="G53" s="27" t="s">
        <v>1000</v>
      </c>
    </row>
    <row r="54" spans="2:7" s="1" customFormat="1" ht="16.5" customHeight="1">
      <c r="B54" s="25">
        <v>42990</v>
      </c>
      <c r="C54" s="51">
        <v>10790</v>
      </c>
      <c r="D54" s="211">
        <v>502.06</v>
      </c>
      <c r="E54" s="51" t="s">
        <v>16</v>
      </c>
      <c r="F54" s="51" t="s">
        <v>1001</v>
      </c>
      <c r="G54" s="27" t="s">
        <v>1002</v>
      </c>
    </row>
    <row r="55" spans="2:7" s="1" customFormat="1" ht="16.5" customHeight="1">
      <c r="B55" s="25">
        <v>42990</v>
      </c>
      <c r="C55" s="51">
        <v>10790</v>
      </c>
      <c r="D55" s="211">
        <v>80</v>
      </c>
      <c r="E55" s="51" t="s">
        <v>2</v>
      </c>
      <c r="F55" s="51" t="s">
        <v>1003</v>
      </c>
      <c r="G55" s="512" t="s">
        <v>1004</v>
      </c>
    </row>
    <row r="56" spans="2:7" s="1" customFormat="1" ht="16.5" customHeight="1">
      <c r="B56" s="208">
        <v>42994</v>
      </c>
      <c r="C56" s="209">
        <v>10799</v>
      </c>
      <c r="D56" s="210">
        <v>2.87</v>
      </c>
      <c r="E56" s="209" t="s">
        <v>17</v>
      </c>
      <c r="F56" s="209" t="s">
        <v>1005</v>
      </c>
      <c r="G56" s="209" t="s">
        <v>1006</v>
      </c>
    </row>
    <row r="57" spans="2:7" s="1" customFormat="1" ht="16.5" customHeight="1">
      <c r="B57" s="208">
        <v>42994</v>
      </c>
      <c r="C57" s="209">
        <v>10799</v>
      </c>
      <c r="D57" s="210">
        <v>3.47</v>
      </c>
      <c r="E57" s="209" t="s">
        <v>17</v>
      </c>
      <c r="F57" s="209" t="s">
        <v>1007</v>
      </c>
      <c r="G57" s="209" t="s">
        <v>1008</v>
      </c>
    </row>
    <row r="58" spans="2:7" s="1" customFormat="1" ht="16.5" customHeight="1">
      <c r="B58" s="341">
        <v>42994</v>
      </c>
      <c r="C58" s="342">
        <v>10799</v>
      </c>
      <c r="D58" s="343">
        <v>5.04</v>
      </c>
      <c r="E58" s="342" t="s">
        <v>17</v>
      </c>
      <c r="F58" s="342" t="s">
        <v>1009</v>
      </c>
      <c r="G58" s="342" t="s">
        <v>1010</v>
      </c>
    </row>
    <row r="59" spans="2:7" s="1" customFormat="1" ht="16.5" customHeight="1">
      <c r="B59" s="341">
        <v>42994</v>
      </c>
      <c r="C59" s="342">
        <v>10799</v>
      </c>
      <c r="D59" s="343">
        <v>2.79</v>
      </c>
      <c r="E59" s="342" t="s">
        <v>17</v>
      </c>
      <c r="F59" s="342" t="s">
        <v>1011</v>
      </c>
      <c r="G59" s="342" t="s">
        <v>1012</v>
      </c>
    </row>
    <row r="60" spans="2:7" s="1" customFormat="1" ht="16.5" customHeight="1">
      <c r="B60" s="341">
        <v>42994</v>
      </c>
      <c r="C60" s="342">
        <v>10799</v>
      </c>
      <c r="D60" s="343">
        <v>73.599999999999994</v>
      </c>
      <c r="E60" s="342" t="s">
        <v>17</v>
      </c>
      <c r="F60" s="342" t="s">
        <v>1013</v>
      </c>
      <c r="G60" s="342" t="s">
        <v>1014</v>
      </c>
    </row>
    <row r="61" spans="2:7" s="1" customFormat="1" ht="16.5" customHeight="1">
      <c r="B61" s="341">
        <v>42994</v>
      </c>
      <c r="C61" s="342">
        <v>10799</v>
      </c>
      <c r="D61" s="343">
        <v>49.48</v>
      </c>
      <c r="E61" s="342" t="s">
        <v>17</v>
      </c>
      <c r="F61" s="342" t="s">
        <v>1015</v>
      </c>
      <c r="G61" s="342" t="s">
        <v>1016</v>
      </c>
    </row>
    <row r="62" spans="2:7" s="1" customFormat="1" ht="16.5" customHeight="1">
      <c r="B62" s="341">
        <v>42994</v>
      </c>
      <c r="C62" s="342">
        <v>10799</v>
      </c>
      <c r="D62" s="343">
        <v>6.06</v>
      </c>
      <c r="E62" s="342" t="s">
        <v>17</v>
      </c>
      <c r="F62" s="342" t="s">
        <v>1017</v>
      </c>
      <c r="G62" s="342" t="s">
        <v>1018</v>
      </c>
    </row>
    <row r="63" spans="2:7" s="1" customFormat="1" ht="16.5" customHeight="1">
      <c r="B63" s="341">
        <v>42994</v>
      </c>
      <c r="C63" s="342">
        <v>10799</v>
      </c>
      <c r="D63" s="343">
        <v>14</v>
      </c>
      <c r="E63" s="342" t="s">
        <v>17</v>
      </c>
      <c r="F63" s="342" t="s">
        <v>1019</v>
      </c>
      <c r="G63" s="342" t="s">
        <v>1020</v>
      </c>
    </row>
    <row r="64" spans="2:7" s="1" customFormat="1" ht="16.5" customHeight="1">
      <c r="B64" s="341">
        <v>42994</v>
      </c>
      <c r="C64" s="342">
        <v>10799</v>
      </c>
      <c r="D64" s="343">
        <v>160</v>
      </c>
      <c r="E64" s="342" t="s">
        <v>17</v>
      </c>
      <c r="F64" s="342" t="s">
        <v>69</v>
      </c>
      <c r="G64" s="342"/>
    </row>
    <row r="65" spans="2:7" s="1" customFormat="1" ht="16.5" customHeight="1">
      <c r="B65" s="337">
        <v>43006</v>
      </c>
      <c r="C65" s="338">
        <v>10828</v>
      </c>
      <c r="D65" s="339">
        <v>15.66</v>
      </c>
      <c r="E65" s="338" t="s">
        <v>5</v>
      </c>
      <c r="F65" s="338" t="s">
        <v>1021</v>
      </c>
      <c r="G65" s="340" t="s">
        <v>688</v>
      </c>
    </row>
    <row r="66" spans="2:7" s="1" customFormat="1" ht="16.5" customHeight="1">
      <c r="B66" s="337"/>
      <c r="C66" s="338"/>
      <c r="D66" s="339"/>
      <c r="E66" s="338"/>
      <c r="F66" s="338"/>
      <c r="G66" s="340"/>
    </row>
    <row r="67" spans="2:7" s="1" customFormat="1" ht="16.5" customHeight="1">
      <c r="B67" s="212" t="s">
        <v>1</v>
      </c>
      <c r="C67" s="213"/>
      <c r="D67" s="214">
        <f>SUBTOTAL(109,ExpSep113[Amount])</f>
        <v>1129.95</v>
      </c>
      <c r="E67" s="213"/>
      <c r="F67" s="213"/>
      <c r="G67" s="212"/>
    </row>
    <row r="69" spans="2:7" s="1" customFormat="1" ht="26.25" customHeight="1">
      <c r="B69" s="205" t="s">
        <v>70</v>
      </c>
      <c r="C69" s="117"/>
      <c r="D69" s="117"/>
      <c r="E69" s="117"/>
      <c r="F69" s="117"/>
      <c r="G69" s="117"/>
    </row>
    <row r="70" spans="2:7" s="1" customFormat="1" ht="16.5" customHeight="1">
      <c r="B70" s="117"/>
      <c r="C70" s="117"/>
      <c r="D70" s="117"/>
      <c r="E70" s="117"/>
      <c r="F70" s="117"/>
      <c r="G70" s="117"/>
    </row>
    <row r="71" spans="2:7" s="1" customFormat="1" ht="16.5" customHeight="1">
      <c r="B71" s="206" t="s">
        <v>50</v>
      </c>
      <c r="C71" s="207" t="s">
        <v>71</v>
      </c>
      <c r="D71" s="206" t="s">
        <v>48</v>
      </c>
      <c r="E71" s="207" t="s">
        <v>47</v>
      </c>
      <c r="F71" s="207" t="s">
        <v>660</v>
      </c>
      <c r="G71" s="206" t="s">
        <v>45</v>
      </c>
    </row>
    <row r="72" spans="2:7" s="1" customFormat="1" ht="16.5" customHeight="1">
      <c r="B72" s="25">
        <v>43024</v>
      </c>
      <c r="C72" s="51" t="s">
        <v>1720</v>
      </c>
      <c r="D72" s="211">
        <v>12</v>
      </c>
      <c r="E72" s="51" t="s">
        <v>171</v>
      </c>
      <c r="F72" s="51" t="s">
        <v>1721</v>
      </c>
      <c r="G72" s="27" t="s">
        <v>1722</v>
      </c>
    </row>
    <row r="73" spans="2:7" s="1" customFormat="1" ht="16.5" customHeight="1">
      <c r="B73" s="25">
        <v>43027</v>
      </c>
      <c r="C73" s="51">
        <v>10878</v>
      </c>
      <c r="D73" s="211">
        <v>36.51</v>
      </c>
      <c r="E73" s="51" t="s">
        <v>3</v>
      </c>
      <c r="F73" s="51" t="s">
        <v>1744</v>
      </c>
      <c r="G73" s="27" t="s">
        <v>1745</v>
      </c>
    </row>
    <row r="74" spans="2:7" s="1" customFormat="1" ht="16.5" customHeight="1">
      <c r="B74" s="25">
        <v>43027</v>
      </c>
      <c r="C74" s="51">
        <v>10878</v>
      </c>
      <c r="D74" s="211">
        <v>170.98</v>
      </c>
      <c r="E74" s="51" t="s">
        <v>3</v>
      </c>
      <c r="F74" s="51" t="s">
        <v>1746</v>
      </c>
      <c r="G74" s="27" t="s">
        <v>1747</v>
      </c>
    </row>
    <row r="75" spans="2:7" s="1" customFormat="1" ht="16.5" customHeight="1">
      <c r="B75" s="25">
        <v>43027</v>
      </c>
      <c r="C75" s="51">
        <v>10878</v>
      </c>
      <c r="D75" s="211">
        <v>42.91</v>
      </c>
      <c r="E75" s="51" t="s">
        <v>3</v>
      </c>
      <c r="F75" s="51" t="s">
        <v>1748</v>
      </c>
      <c r="G75" s="27" t="s">
        <v>1749</v>
      </c>
    </row>
    <row r="76" spans="2:7" s="1" customFormat="1" ht="16.5" customHeight="1">
      <c r="B76" s="25">
        <v>43027</v>
      </c>
      <c r="C76" s="51">
        <v>10878</v>
      </c>
      <c r="D76" s="211">
        <v>180</v>
      </c>
      <c r="E76" s="51" t="s">
        <v>2</v>
      </c>
      <c r="F76" s="51" t="s">
        <v>1750</v>
      </c>
      <c r="G76" s="27"/>
    </row>
    <row r="77" spans="2:7" s="1" customFormat="1" ht="16.5" customHeight="1">
      <c r="B77" s="25"/>
      <c r="C77" s="51"/>
      <c r="D77" s="211"/>
      <c r="E77" s="51"/>
      <c r="F77" s="51"/>
      <c r="G77" s="27"/>
    </row>
    <row r="78" spans="2:7" s="1" customFormat="1" ht="16.5" customHeight="1">
      <c r="B78" s="25"/>
      <c r="C78" s="51"/>
      <c r="D78" s="211"/>
      <c r="E78" s="51"/>
      <c r="F78" s="51"/>
      <c r="G78" s="27"/>
    </row>
    <row r="79" spans="2:7" s="1" customFormat="1" ht="16.5" customHeight="1">
      <c r="B79" s="25"/>
      <c r="C79" s="51"/>
      <c r="D79" s="211"/>
      <c r="E79" s="51"/>
      <c r="F79" s="51"/>
      <c r="G79" s="27"/>
    </row>
    <row r="80" spans="2:7" s="1" customFormat="1" ht="16.5" customHeight="1">
      <c r="B80" s="25"/>
      <c r="C80" s="51"/>
      <c r="D80" s="211"/>
      <c r="E80" s="51"/>
      <c r="F80" s="51"/>
      <c r="G80" s="27"/>
    </row>
    <row r="81" spans="2:7" s="1" customFormat="1" ht="16.5" customHeight="1">
      <c r="B81" s="25"/>
      <c r="C81" s="51"/>
      <c r="D81" s="211"/>
      <c r="E81" s="51"/>
      <c r="F81" s="51"/>
      <c r="G81" s="27"/>
    </row>
    <row r="82" spans="2:7" s="1" customFormat="1" ht="16.5" customHeight="1">
      <c r="B82" s="25"/>
      <c r="C82" s="51"/>
      <c r="D82" s="211"/>
      <c r="E82" s="51"/>
      <c r="F82" s="51"/>
      <c r="G82" s="27"/>
    </row>
    <row r="83" spans="2:7" s="1" customFormat="1" ht="16.5" customHeight="1">
      <c r="B83" s="212" t="s">
        <v>1</v>
      </c>
      <c r="C83" s="213"/>
      <c r="D83" s="214">
        <f>SUBTOTAL(109,ExpOct114[Amount])</f>
        <v>442.4</v>
      </c>
      <c r="E83" s="213"/>
      <c r="F83" s="213"/>
      <c r="G83" s="212"/>
    </row>
    <row r="85" spans="2:7" s="1" customFormat="1" ht="27" customHeight="1">
      <c r="B85" s="205" t="s">
        <v>159</v>
      </c>
      <c r="C85" s="117"/>
      <c r="D85" s="117"/>
      <c r="E85" s="117"/>
      <c r="F85" s="117"/>
      <c r="G85" s="117"/>
    </row>
    <row r="86" spans="2:7" s="1" customFormat="1" ht="16.5" customHeight="1">
      <c r="B86" s="117"/>
      <c r="C86" s="117"/>
      <c r="D86" s="117"/>
      <c r="E86" s="117"/>
      <c r="F86" s="117"/>
      <c r="G86" s="117"/>
    </row>
    <row r="87" spans="2:7" s="1" customFormat="1" ht="16.5" customHeight="1">
      <c r="B87" s="206" t="s">
        <v>50</v>
      </c>
      <c r="C87" s="207" t="s">
        <v>71</v>
      </c>
      <c r="D87" s="206" t="s">
        <v>48</v>
      </c>
      <c r="E87" s="207" t="s">
        <v>47</v>
      </c>
      <c r="F87" s="207" t="s">
        <v>161</v>
      </c>
      <c r="G87" s="206" t="s">
        <v>160</v>
      </c>
    </row>
    <row r="88" spans="2:7" s="1" customFormat="1" ht="16.5" customHeight="1">
      <c r="B88" s="25"/>
      <c r="C88" s="51"/>
      <c r="D88" s="211"/>
      <c r="E88" s="51"/>
      <c r="F88" s="51"/>
      <c r="G88" s="27"/>
    </row>
    <row r="89" spans="2:7" s="1" customFormat="1" ht="16.5" customHeight="1">
      <c r="B89" s="25"/>
      <c r="C89" s="51"/>
      <c r="D89" s="211"/>
      <c r="E89" s="51"/>
      <c r="F89" s="51"/>
      <c r="G89" s="27"/>
    </row>
    <row r="90" spans="2:7" s="1" customFormat="1" ht="16.5" customHeight="1">
      <c r="B90" s="25"/>
      <c r="C90" s="51"/>
      <c r="D90" s="211"/>
      <c r="E90" s="51"/>
      <c r="F90" s="51"/>
      <c r="G90" s="27"/>
    </row>
    <row r="91" spans="2:7" s="1" customFormat="1" ht="16.5" customHeight="1">
      <c r="B91" s="25"/>
      <c r="C91" s="51"/>
      <c r="D91" s="211"/>
      <c r="E91" s="51"/>
      <c r="F91" s="51"/>
      <c r="G91" s="27"/>
    </row>
    <row r="92" spans="2:7" s="1" customFormat="1" ht="16.5" customHeight="1">
      <c r="B92" s="25"/>
      <c r="C92" s="51"/>
      <c r="D92" s="211"/>
      <c r="E92" s="51"/>
      <c r="F92" s="51"/>
      <c r="G92" s="27"/>
    </row>
    <row r="93" spans="2:7" s="1" customFormat="1" ht="16.5" customHeight="1">
      <c r="B93" s="25"/>
      <c r="C93" s="51"/>
      <c r="D93" s="211"/>
      <c r="E93" s="51"/>
      <c r="F93" s="51"/>
      <c r="G93" s="27"/>
    </row>
    <row r="94" spans="2:7" s="1" customFormat="1" ht="16.5" customHeight="1">
      <c r="B94" s="25"/>
      <c r="C94" s="51"/>
      <c r="D94" s="211"/>
      <c r="E94" s="51"/>
      <c r="F94" s="51"/>
      <c r="G94" s="27"/>
    </row>
    <row r="95" spans="2:7" s="1" customFormat="1" ht="16.5" customHeight="1">
      <c r="B95" s="25"/>
      <c r="C95" s="51"/>
      <c r="D95" s="211"/>
      <c r="E95" s="51"/>
      <c r="F95" s="51"/>
      <c r="G95" s="27"/>
    </row>
    <row r="96" spans="2:7" s="1" customFormat="1" ht="16.5" customHeight="1">
      <c r="B96" s="25"/>
      <c r="C96" s="51"/>
      <c r="D96" s="211"/>
      <c r="E96" s="51"/>
      <c r="F96" s="51"/>
      <c r="G96" s="27"/>
    </row>
    <row r="97" spans="2:7" s="1" customFormat="1" ht="16.5" customHeight="1">
      <c r="B97" s="25"/>
      <c r="C97" s="51"/>
      <c r="D97" s="211"/>
      <c r="E97" s="51"/>
      <c r="F97" s="51"/>
      <c r="G97" s="27"/>
    </row>
    <row r="98" spans="2:7" s="1" customFormat="1" ht="16.5" customHeight="1">
      <c r="B98" s="212" t="s">
        <v>1</v>
      </c>
      <c r="C98" s="213"/>
      <c r="D98" s="214">
        <f>SUBTOTAL(109,ExpNov115[Amount])</f>
        <v>0</v>
      </c>
      <c r="E98" s="213"/>
      <c r="F98" s="213"/>
      <c r="G98" s="212"/>
    </row>
    <row r="100" spans="2:7" s="1" customFormat="1" ht="26.25" customHeight="1">
      <c r="B100" s="205" t="s">
        <v>162</v>
      </c>
      <c r="C100" s="117"/>
      <c r="D100" s="117"/>
      <c r="E100" s="117"/>
      <c r="F100" s="117"/>
      <c r="G100" s="117"/>
    </row>
    <row r="101" spans="2:7" s="1" customFormat="1" ht="16.5" customHeight="1">
      <c r="B101" s="117"/>
      <c r="C101" s="117"/>
      <c r="D101" s="117"/>
      <c r="E101" s="117"/>
      <c r="F101" s="117"/>
      <c r="G101" s="117"/>
    </row>
    <row r="102" spans="2:7" s="1" customFormat="1" ht="16.5" customHeight="1">
      <c r="B102" s="206" t="s">
        <v>50</v>
      </c>
      <c r="C102" s="207" t="s">
        <v>71</v>
      </c>
      <c r="D102" s="206" t="s">
        <v>48</v>
      </c>
      <c r="E102" s="207" t="s">
        <v>47</v>
      </c>
      <c r="F102" s="207" t="s">
        <v>161</v>
      </c>
      <c r="G102" s="206" t="s">
        <v>160</v>
      </c>
    </row>
    <row r="103" spans="2:7" s="1" customFormat="1" ht="16.5" customHeight="1">
      <c r="B103" s="25"/>
      <c r="C103" s="51"/>
      <c r="D103" s="211"/>
      <c r="E103" s="51"/>
      <c r="F103" s="51"/>
      <c r="G103" s="27"/>
    </row>
    <row r="104" spans="2:7" s="1" customFormat="1" ht="16.5" customHeight="1">
      <c r="B104" s="25"/>
      <c r="C104" s="51"/>
      <c r="D104" s="211"/>
      <c r="E104" s="51"/>
      <c r="F104" s="51"/>
      <c r="G104" s="27"/>
    </row>
    <row r="105" spans="2:7" s="1" customFormat="1" ht="16.5" customHeight="1">
      <c r="B105" s="25"/>
      <c r="C105" s="51"/>
      <c r="D105" s="211"/>
      <c r="E105" s="51"/>
      <c r="F105" s="51"/>
      <c r="G105" s="27"/>
    </row>
    <row r="106" spans="2:7" s="1" customFormat="1" ht="16.5" customHeight="1">
      <c r="B106" s="25"/>
      <c r="C106" s="51"/>
      <c r="D106" s="211"/>
      <c r="E106" s="51"/>
      <c r="F106" s="51"/>
      <c r="G106" s="27"/>
    </row>
    <row r="107" spans="2:7" s="1" customFormat="1" ht="16.5" customHeight="1">
      <c r="B107" s="25"/>
      <c r="C107" s="51"/>
      <c r="D107" s="211"/>
      <c r="E107" s="51"/>
      <c r="F107" s="51"/>
      <c r="G107" s="27"/>
    </row>
    <row r="108" spans="2:7" s="1" customFormat="1" ht="16.5" customHeight="1">
      <c r="B108" s="25"/>
      <c r="C108" s="51"/>
      <c r="D108" s="211"/>
      <c r="E108" s="51"/>
      <c r="F108" s="51"/>
      <c r="G108" s="27"/>
    </row>
    <row r="109" spans="2:7" s="1" customFormat="1" ht="16.5" customHeight="1">
      <c r="B109" s="212" t="s">
        <v>1</v>
      </c>
      <c r="C109" s="213"/>
      <c r="D109" s="214">
        <f>SUBTOTAL(109,ExpDec116[Amount])</f>
        <v>0</v>
      </c>
      <c r="E109" s="213"/>
      <c r="F109" s="213"/>
      <c r="G109" s="212"/>
    </row>
    <row r="111" spans="2:7" s="1" customFormat="1" ht="27" customHeight="1">
      <c r="B111" s="205" t="s">
        <v>163</v>
      </c>
      <c r="C111" s="117"/>
      <c r="D111" s="117"/>
      <c r="E111" s="117"/>
      <c r="F111" s="117"/>
      <c r="G111" s="117"/>
    </row>
    <row r="112" spans="2:7" s="1" customFormat="1" ht="16.5" customHeight="1">
      <c r="B112" s="117"/>
      <c r="C112" s="117"/>
      <c r="D112" s="117"/>
      <c r="E112" s="117"/>
      <c r="F112" s="117"/>
      <c r="G112" s="117"/>
    </row>
    <row r="113" spans="2:7" s="1" customFormat="1" ht="16.5" customHeight="1">
      <c r="B113" s="206" t="s">
        <v>50</v>
      </c>
      <c r="C113" s="207" t="s">
        <v>164</v>
      </c>
      <c r="D113" s="206" t="s">
        <v>48</v>
      </c>
      <c r="E113" s="207" t="s">
        <v>47</v>
      </c>
      <c r="F113" s="207" t="s">
        <v>161</v>
      </c>
      <c r="G113" s="206" t="s">
        <v>160</v>
      </c>
    </row>
    <row r="114" spans="2:7" s="1" customFormat="1" ht="16.5" customHeight="1">
      <c r="B114" s="215"/>
      <c r="C114" s="51"/>
      <c r="D114" s="216"/>
      <c r="E114" s="51"/>
      <c r="F114" s="51"/>
      <c r="G114" s="51"/>
    </row>
    <row r="115" spans="2:7" s="1" customFormat="1" ht="16.5" customHeight="1">
      <c r="B115" s="215"/>
      <c r="C115" s="51"/>
      <c r="D115" s="216"/>
      <c r="E115" s="51"/>
      <c r="F115" s="51"/>
      <c r="G115" s="51"/>
    </row>
    <row r="116" spans="2:7" s="1" customFormat="1" ht="16.5" customHeight="1">
      <c r="B116" s="51"/>
      <c r="C116" s="51"/>
      <c r="D116" s="216"/>
      <c r="E116" s="51"/>
      <c r="F116" s="51"/>
      <c r="G116" s="51"/>
    </row>
    <row r="117" spans="2:7" s="1" customFormat="1" ht="16.5" customHeight="1">
      <c r="B117" s="51"/>
      <c r="C117" s="51"/>
      <c r="D117" s="216"/>
      <c r="E117" s="51"/>
      <c r="F117" s="51"/>
      <c r="G117" s="51"/>
    </row>
    <row r="118" spans="2:7" s="1" customFormat="1" ht="16.5" customHeight="1">
      <c r="B118" s="51"/>
      <c r="C118" s="51"/>
      <c r="D118" s="216"/>
      <c r="E118" s="51"/>
      <c r="F118" s="51"/>
      <c r="G118" s="51"/>
    </row>
    <row r="119" spans="2:7" s="1" customFormat="1" ht="16.5" customHeight="1">
      <c r="B119" s="51"/>
      <c r="C119" s="51"/>
      <c r="D119" s="216"/>
      <c r="E119" s="51"/>
      <c r="F119" s="51"/>
      <c r="G119" s="51"/>
    </row>
    <row r="120" spans="2:7" s="1" customFormat="1" ht="16.5" customHeight="1">
      <c r="B120" s="51"/>
      <c r="C120" s="51"/>
      <c r="D120" s="216"/>
      <c r="E120" s="51"/>
      <c r="F120" s="51"/>
      <c r="G120" s="51"/>
    </row>
    <row r="121" spans="2:7" s="1" customFormat="1" ht="16.5" customHeight="1">
      <c r="B121" s="51"/>
      <c r="C121" s="51"/>
      <c r="D121" s="216"/>
      <c r="E121" s="51"/>
      <c r="F121" s="51"/>
      <c r="G121" s="51"/>
    </row>
    <row r="122" spans="2:7" s="1" customFormat="1" ht="16.5" customHeight="1">
      <c r="B122" s="212" t="s">
        <v>1</v>
      </c>
      <c r="C122" s="213"/>
      <c r="D122" s="214">
        <f>SUBTOTAL(109,ExpJan117[Amount])</f>
        <v>0</v>
      </c>
      <c r="E122" s="213"/>
      <c r="F122" s="213"/>
      <c r="G122" s="212"/>
    </row>
    <row r="124" spans="2:7" s="1" customFormat="1" ht="27" customHeight="1">
      <c r="B124" s="205" t="s">
        <v>165</v>
      </c>
      <c r="C124" s="117"/>
      <c r="D124" s="117"/>
      <c r="E124" s="117"/>
      <c r="F124" s="117"/>
      <c r="G124" s="117"/>
    </row>
    <row r="125" spans="2:7" s="1" customFormat="1" ht="16.5" customHeight="1">
      <c r="B125" s="117"/>
      <c r="C125" s="117"/>
      <c r="D125" s="117"/>
      <c r="E125" s="117"/>
      <c r="F125" s="117"/>
      <c r="G125" s="117"/>
    </row>
    <row r="126" spans="2:7" s="1" customFormat="1" ht="16.5" customHeight="1">
      <c r="B126" s="206" t="s">
        <v>50</v>
      </c>
      <c r="C126" s="207" t="s">
        <v>71</v>
      </c>
      <c r="D126" s="206" t="s">
        <v>48</v>
      </c>
      <c r="E126" s="207" t="s">
        <v>47</v>
      </c>
      <c r="F126" s="206" t="s">
        <v>660</v>
      </c>
      <c r="G126" s="430" t="s">
        <v>45</v>
      </c>
    </row>
    <row r="127" spans="2:7" s="1" customFormat="1" ht="16.5" customHeight="1">
      <c r="B127" s="25"/>
      <c r="C127" s="51"/>
      <c r="D127" s="211"/>
      <c r="E127" s="51"/>
      <c r="F127" s="27"/>
      <c r="G127" s="27"/>
    </row>
    <row r="128" spans="2:7" s="1" customFormat="1" ht="16.5" customHeight="1">
      <c r="B128" s="25"/>
      <c r="C128" s="51"/>
      <c r="D128" s="211"/>
      <c r="E128" s="51"/>
      <c r="F128" s="27"/>
      <c r="G128" s="27"/>
    </row>
    <row r="129" spans="2:7" s="1" customFormat="1" ht="16.5" customHeight="1">
      <c r="B129" s="25"/>
      <c r="C129" s="51"/>
      <c r="D129" s="211"/>
      <c r="E129" s="51"/>
      <c r="F129" s="27"/>
      <c r="G129" s="27"/>
    </row>
    <row r="130" spans="2:7" s="1" customFormat="1" ht="16.5" customHeight="1">
      <c r="B130" s="25"/>
      <c r="C130" s="51"/>
      <c r="D130" s="211"/>
      <c r="E130" s="51"/>
      <c r="F130" s="27"/>
      <c r="G130" s="27"/>
    </row>
    <row r="131" spans="2:7" s="1" customFormat="1" ht="16.5" customHeight="1">
      <c r="B131" s="25"/>
      <c r="C131" s="51"/>
      <c r="D131" s="211"/>
      <c r="E131" s="51"/>
      <c r="F131" s="27"/>
      <c r="G131" s="27"/>
    </row>
    <row r="132" spans="2:7" s="1" customFormat="1" ht="16.5" customHeight="1">
      <c r="B132" s="25"/>
      <c r="C132" s="51"/>
      <c r="D132" s="211"/>
      <c r="E132" s="51"/>
      <c r="F132" s="27"/>
      <c r="G132" s="27"/>
    </row>
    <row r="133" spans="2:7" s="1" customFormat="1" ht="16.5" customHeight="1">
      <c r="B133" s="25"/>
      <c r="C133" s="51"/>
      <c r="D133" s="211"/>
      <c r="E133" s="51"/>
      <c r="F133" s="27"/>
      <c r="G133" s="27"/>
    </row>
    <row r="134" spans="2:7" s="1" customFormat="1" ht="16.5" customHeight="1">
      <c r="B134" s="25"/>
      <c r="C134" s="51"/>
      <c r="D134" s="211"/>
      <c r="E134" s="51"/>
      <c r="F134" s="27"/>
      <c r="G134" s="27"/>
    </row>
    <row r="135" spans="2:7" s="1" customFormat="1" ht="16.5" customHeight="1">
      <c r="B135" s="224" t="s">
        <v>1</v>
      </c>
      <c r="C135" s="225"/>
      <c r="D135" s="226">
        <f>SUBTOTAL(109,ExpFeb118[Amount])</f>
        <v>0</v>
      </c>
      <c r="E135" s="225"/>
      <c r="F135" s="224"/>
      <c r="G135" s="395"/>
    </row>
    <row r="137" spans="2:7" s="1" customFormat="1" ht="26.25" customHeight="1">
      <c r="B137" s="205" t="s">
        <v>166</v>
      </c>
      <c r="C137" s="117"/>
      <c r="D137" s="117"/>
      <c r="E137" s="117"/>
      <c r="F137" s="117"/>
      <c r="G137" s="117"/>
    </row>
    <row r="138" spans="2:7" s="1" customFormat="1" ht="16.5" customHeight="1">
      <c r="B138" s="117"/>
      <c r="C138" s="117"/>
      <c r="D138" s="117"/>
      <c r="E138" s="117"/>
      <c r="F138" s="117"/>
      <c r="G138" s="117"/>
    </row>
    <row r="139" spans="2:7" s="1" customFormat="1" ht="16.5" customHeight="1">
      <c r="B139" s="206" t="s">
        <v>50</v>
      </c>
      <c r="C139" s="207" t="s">
        <v>71</v>
      </c>
      <c r="D139" s="206" t="s">
        <v>48</v>
      </c>
      <c r="E139" s="207" t="s">
        <v>47</v>
      </c>
      <c r="F139" s="207" t="s">
        <v>660</v>
      </c>
      <c r="G139" s="206" t="s">
        <v>45</v>
      </c>
    </row>
    <row r="140" spans="2:7" s="1" customFormat="1" ht="16.5" customHeight="1">
      <c r="B140" s="25"/>
      <c r="C140" s="51"/>
      <c r="D140" s="211"/>
      <c r="E140" s="51"/>
      <c r="F140" s="51"/>
      <c r="G140" s="27"/>
    </row>
    <row r="141" spans="2:7" s="1" customFormat="1" ht="16.5" customHeight="1">
      <c r="B141" s="25"/>
      <c r="C141" s="51"/>
      <c r="D141" s="211"/>
      <c r="E141" s="51"/>
      <c r="F141" s="51"/>
      <c r="G141" s="27"/>
    </row>
    <row r="142" spans="2:7" s="1" customFormat="1" ht="16.5" customHeight="1">
      <c r="B142" s="25"/>
      <c r="C142" s="51"/>
      <c r="D142" s="211"/>
      <c r="E142" s="51"/>
      <c r="F142" s="51"/>
      <c r="G142" s="27"/>
    </row>
    <row r="143" spans="2:7" s="1" customFormat="1" ht="16.5" customHeight="1">
      <c r="B143" s="25"/>
      <c r="C143" s="51"/>
      <c r="D143" s="211"/>
      <c r="E143" s="51"/>
      <c r="F143" s="51"/>
      <c r="G143" s="27"/>
    </row>
    <row r="144" spans="2:7" s="1" customFormat="1" ht="16.5" customHeight="1">
      <c r="B144" s="25"/>
      <c r="C144" s="51"/>
      <c r="D144" s="211"/>
      <c r="E144" s="51"/>
      <c r="F144" s="51"/>
      <c r="G144" s="27"/>
    </row>
    <row r="145" spans="2:7" s="1" customFormat="1" ht="16.5" customHeight="1">
      <c r="B145" s="25"/>
      <c r="C145" s="51"/>
      <c r="D145" s="211"/>
      <c r="E145" s="51"/>
      <c r="F145" s="51"/>
      <c r="G145" s="27"/>
    </row>
    <row r="146" spans="2:7" s="1" customFormat="1" ht="16.5" customHeight="1">
      <c r="B146" s="25"/>
      <c r="C146" s="51"/>
      <c r="D146" s="211"/>
      <c r="E146" s="51"/>
      <c r="F146" s="51"/>
      <c r="G146" s="27"/>
    </row>
    <row r="147" spans="2:7" s="1" customFormat="1" ht="16.5" customHeight="1">
      <c r="B147" s="337"/>
      <c r="C147" s="338"/>
      <c r="D147" s="339"/>
      <c r="E147" s="338"/>
      <c r="F147" s="338"/>
      <c r="G147" s="340"/>
    </row>
    <row r="148" spans="2:7" s="1" customFormat="1" ht="16.5" customHeight="1">
      <c r="B148" s="337"/>
      <c r="C148" s="338"/>
      <c r="D148" s="339"/>
      <c r="E148" s="338"/>
      <c r="F148" s="338"/>
      <c r="G148" s="340"/>
    </row>
    <row r="149" spans="2:7" s="1" customFormat="1" ht="16.5" customHeight="1">
      <c r="B149" s="337"/>
      <c r="C149" s="338"/>
      <c r="D149" s="339"/>
      <c r="E149" s="338"/>
      <c r="F149" s="338"/>
      <c r="G149" s="340"/>
    </row>
    <row r="150" spans="2:7" s="1" customFormat="1" ht="16.5" customHeight="1">
      <c r="B150" s="337"/>
      <c r="C150" s="338"/>
      <c r="D150" s="339"/>
      <c r="E150" s="338"/>
      <c r="F150" s="338"/>
      <c r="G150" s="340"/>
    </row>
    <row r="151" spans="2:7" s="1" customFormat="1" ht="16.5" customHeight="1">
      <c r="B151" s="337"/>
      <c r="C151" s="338"/>
      <c r="D151" s="339"/>
      <c r="E151" s="338"/>
      <c r="F151" s="338"/>
      <c r="G151" s="340"/>
    </row>
    <row r="152" spans="2:7" s="1" customFormat="1" ht="16.5" customHeight="1">
      <c r="B152" s="337"/>
      <c r="C152" s="338"/>
      <c r="D152" s="339"/>
      <c r="E152" s="338"/>
      <c r="F152" s="338"/>
      <c r="G152" s="340"/>
    </row>
    <row r="153" spans="2:7" s="1" customFormat="1" ht="16.5" customHeight="1">
      <c r="B153" s="337"/>
      <c r="C153" s="338"/>
      <c r="D153" s="339"/>
      <c r="E153" s="338"/>
      <c r="F153" s="338"/>
      <c r="G153" s="340"/>
    </row>
    <row r="154" spans="2:7" s="1" customFormat="1" ht="16.5" customHeight="1">
      <c r="B154" s="224" t="s">
        <v>1</v>
      </c>
      <c r="C154" s="225"/>
      <c r="D154" s="226">
        <f>SUBTOTAL(109,ExpMar119[Amount])</f>
        <v>0</v>
      </c>
      <c r="E154" s="225"/>
      <c r="F154" s="225"/>
      <c r="G154" s="224"/>
    </row>
    <row r="156" spans="2:7" s="1" customFormat="1" ht="27" customHeight="1">
      <c r="B156" s="205" t="s">
        <v>167</v>
      </c>
      <c r="C156" s="117"/>
      <c r="D156" s="117"/>
      <c r="E156" s="117"/>
      <c r="F156" s="117"/>
      <c r="G156" s="117"/>
    </row>
    <row r="157" spans="2:7" s="1" customFormat="1" ht="16.5" customHeight="1">
      <c r="B157" s="117"/>
      <c r="C157" s="117"/>
      <c r="D157" s="117"/>
      <c r="E157" s="117"/>
      <c r="F157" s="117"/>
      <c r="G157" s="117"/>
    </row>
    <row r="158" spans="2:7" s="1" customFormat="1" ht="16.5" customHeight="1">
      <c r="B158" s="206" t="s">
        <v>50</v>
      </c>
      <c r="C158" s="207" t="s">
        <v>168</v>
      </c>
      <c r="D158" s="206" t="s">
        <v>48</v>
      </c>
      <c r="E158" s="207" t="s">
        <v>47</v>
      </c>
      <c r="F158" s="207" t="s">
        <v>660</v>
      </c>
      <c r="G158" s="206" t="s">
        <v>45</v>
      </c>
    </row>
    <row r="159" spans="2:7" s="1" customFormat="1" ht="16.5" customHeight="1">
      <c r="B159" s="215"/>
      <c r="C159" s="51"/>
      <c r="D159" s="216"/>
      <c r="E159" s="51"/>
      <c r="F159" s="51"/>
      <c r="G159" s="51"/>
    </row>
    <row r="160" spans="2:7" s="1" customFormat="1" ht="16.5" customHeight="1">
      <c r="B160" s="215"/>
      <c r="C160" s="51"/>
      <c r="D160" s="216"/>
      <c r="E160" s="51"/>
      <c r="F160" s="51"/>
      <c r="G160" s="51"/>
    </row>
    <row r="161" spans="2:7" s="1" customFormat="1" ht="16.5" customHeight="1">
      <c r="B161" s="215"/>
      <c r="C161" s="51"/>
      <c r="D161" s="216"/>
      <c r="E161" s="51"/>
      <c r="F161" s="51"/>
      <c r="G161" s="51"/>
    </row>
    <row r="162" spans="2:7" s="1" customFormat="1" ht="16.5" customHeight="1">
      <c r="B162" s="215"/>
      <c r="C162" s="51"/>
      <c r="D162" s="216"/>
      <c r="E162" s="51"/>
      <c r="F162" s="51"/>
      <c r="G162" s="51"/>
    </row>
    <row r="163" spans="2:7" s="1" customFormat="1" ht="16.5" customHeight="1">
      <c r="B163" s="215"/>
      <c r="C163" s="51"/>
      <c r="D163" s="216"/>
      <c r="E163" s="51"/>
      <c r="F163" s="51"/>
      <c r="G163" s="51"/>
    </row>
    <row r="164" spans="2:7" s="1" customFormat="1" ht="16.5" customHeight="1">
      <c r="B164" s="215"/>
      <c r="C164" s="51"/>
      <c r="D164" s="216"/>
      <c r="E164" s="51"/>
      <c r="F164" s="51"/>
      <c r="G164" s="51"/>
    </row>
    <row r="165" spans="2:7" s="1" customFormat="1" ht="16.5" customHeight="1">
      <c r="B165" s="431"/>
      <c r="C165" s="338"/>
      <c r="D165" s="432"/>
      <c r="E165" s="338"/>
      <c r="F165" s="338"/>
      <c r="G165" s="338"/>
    </row>
    <row r="166" spans="2:7" s="1" customFormat="1" ht="16.5" customHeight="1">
      <c r="B166" s="431"/>
      <c r="C166" s="338"/>
      <c r="D166" s="432"/>
      <c r="E166" s="338"/>
      <c r="F166" s="338"/>
      <c r="G166" s="338"/>
    </row>
    <row r="167" spans="2:7" s="1" customFormat="1" ht="16.5" customHeight="1">
      <c r="B167" s="431"/>
      <c r="C167" s="338"/>
      <c r="D167" s="432"/>
      <c r="E167" s="338"/>
      <c r="F167" s="338"/>
      <c r="G167" s="338"/>
    </row>
    <row r="168" spans="2:7" s="1" customFormat="1" ht="16.5" customHeight="1">
      <c r="B168" s="431"/>
      <c r="C168" s="338"/>
      <c r="D168" s="432"/>
      <c r="E168" s="338"/>
      <c r="F168" s="338"/>
      <c r="G168" s="338"/>
    </row>
    <row r="169" spans="2:7" s="1" customFormat="1" ht="16.5" customHeight="1">
      <c r="B169" s="431"/>
      <c r="C169" s="338"/>
      <c r="D169" s="432"/>
      <c r="E169" s="338"/>
      <c r="F169" s="338"/>
      <c r="G169" s="338"/>
    </row>
    <row r="170" spans="2:7" s="1" customFormat="1" ht="16.5" customHeight="1">
      <c r="B170" s="337"/>
      <c r="C170" s="338"/>
      <c r="D170" s="339"/>
      <c r="E170" s="338"/>
      <c r="F170" s="338"/>
      <c r="G170" s="340"/>
    </row>
    <row r="171" spans="2:7" s="1" customFormat="1" ht="16.5" customHeight="1">
      <c r="B171" s="212" t="s">
        <v>1</v>
      </c>
      <c r="C171" s="213"/>
      <c r="D171" s="214">
        <f>SUBTOTAL(109,ExpApr120[Amount])</f>
        <v>0</v>
      </c>
      <c r="E171" s="213"/>
      <c r="F171" s="213"/>
      <c r="G171" s="212"/>
    </row>
    <row r="173" spans="2:7" s="1" customFormat="1" ht="25.5" customHeight="1">
      <c r="B173" s="205" t="s">
        <v>169</v>
      </c>
      <c r="C173" s="117"/>
      <c r="D173" s="117"/>
      <c r="E173" s="117"/>
      <c r="F173" s="117"/>
      <c r="G173" s="117"/>
    </row>
    <row r="174" spans="2:7" s="1" customFormat="1" ht="16.5" customHeight="1">
      <c r="B174" s="117"/>
      <c r="C174" s="117"/>
      <c r="D174" s="117"/>
      <c r="E174" s="117"/>
      <c r="F174" s="117"/>
      <c r="G174" s="117"/>
    </row>
    <row r="175" spans="2:7" s="1" customFormat="1" ht="16.5" customHeight="1">
      <c r="B175" s="206" t="s">
        <v>50</v>
      </c>
      <c r="C175" s="207" t="s">
        <v>71</v>
      </c>
      <c r="D175" s="206" t="s">
        <v>48</v>
      </c>
      <c r="E175" s="207" t="s">
        <v>47</v>
      </c>
      <c r="F175" s="207" t="s">
        <v>660</v>
      </c>
      <c r="G175" s="206" t="s">
        <v>45</v>
      </c>
    </row>
    <row r="176" spans="2:7" s="1" customFormat="1" ht="16.5" customHeight="1">
      <c r="B176" s="25"/>
      <c r="C176" s="51"/>
      <c r="D176" s="211"/>
      <c r="E176" s="51"/>
      <c r="F176" s="51"/>
      <c r="G176" s="27"/>
    </row>
    <row r="177" spans="2:7" s="1" customFormat="1" ht="16.5" customHeight="1">
      <c r="B177" s="25"/>
      <c r="C177" s="51"/>
      <c r="D177" s="211"/>
      <c r="E177" s="51"/>
      <c r="F177" s="51"/>
      <c r="G177" s="27"/>
    </row>
    <row r="178" spans="2:7" s="1" customFormat="1" ht="16.5" customHeight="1">
      <c r="B178" s="25"/>
      <c r="C178" s="51"/>
      <c r="D178" s="211"/>
      <c r="E178" s="51"/>
      <c r="F178" s="51"/>
      <c r="G178" s="27"/>
    </row>
    <row r="179" spans="2:7" s="1" customFormat="1" ht="16.5" customHeight="1">
      <c r="B179" s="25"/>
      <c r="C179" s="51"/>
      <c r="D179" s="211"/>
      <c r="E179" s="51"/>
      <c r="F179" s="51"/>
      <c r="G179" s="27"/>
    </row>
    <row r="180" spans="2:7" s="1" customFormat="1" ht="16.5" customHeight="1">
      <c r="B180" s="25"/>
      <c r="C180" s="51"/>
      <c r="D180" s="211"/>
      <c r="E180" s="51"/>
      <c r="F180" s="51"/>
      <c r="G180" s="27"/>
    </row>
    <row r="181" spans="2:7" s="1" customFormat="1" ht="16.5" customHeight="1">
      <c r="B181" s="25"/>
      <c r="C181" s="51"/>
      <c r="D181" s="211"/>
      <c r="E181" s="51"/>
      <c r="F181" s="51"/>
      <c r="G181" s="27"/>
    </row>
    <row r="182" spans="2:7" s="1" customFormat="1" ht="16.5" customHeight="1">
      <c r="B182" s="25"/>
      <c r="C182" s="51"/>
      <c r="D182" s="211"/>
      <c r="E182" s="51"/>
      <c r="F182" s="51"/>
      <c r="G182" s="27"/>
    </row>
    <row r="183" spans="2:7" s="1" customFormat="1" ht="16.5" customHeight="1">
      <c r="B183" s="224" t="s">
        <v>1</v>
      </c>
      <c r="C183" s="225"/>
      <c r="D183" s="226">
        <f>SUBTOTAL(109,ExpMay121[Amount])</f>
        <v>0</v>
      </c>
      <c r="E183" s="225"/>
      <c r="F183" s="225"/>
      <c r="G183" s="224"/>
    </row>
    <row r="185" spans="2:7" s="1" customFormat="1" ht="27" customHeight="1">
      <c r="B185" s="205" t="s">
        <v>170</v>
      </c>
      <c r="C185" s="117"/>
      <c r="D185" s="117"/>
      <c r="E185" s="117"/>
      <c r="F185" s="117"/>
      <c r="G185" s="117"/>
    </row>
    <row r="186" spans="2:7" s="1" customFormat="1" ht="16.5" customHeight="1">
      <c r="B186" s="117"/>
      <c r="C186" s="117"/>
      <c r="D186" s="117"/>
      <c r="E186" s="117"/>
      <c r="F186" s="117"/>
      <c r="G186" s="117"/>
    </row>
    <row r="187" spans="2:7" s="1" customFormat="1" ht="16.5" customHeight="1">
      <c r="B187" s="206" t="s">
        <v>50</v>
      </c>
      <c r="C187" s="207" t="s">
        <v>155</v>
      </c>
      <c r="D187" s="206" t="s">
        <v>48</v>
      </c>
      <c r="E187" s="207" t="s">
        <v>47</v>
      </c>
      <c r="F187" s="207" t="s">
        <v>660</v>
      </c>
      <c r="G187" s="206" t="s">
        <v>45</v>
      </c>
    </row>
    <row r="188" spans="2:7" s="1" customFormat="1" ht="16.5" customHeight="1">
      <c r="B188" s="215"/>
      <c r="C188" s="51"/>
      <c r="D188" s="216"/>
      <c r="E188" s="51"/>
      <c r="F188" s="51"/>
      <c r="G188" s="51"/>
    </row>
    <row r="189" spans="2:7" s="1" customFormat="1" ht="16.5" customHeight="1">
      <c r="B189" s="215"/>
      <c r="C189" s="51"/>
      <c r="D189" s="216"/>
      <c r="E189" s="51"/>
      <c r="F189" s="51"/>
      <c r="G189" s="51"/>
    </row>
    <row r="190" spans="2:7" s="1" customFormat="1" ht="16.5" customHeight="1">
      <c r="B190" s="215"/>
      <c r="C190" s="51"/>
      <c r="D190" s="216"/>
      <c r="E190" s="51"/>
      <c r="F190" s="51"/>
      <c r="G190" s="51"/>
    </row>
    <row r="191" spans="2:7" s="1" customFormat="1" ht="16.5" customHeight="1">
      <c r="B191" s="215"/>
      <c r="C191" s="51"/>
      <c r="D191" s="216"/>
      <c r="E191" s="51"/>
      <c r="F191" s="51"/>
      <c r="G191" s="51"/>
    </row>
    <row r="192" spans="2:7" s="1" customFormat="1" ht="16.5" customHeight="1">
      <c r="B192" s="215"/>
      <c r="C192" s="51"/>
      <c r="D192" s="216"/>
      <c r="E192" s="51"/>
      <c r="F192" s="51"/>
      <c r="G192" s="51"/>
    </row>
    <row r="193" spans="2:7" s="1" customFormat="1" ht="16.5" customHeight="1">
      <c r="B193" s="215"/>
      <c r="C193" s="51"/>
      <c r="D193" s="216"/>
      <c r="E193" s="51"/>
      <c r="F193" s="51"/>
      <c r="G193" s="51"/>
    </row>
    <row r="194" spans="2:7" s="1" customFormat="1" ht="16.5" customHeight="1">
      <c r="B194" s="215"/>
      <c r="C194" s="51"/>
      <c r="D194" s="216"/>
      <c r="E194" s="51"/>
      <c r="F194" s="51"/>
      <c r="G194" s="51"/>
    </row>
    <row r="195" spans="2:7" s="1" customFormat="1" ht="16.5" customHeight="1">
      <c r="B195" s="215"/>
      <c r="C195" s="51"/>
      <c r="D195" s="216"/>
      <c r="E195" s="51"/>
      <c r="F195" s="51"/>
      <c r="G195" s="51"/>
    </row>
    <row r="196" spans="2:7" s="1" customFormat="1" ht="16.5" customHeight="1">
      <c r="B196" s="215"/>
      <c r="C196" s="51"/>
      <c r="D196" s="216"/>
      <c r="E196" s="51"/>
      <c r="F196" s="51"/>
      <c r="G196" s="51"/>
    </row>
    <row r="197" spans="2:7" s="1" customFormat="1" ht="16.5" customHeight="1">
      <c r="B197" s="215"/>
      <c r="C197" s="51"/>
      <c r="D197" s="216"/>
      <c r="E197" s="51"/>
      <c r="F197" s="51"/>
      <c r="G197" s="51"/>
    </row>
    <row r="198" spans="2:7" s="1" customFormat="1" ht="16.5" customHeight="1">
      <c r="B198" s="215"/>
      <c r="C198" s="51"/>
      <c r="D198" s="216"/>
      <c r="E198" s="51"/>
      <c r="F198" s="51"/>
      <c r="G198" s="51"/>
    </row>
    <row r="199" spans="2:7" s="1" customFormat="1" ht="16.5" customHeight="1">
      <c r="B199" s="224" t="s">
        <v>1</v>
      </c>
      <c r="C199" s="225"/>
      <c r="D199" s="226">
        <f>SUBTOTAL(109,ExpJun122[Amount])</f>
        <v>0</v>
      </c>
      <c r="E199" s="225"/>
      <c r="F199" s="225"/>
      <c r="G199" s="224"/>
    </row>
  </sheetData>
  <dataValidations count="14">
    <dataValidation type="custom" errorStyle="warning" allowBlank="1" showInputMessage="1" showErrorMessage="1" errorTitle="Amount Validation" error="Amount should be a number." sqref="D5:D17 D19 D23:D41 D47:D66 D72:D82 D88:D97 D103:D108 D114:D121 D127:D134 D140:D153 D159:D170 D176:D182 D188:D198">
      <formula1>ISNUMBER($D5)</formula1>
    </dataValidation>
    <dataValidation type="custom" errorStyle="warning" allowBlank="1" showInputMessage="1" showErrorMessage="1" errorTitle="Date Validation" error="A date in July needs be entered  in order for this expense to be added to the Summary sheet." sqref="B5:B17 B19">
      <formula1>MONTH($B5)=7</formula1>
    </dataValidation>
    <dataValidation type="list" errorStyle="warning" allowBlank="1" showInputMessage="1" showErrorMessage="1" errorTitle="Unknown Category" error="An expense from the drop down should be selected in order for it to be included on the Summary sheet." sqref="E5:F17 E19:F19 E23:F41 E47:F66 E72:F82 E88:F97 E103:F108 E114:F121 E127:E134 E140:F153 E159:F170 E176:F182 E188:F198">
      <formula1>ExpenseCategories</formula1>
    </dataValidation>
    <dataValidation type="custom" errorStyle="warning" allowBlank="1" showInputMessage="1" showErrorMessage="1" errorTitle="Date Validation" error="A date in August needs be entered  in order for this expense to be added to the Summary sheet." sqref="B23:B41">
      <formula1>MONTH($B23)=8</formula1>
    </dataValidation>
    <dataValidation type="custom" errorStyle="warning" allowBlank="1" showInputMessage="1" showErrorMessage="1" errorTitle="Date Validation" error="A date in September needs be entered  in order for this expense to be added to the Summary sheet." sqref="B47:B66">
      <formula1>MONTH($B47)=9</formula1>
    </dataValidation>
    <dataValidation type="custom" errorStyle="warning" allowBlank="1" showInputMessage="1" showErrorMessage="1" errorTitle="Date Validation" error="A date in October needs be entered  in order for this expense to be added to the Summary sheet." sqref="B72:B82">
      <formula1>MONTH($B72)=10</formula1>
    </dataValidation>
    <dataValidation type="custom" errorStyle="warning" allowBlank="1" showInputMessage="1" showErrorMessage="1" errorTitle="Date Validation" error="A date in November needs be entered  in order for this expense to be added to the Summary sheet." sqref="B88:B97">
      <formula1>MONTH($B88)=11</formula1>
    </dataValidation>
    <dataValidation type="custom" errorStyle="warning" allowBlank="1" showInputMessage="1" showErrorMessage="1" errorTitle="Date Validation" error="A date in December needs be entered  in order for this expense to be added to the Summary sheet." sqref="B103:B108">
      <formula1>MONTH($B103)=12</formula1>
    </dataValidation>
    <dataValidation type="custom" errorStyle="warning" allowBlank="1" showInputMessage="1" showErrorMessage="1" errorTitle="Date Validation" error="A date in January needs be entered in order for this expense to be added to the Summary sheet." sqref="B114:B121">
      <formula1>MONTH($B114)=1</formula1>
    </dataValidation>
    <dataValidation type="custom" errorStyle="warning" allowBlank="1" showInputMessage="1" showErrorMessage="1" errorTitle="Date Validation" error="A date in February needs be entered in order for this expense to be added to the Summary sheet." sqref="B127:B134">
      <formula1>MONTH($B127)=2</formula1>
    </dataValidation>
    <dataValidation type="custom" errorStyle="warning" allowBlank="1" showInputMessage="1" showErrorMessage="1" errorTitle="Date Validation" error="A date in March needs be entered in order for this expense to be added to the Summary sheet." sqref="B140:B153">
      <formula1>MONTH($B140)=3</formula1>
    </dataValidation>
    <dataValidation type="custom" errorStyle="warning" allowBlank="1" showInputMessage="1" showErrorMessage="1" errorTitle="Date Validation" error="A date in April needs be entered  in order for this expense to be added to the Summary sheet." sqref="B159:B170">
      <formula1>MONTH($B159)=4</formula1>
    </dataValidation>
    <dataValidation type="custom" errorStyle="warning" allowBlank="1" showInputMessage="1" showErrorMessage="1" errorTitle="Date Validation" error="A date in May needs be entered  in order for this expense to be added to the Summary sheet." sqref="B176:B182">
      <formula1>MONTH($B176)=5</formula1>
    </dataValidation>
    <dataValidation type="custom" errorStyle="warning" allowBlank="1" showInputMessage="1" showErrorMessage="1" errorTitle="Date Validation" error="A date in June needs be entered  in order for this expense to be added to the Summary sheet." sqref="B188:B198">
      <formula1>MONTH($B188)=6</formula1>
    </dataValidation>
  </dataValidations>
  <printOptions horizontalCentered="1"/>
  <pageMargins left="0.25" right="0.25" top="0.75" bottom="0.75" header="0.3" footer="0.3"/>
  <pageSetup scale="71"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78"/>
  <sheetViews>
    <sheetView topLeftCell="A34" workbookViewId="0">
      <selection activeCell="J50" sqref="A1:XFD1048576"/>
    </sheetView>
  </sheetViews>
  <sheetFormatPr defaultColWidth="9.140625" defaultRowHeight="12.75"/>
  <cols>
    <col min="1" max="1" width="15.42578125" style="260" customWidth="1"/>
    <col min="2" max="2" width="14" style="260" customWidth="1"/>
    <col min="3" max="3" width="13.28515625" style="260" customWidth="1"/>
    <col min="4" max="4" width="13.5703125" style="260" customWidth="1"/>
    <col min="5" max="5" width="13.7109375" style="260" customWidth="1"/>
    <col min="6" max="6" width="14.7109375" style="260" customWidth="1"/>
    <col min="7" max="7" width="17.7109375" style="260" customWidth="1"/>
    <col min="8" max="16384" width="9.140625" style="260"/>
  </cols>
  <sheetData>
    <row r="1" spans="1:7" ht="13.5" customHeight="1">
      <c r="A1" s="278" t="s">
        <v>155</v>
      </c>
      <c r="B1" s="279" t="s">
        <v>154</v>
      </c>
      <c r="C1" s="280"/>
      <c r="D1" s="279" t="s">
        <v>153</v>
      </c>
      <c r="E1" s="280"/>
      <c r="F1" s="279" t="s">
        <v>152</v>
      </c>
      <c r="G1" s="280"/>
    </row>
    <row r="2" spans="1:7">
      <c r="A2" s="348"/>
      <c r="B2" s="349"/>
      <c r="C2" s="350"/>
      <c r="D2" s="351" t="s">
        <v>959</v>
      </c>
      <c r="E2" s="352">
        <v>5008</v>
      </c>
      <c r="F2" s="285"/>
      <c r="G2" s="353" t="b">
        <f t="shared" ref="G2:G38" si="0">IF(F2&gt;5250,"OVER")</f>
        <v>0</v>
      </c>
    </row>
    <row r="3" spans="1:7">
      <c r="A3" s="348">
        <v>7444</v>
      </c>
      <c r="B3" s="354" t="str">
        <f t="shared" ref="B3:B38" si="1">D2</f>
        <v>1.25.13</v>
      </c>
      <c r="C3" s="355">
        <v>5008</v>
      </c>
      <c r="D3" s="356" t="s">
        <v>958</v>
      </c>
      <c r="E3" s="357">
        <v>9960</v>
      </c>
      <c r="F3" s="358">
        <f t="shared" ref="F3:F38" si="2">SUM(E3-E2)</f>
        <v>4952</v>
      </c>
      <c r="G3" s="359" t="b">
        <f t="shared" si="0"/>
        <v>0</v>
      </c>
    </row>
    <row r="4" spans="1:7">
      <c r="A4" s="348">
        <v>7509</v>
      </c>
      <c r="B4" s="354" t="str">
        <f t="shared" si="1"/>
        <v>3.11.13</v>
      </c>
      <c r="C4" s="355">
        <v>9960</v>
      </c>
      <c r="D4" s="356" t="s">
        <v>957</v>
      </c>
      <c r="E4" s="357">
        <v>15036</v>
      </c>
      <c r="F4" s="358">
        <f t="shared" si="2"/>
        <v>5076</v>
      </c>
      <c r="G4" s="359" t="b">
        <f t="shared" si="0"/>
        <v>0</v>
      </c>
    </row>
    <row r="5" spans="1:7">
      <c r="A5" s="348">
        <v>7556</v>
      </c>
      <c r="B5" s="354" t="str">
        <f t="shared" si="1"/>
        <v>4.26.13</v>
      </c>
      <c r="C5" s="355">
        <v>15036</v>
      </c>
      <c r="D5" s="356" t="s">
        <v>956</v>
      </c>
      <c r="E5" s="357">
        <v>20060</v>
      </c>
      <c r="F5" s="358">
        <f t="shared" si="2"/>
        <v>5024</v>
      </c>
      <c r="G5" s="359" t="b">
        <f t="shared" si="0"/>
        <v>0</v>
      </c>
    </row>
    <row r="6" spans="1:7">
      <c r="A6" s="348">
        <v>7625</v>
      </c>
      <c r="B6" s="354" t="str">
        <f t="shared" si="1"/>
        <v>6.11.13</v>
      </c>
      <c r="C6" s="355">
        <v>20060</v>
      </c>
      <c r="D6" s="356" t="s">
        <v>955</v>
      </c>
      <c r="E6" s="357">
        <v>25134</v>
      </c>
      <c r="F6" s="358">
        <f t="shared" si="2"/>
        <v>5074</v>
      </c>
      <c r="G6" s="359" t="b">
        <f t="shared" si="0"/>
        <v>0</v>
      </c>
    </row>
    <row r="7" spans="1:7">
      <c r="A7" s="348">
        <v>7719</v>
      </c>
      <c r="B7" s="354" t="str">
        <f t="shared" si="1"/>
        <v>7.27.13</v>
      </c>
      <c r="C7" s="355">
        <v>25134</v>
      </c>
      <c r="D7" s="356" t="s">
        <v>954</v>
      </c>
      <c r="E7" s="357">
        <v>30005</v>
      </c>
      <c r="F7" s="358">
        <f t="shared" si="2"/>
        <v>4871</v>
      </c>
      <c r="G7" s="359" t="b">
        <f t="shared" si="0"/>
        <v>0</v>
      </c>
    </row>
    <row r="8" spans="1:7">
      <c r="A8" s="348">
        <v>7799</v>
      </c>
      <c r="B8" s="354" t="str">
        <f t="shared" si="1"/>
        <v>9.10.13</v>
      </c>
      <c r="C8" s="355">
        <v>30005</v>
      </c>
      <c r="D8" s="356" t="s">
        <v>953</v>
      </c>
      <c r="E8" s="357">
        <v>34962</v>
      </c>
      <c r="F8" s="358">
        <f t="shared" si="2"/>
        <v>4957</v>
      </c>
      <c r="G8" s="359" t="b">
        <f t="shared" si="0"/>
        <v>0</v>
      </c>
    </row>
    <row r="9" spans="1:7">
      <c r="A9" s="348">
        <v>7891</v>
      </c>
      <c r="B9" s="354" t="str">
        <f t="shared" si="1"/>
        <v>10.22.13</v>
      </c>
      <c r="C9" s="355">
        <v>34962</v>
      </c>
      <c r="D9" s="356" t="s">
        <v>952</v>
      </c>
      <c r="E9" s="357">
        <v>39914</v>
      </c>
      <c r="F9" s="358">
        <f t="shared" si="2"/>
        <v>4952</v>
      </c>
      <c r="G9" s="359" t="b">
        <f t="shared" si="0"/>
        <v>0</v>
      </c>
    </row>
    <row r="10" spans="1:7">
      <c r="A10" s="348">
        <v>7991</v>
      </c>
      <c r="B10" s="354" t="str">
        <f t="shared" si="1"/>
        <v>12.4.13</v>
      </c>
      <c r="C10" s="355">
        <v>39914</v>
      </c>
      <c r="D10" s="356" t="s">
        <v>951</v>
      </c>
      <c r="E10" s="357">
        <v>45103</v>
      </c>
      <c r="F10" s="358">
        <f t="shared" si="2"/>
        <v>5189</v>
      </c>
      <c r="G10" s="359" t="b">
        <f t="shared" si="0"/>
        <v>0</v>
      </c>
    </row>
    <row r="11" spans="1:7">
      <c r="A11" s="348">
        <v>8092</v>
      </c>
      <c r="B11" s="354" t="str">
        <f t="shared" si="1"/>
        <v>1.20.14</v>
      </c>
      <c r="C11" s="355">
        <v>45103</v>
      </c>
      <c r="D11" s="356" t="s">
        <v>950</v>
      </c>
      <c r="E11" s="357">
        <v>49976</v>
      </c>
      <c r="F11" s="358">
        <f t="shared" si="2"/>
        <v>4873</v>
      </c>
      <c r="G11" s="359" t="b">
        <f t="shared" si="0"/>
        <v>0</v>
      </c>
    </row>
    <row r="12" spans="1:7">
      <c r="A12" s="348">
        <v>8185</v>
      </c>
      <c r="B12" s="354" t="str">
        <f t="shared" si="1"/>
        <v>3.5.14</v>
      </c>
      <c r="C12" s="355">
        <v>49976</v>
      </c>
      <c r="D12" s="356" t="s">
        <v>949</v>
      </c>
      <c r="E12" s="357">
        <v>54948</v>
      </c>
      <c r="F12" s="358">
        <f t="shared" si="2"/>
        <v>4972</v>
      </c>
      <c r="G12" s="359" t="b">
        <f t="shared" si="0"/>
        <v>0</v>
      </c>
    </row>
    <row r="13" spans="1:7">
      <c r="A13" s="348">
        <v>8299</v>
      </c>
      <c r="B13" s="354" t="str">
        <f t="shared" si="1"/>
        <v>4.21.14</v>
      </c>
      <c r="C13" s="355">
        <v>54948</v>
      </c>
      <c r="D13" s="356" t="s">
        <v>948</v>
      </c>
      <c r="E13" s="357">
        <v>59978</v>
      </c>
      <c r="F13" s="358">
        <f t="shared" si="2"/>
        <v>5030</v>
      </c>
      <c r="G13" s="359" t="b">
        <f t="shared" si="0"/>
        <v>0</v>
      </c>
    </row>
    <row r="14" spans="1:7">
      <c r="A14" s="348">
        <v>8405</v>
      </c>
      <c r="B14" s="354" t="str">
        <f t="shared" si="1"/>
        <v>6.9.14</v>
      </c>
      <c r="C14" s="355">
        <v>59978</v>
      </c>
      <c r="D14" s="356" t="s">
        <v>947</v>
      </c>
      <c r="E14" s="357">
        <v>64980</v>
      </c>
      <c r="F14" s="358">
        <f t="shared" si="2"/>
        <v>5002</v>
      </c>
      <c r="G14" s="359" t="b">
        <f t="shared" si="0"/>
        <v>0</v>
      </c>
    </row>
    <row r="15" spans="1:7">
      <c r="A15" s="348">
        <v>8529</v>
      </c>
      <c r="B15" s="354" t="str">
        <f t="shared" si="1"/>
        <v>7.30.14</v>
      </c>
      <c r="C15" s="361">
        <v>64980</v>
      </c>
      <c r="D15" s="362" t="s">
        <v>946</v>
      </c>
      <c r="E15" s="363">
        <v>66937</v>
      </c>
      <c r="F15" s="358">
        <f t="shared" si="2"/>
        <v>1957</v>
      </c>
      <c r="G15" s="359" t="b">
        <f t="shared" si="0"/>
        <v>0</v>
      </c>
    </row>
    <row r="16" spans="1:7" ht="13.5" thickBot="1">
      <c r="A16" s="364">
        <v>8573</v>
      </c>
      <c r="B16" s="354" t="str">
        <f t="shared" si="1"/>
        <v xml:space="preserve">8.21.14 </v>
      </c>
      <c r="C16" s="365">
        <v>66937</v>
      </c>
      <c r="D16" s="366" t="s">
        <v>945</v>
      </c>
      <c r="E16" s="367">
        <v>69844</v>
      </c>
      <c r="F16" s="358">
        <f t="shared" si="2"/>
        <v>2907</v>
      </c>
      <c r="G16" s="359" t="b">
        <f t="shared" si="0"/>
        <v>0</v>
      </c>
    </row>
    <row r="17" spans="1:7" ht="13.5" thickBot="1">
      <c r="A17" s="369">
        <v>8618</v>
      </c>
      <c r="B17" s="354" t="str">
        <f t="shared" si="1"/>
        <v>9.19.14</v>
      </c>
      <c r="C17" s="370">
        <v>69844</v>
      </c>
      <c r="D17" s="371" t="s">
        <v>944</v>
      </c>
      <c r="E17" s="372">
        <v>74965</v>
      </c>
      <c r="F17" s="358">
        <f t="shared" si="2"/>
        <v>5121</v>
      </c>
      <c r="G17" s="359" t="b">
        <f t="shared" si="0"/>
        <v>0</v>
      </c>
    </row>
    <row r="18" spans="1:7">
      <c r="A18" s="374">
        <v>8733</v>
      </c>
      <c r="B18" s="354" t="str">
        <f t="shared" si="1"/>
        <v>11.8.14</v>
      </c>
      <c r="C18" s="375">
        <v>74965</v>
      </c>
      <c r="D18" s="403" t="s">
        <v>943</v>
      </c>
      <c r="E18" s="377">
        <v>80115</v>
      </c>
      <c r="F18" s="358">
        <f t="shared" si="2"/>
        <v>5150</v>
      </c>
      <c r="G18" s="359" t="b">
        <f t="shared" si="0"/>
        <v>0</v>
      </c>
    </row>
    <row r="19" spans="1:7">
      <c r="A19" s="348">
        <v>8842</v>
      </c>
      <c r="B19" s="354" t="str">
        <f t="shared" si="1"/>
        <v>12.30.14</v>
      </c>
      <c r="C19" s="355">
        <v>80115</v>
      </c>
      <c r="D19" s="356" t="s">
        <v>942</v>
      </c>
      <c r="E19" s="357">
        <v>84950</v>
      </c>
      <c r="F19" s="358">
        <f t="shared" si="2"/>
        <v>4835</v>
      </c>
      <c r="G19" s="359" t="b">
        <f t="shared" si="0"/>
        <v>0</v>
      </c>
    </row>
    <row r="20" spans="1:7">
      <c r="A20" s="348">
        <v>8955</v>
      </c>
      <c r="B20" s="354" t="str">
        <f t="shared" si="1"/>
        <v>2.18.15</v>
      </c>
      <c r="C20" s="355">
        <v>84950</v>
      </c>
      <c r="D20" s="356" t="s">
        <v>941</v>
      </c>
      <c r="E20" s="357">
        <v>90126</v>
      </c>
      <c r="F20" s="358">
        <f t="shared" si="2"/>
        <v>5176</v>
      </c>
      <c r="G20" s="359" t="b">
        <f t="shared" si="0"/>
        <v>0</v>
      </c>
    </row>
    <row r="21" spans="1:7">
      <c r="A21" s="348">
        <v>9057</v>
      </c>
      <c r="B21" s="354" t="str">
        <f t="shared" si="1"/>
        <v>4.7.15</v>
      </c>
      <c r="C21" s="355">
        <v>90126</v>
      </c>
      <c r="D21" s="356" t="s">
        <v>473</v>
      </c>
      <c r="E21" s="357">
        <v>95012</v>
      </c>
      <c r="F21" s="358">
        <f t="shared" si="2"/>
        <v>4886</v>
      </c>
      <c r="G21" s="359" t="b">
        <f t="shared" si="0"/>
        <v>0</v>
      </c>
    </row>
    <row r="22" spans="1:7">
      <c r="A22" s="348">
        <v>9137</v>
      </c>
      <c r="B22" s="354" t="str">
        <f t="shared" si="1"/>
        <v>5.22.15</v>
      </c>
      <c r="C22" s="355">
        <v>95012</v>
      </c>
      <c r="D22" s="356" t="s">
        <v>940</v>
      </c>
      <c r="E22" s="357">
        <v>99943</v>
      </c>
      <c r="F22" s="358">
        <f t="shared" si="2"/>
        <v>4931</v>
      </c>
      <c r="G22" s="359" t="b">
        <f t="shared" si="0"/>
        <v>0</v>
      </c>
    </row>
    <row r="23" spans="1:7">
      <c r="A23" s="348">
        <v>9241</v>
      </c>
      <c r="B23" s="354" t="str">
        <f t="shared" si="1"/>
        <v>7.16.15</v>
      </c>
      <c r="C23" s="355">
        <v>99943</v>
      </c>
      <c r="D23" s="356" t="s">
        <v>939</v>
      </c>
      <c r="E23" s="357">
        <v>104942</v>
      </c>
      <c r="F23" s="358">
        <f t="shared" si="2"/>
        <v>4999</v>
      </c>
      <c r="G23" s="359" t="b">
        <f t="shared" si="0"/>
        <v>0</v>
      </c>
    </row>
    <row r="24" spans="1:7">
      <c r="A24" s="348">
        <v>9325</v>
      </c>
      <c r="B24" s="354" t="str">
        <f t="shared" si="1"/>
        <v>9.2.15</v>
      </c>
      <c r="C24" s="355">
        <v>104942</v>
      </c>
      <c r="D24" s="356" t="s">
        <v>938</v>
      </c>
      <c r="E24" s="357">
        <v>110000</v>
      </c>
      <c r="F24" s="358">
        <f t="shared" si="2"/>
        <v>5058</v>
      </c>
      <c r="G24" s="359" t="b">
        <f t="shared" si="0"/>
        <v>0</v>
      </c>
    </row>
    <row r="25" spans="1:7">
      <c r="A25" s="348">
        <v>9417</v>
      </c>
      <c r="B25" s="354" t="str">
        <f t="shared" si="1"/>
        <v>10.16.15</v>
      </c>
      <c r="C25" s="355">
        <v>110000</v>
      </c>
      <c r="D25" s="356" t="s">
        <v>937</v>
      </c>
      <c r="E25" s="357">
        <v>115180</v>
      </c>
      <c r="F25" s="358">
        <f t="shared" si="2"/>
        <v>5180</v>
      </c>
      <c r="G25" s="359" t="b">
        <f t="shared" si="0"/>
        <v>0</v>
      </c>
    </row>
    <row r="26" spans="1:7">
      <c r="A26" s="348">
        <v>9495</v>
      </c>
      <c r="B26" s="354" t="str">
        <f t="shared" si="1"/>
        <v>11.24.15</v>
      </c>
      <c r="C26" s="355">
        <v>115180</v>
      </c>
      <c r="D26" s="356" t="s">
        <v>936</v>
      </c>
      <c r="E26" s="357">
        <v>120030</v>
      </c>
      <c r="F26" s="358">
        <f t="shared" si="2"/>
        <v>4850</v>
      </c>
      <c r="G26" s="359" t="b">
        <f t="shared" si="0"/>
        <v>0</v>
      </c>
    </row>
    <row r="27" spans="1:7">
      <c r="A27" s="348">
        <v>9570</v>
      </c>
      <c r="B27" s="354" t="str">
        <f t="shared" si="1"/>
        <v>1.5.16</v>
      </c>
      <c r="C27" s="355">
        <v>120030</v>
      </c>
      <c r="D27" s="356" t="s">
        <v>935</v>
      </c>
      <c r="E27" s="357">
        <v>124987</v>
      </c>
      <c r="F27" s="358">
        <f t="shared" si="2"/>
        <v>4957</v>
      </c>
      <c r="G27" s="359" t="b">
        <f t="shared" si="0"/>
        <v>0</v>
      </c>
    </row>
    <row r="28" spans="1:7">
      <c r="A28" s="348">
        <v>9631</v>
      </c>
      <c r="B28" s="354" t="str">
        <f t="shared" si="1"/>
        <v>2.4.16</v>
      </c>
      <c r="C28" s="355">
        <v>124987</v>
      </c>
      <c r="D28" s="356" t="s">
        <v>934</v>
      </c>
      <c r="E28" s="357">
        <v>130140</v>
      </c>
      <c r="F28" s="358">
        <f t="shared" si="2"/>
        <v>5153</v>
      </c>
      <c r="G28" s="359" t="b">
        <f t="shared" si="0"/>
        <v>0</v>
      </c>
    </row>
    <row r="29" spans="1:7">
      <c r="A29" s="348">
        <v>9688</v>
      </c>
      <c r="B29" s="354" t="str">
        <f t="shared" si="1"/>
        <v>3.3.16</v>
      </c>
      <c r="C29" s="355">
        <v>130140</v>
      </c>
      <c r="D29" s="356" t="s">
        <v>933</v>
      </c>
      <c r="E29" s="357">
        <v>135083</v>
      </c>
      <c r="F29" s="358">
        <f t="shared" si="2"/>
        <v>4943</v>
      </c>
      <c r="G29" s="359" t="b">
        <f t="shared" si="0"/>
        <v>0</v>
      </c>
    </row>
    <row r="30" spans="1:7">
      <c r="A30" s="348">
        <v>9775</v>
      </c>
      <c r="B30" s="354" t="str">
        <f t="shared" si="1"/>
        <v>4.22.16</v>
      </c>
      <c r="C30" s="355">
        <v>135083</v>
      </c>
      <c r="D30" s="356" t="s">
        <v>932</v>
      </c>
      <c r="E30" s="357">
        <v>139993</v>
      </c>
      <c r="F30" s="358">
        <f t="shared" si="2"/>
        <v>4910</v>
      </c>
      <c r="G30" s="359" t="b">
        <f t="shared" si="0"/>
        <v>0</v>
      </c>
    </row>
    <row r="31" spans="1:7">
      <c r="A31" s="348">
        <v>9847</v>
      </c>
      <c r="B31" s="354" t="str">
        <f t="shared" si="1"/>
        <v>6.4.16</v>
      </c>
      <c r="C31" s="355">
        <v>139993</v>
      </c>
      <c r="D31" s="356" t="s">
        <v>931</v>
      </c>
      <c r="E31" s="357">
        <v>144905</v>
      </c>
      <c r="F31" s="358">
        <f t="shared" si="2"/>
        <v>4912</v>
      </c>
      <c r="G31" s="359" t="b">
        <f t="shared" si="0"/>
        <v>0</v>
      </c>
    </row>
    <row r="32" spans="1:7">
      <c r="A32" s="348">
        <v>9915</v>
      </c>
      <c r="B32" s="354" t="str">
        <f t="shared" si="1"/>
        <v>7.16.16</v>
      </c>
      <c r="C32" s="355">
        <v>144905</v>
      </c>
      <c r="D32" s="356" t="s">
        <v>930</v>
      </c>
      <c r="E32" s="357">
        <v>150007</v>
      </c>
      <c r="F32" s="358">
        <f t="shared" si="2"/>
        <v>5102</v>
      </c>
      <c r="G32" s="359" t="b">
        <f t="shared" si="0"/>
        <v>0</v>
      </c>
    </row>
    <row r="33" spans="1:7">
      <c r="A33" s="348">
        <v>9989</v>
      </c>
      <c r="B33" s="354" t="str">
        <f t="shared" si="1"/>
        <v>8.29.16</v>
      </c>
      <c r="C33" s="355">
        <v>150007</v>
      </c>
      <c r="D33" s="356" t="s">
        <v>929</v>
      </c>
      <c r="E33" s="357">
        <v>154944</v>
      </c>
      <c r="F33" s="358">
        <f t="shared" si="2"/>
        <v>4937</v>
      </c>
      <c r="G33" s="359" t="b">
        <f t="shared" si="0"/>
        <v>0</v>
      </c>
    </row>
    <row r="34" spans="1:7">
      <c r="A34" s="348">
        <v>10100</v>
      </c>
      <c r="B34" s="354" t="str">
        <f t="shared" si="1"/>
        <v>10.17.16</v>
      </c>
      <c r="C34" s="355">
        <v>154944</v>
      </c>
      <c r="D34" s="356" t="s">
        <v>928</v>
      </c>
      <c r="E34" s="357">
        <v>159949</v>
      </c>
      <c r="F34" s="358">
        <f t="shared" si="2"/>
        <v>5005</v>
      </c>
      <c r="G34" s="359" t="b">
        <f t="shared" si="0"/>
        <v>0</v>
      </c>
    </row>
    <row r="35" spans="1:7">
      <c r="A35" s="348"/>
      <c r="B35" s="354" t="str">
        <f t="shared" si="1"/>
        <v>12.28.16</v>
      </c>
      <c r="C35" s="355">
        <v>159949</v>
      </c>
      <c r="D35" s="356" t="s">
        <v>927</v>
      </c>
      <c r="E35" s="357">
        <v>164767</v>
      </c>
      <c r="F35" s="358">
        <f t="shared" si="2"/>
        <v>4818</v>
      </c>
      <c r="G35" s="359" t="b">
        <f t="shared" si="0"/>
        <v>0</v>
      </c>
    </row>
    <row r="36" spans="1:7">
      <c r="A36" s="348">
        <v>10322</v>
      </c>
      <c r="B36" s="354" t="str">
        <f t="shared" si="1"/>
        <v>2.2.17</v>
      </c>
      <c r="C36" s="355">
        <v>164767</v>
      </c>
      <c r="D36" s="356" t="s">
        <v>926</v>
      </c>
      <c r="E36" s="357">
        <v>169777</v>
      </c>
      <c r="F36" s="358">
        <f t="shared" si="2"/>
        <v>5010</v>
      </c>
      <c r="G36" s="359" t="b">
        <f t="shared" si="0"/>
        <v>0</v>
      </c>
    </row>
    <row r="37" spans="1:7">
      <c r="A37" s="348">
        <v>10439</v>
      </c>
      <c r="B37" s="354" t="str">
        <f t="shared" si="1"/>
        <v>4.26.17</v>
      </c>
      <c r="C37" s="355">
        <v>169777</v>
      </c>
      <c r="D37" s="356" t="s">
        <v>925</v>
      </c>
      <c r="E37" s="357">
        <v>174590</v>
      </c>
      <c r="F37" s="358">
        <f t="shared" si="2"/>
        <v>4813</v>
      </c>
      <c r="G37" s="359" t="b">
        <f t="shared" si="0"/>
        <v>0</v>
      </c>
    </row>
    <row r="38" spans="1:7">
      <c r="A38" s="348">
        <v>10562</v>
      </c>
      <c r="B38" s="354" t="str">
        <f t="shared" si="1"/>
        <v>6.15.17</v>
      </c>
      <c r="C38" s="355">
        <v>174590</v>
      </c>
      <c r="D38" s="356"/>
      <c r="E38" s="357"/>
      <c r="F38" s="358">
        <f t="shared" si="2"/>
        <v>-174590</v>
      </c>
      <c r="G38" s="359" t="b">
        <f t="shared" si="0"/>
        <v>0</v>
      </c>
    </row>
    <row r="40" spans="1:7" ht="13.5" thickBot="1">
      <c r="A40" s="509" t="s">
        <v>962</v>
      </c>
    </row>
    <row r="41" spans="1:7">
      <c r="A41" s="278" t="s">
        <v>155</v>
      </c>
      <c r="B41" s="279" t="s">
        <v>154</v>
      </c>
      <c r="C41" s="280"/>
      <c r="D41" s="279" t="s">
        <v>153</v>
      </c>
      <c r="E41" s="280"/>
      <c r="F41" s="279" t="s">
        <v>152</v>
      </c>
      <c r="G41" s="280"/>
    </row>
    <row r="42" spans="1:7">
      <c r="A42" s="348"/>
      <c r="B42" s="349"/>
      <c r="C42" s="350"/>
      <c r="D42" s="351" t="s">
        <v>925</v>
      </c>
      <c r="E42" s="352">
        <v>174590</v>
      </c>
      <c r="F42" s="285"/>
      <c r="G42" s="353" t="b">
        <f t="shared" ref="G42:G78" si="3">IF(F42&gt;5250,"OVER")</f>
        <v>0</v>
      </c>
    </row>
    <row r="43" spans="1:7">
      <c r="A43" s="348"/>
      <c r="B43" s="354" t="str">
        <f t="shared" ref="B43:B78" si="4">D42</f>
        <v>6.15.17</v>
      </c>
      <c r="C43" s="355">
        <v>174590</v>
      </c>
      <c r="D43" s="356" t="s">
        <v>960</v>
      </c>
      <c r="E43" s="357">
        <v>179673</v>
      </c>
      <c r="F43" s="358">
        <f t="shared" ref="F43:F78" si="5">SUM(E43-E42)</f>
        <v>5083</v>
      </c>
      <c r="G43" s="359" t="b">
        <f t="shared" si="3"/>
        <v>0</v>
      </c>
    </row>
    <row r="44" spans="1:7">
      <c r="A44" s="348">
        <v>10675</v>
      </c>
      <c r="B44" s="354" t="str">
        <f t="shared" si="4"/>
        <v>8.1.17</v>
      </c>
      <c r="C44" s="355">
        <v>179673</v>
      </c>
      <c r="D44" s="356" t="s">
        <v>961</v>
      </c>
      <c r="E44" s="357">
        <v>184472</v>
      </c>
      <c r="F44" s="358">
        <f t="shared" si="5"/>
        <v>4799</v>
      </c>
      <c r="G44" s="359" t="b">
        <f t="shared" si="3"/>
        <v>0</v>
      </c>
    </row>
    <row r="45" spans="1:7">
      <c r="A45" s="348">
        <v>10799</v>
      </c>
      <c r="B45" s="354" t="str">
        <f t="shared" si="4"/>
        <v>9.16.17</v>
      </c>
      <c r="C45" s="355">
        <v>184472</v>
      </c>
      <c r="D45" s="356"/>
      <c r="E45" s="357"/>
      <c r="F45" s="358">
        <f t="shared" si="5"/>
        <v>-184472</v>
      </c>
      <c r="G45" s="359" t="b">
        <f t="shared" si="3"/>
        <v>0</v>
      </c>
    </row>
    <row r="46" spans="1:7">
      <c r="A46" s="348"/>
      <c r="B46" s="354">
        <f t="shared" si="4"/>
        <v>0</v>
      </c>
      <c r="C46" s="355"/>
      <c r="D46" s="356"/>
      <c r="E46" s="357"/>
      <c r="F46" s="358">
        <f t="shared" si="5"/>
        <v>0</v>
      </c>
      <c r="G46" s="359" t="b">
        <f t="shared" si="3"/>
        <v>0</v>
      </c>
    </row>
    <row r="47" spans="1:7">
      <c r="A47" s="348"/>
      <c r="B47" s="354">
        <f t="shared" si="4"/>
        <v>0</v>
      </c>
      <c r="C47" s="355"/>
      <c r="D47" s="356"/>
      <c r="E47" s="357"/>
      <c r="F47" s="358">
        <f t="shared" si="5"/>
        <v>0</v>
      </c>
      <c r="G47" s="359" t="b">
        <f t="shared" si="3"/>
        <v>0</v>
      </c>
    </row>
    <row r="48" spans="1:7">
      <c r="A48" s="348"/>
      <c r="B48" s="354">
        <f t="shared" si="4"/>
        <v>0</v>
      </c>
      <c r="C48" s="355"/>
      <c r="D48" s="356"/>
      <c r="E48" s="357"/>
      <c r="F48" s="358">
        <f t="shared" si="5"/>
        <v>0</v>
      </c>
      <c r="G48" s="359" t="b">
        <f t="shared" si="3"/>
        <v>0</v>
      </c>
    </row>
    <row r="49" spans="1:7">
      <c r="A49" s="348"/>
      <c r="B49" s="354">
        <f t="shared" si="4"/>
        <v>0</v>
      </c>
      <c r="C49" s="355"/>
      <c r="D49" s="356"/>
      <c r="E49" s="357"/>
      <c r="F49" s="358">
        <f t="shared" si="5"/>
        <v>0</v>
      </c>
      <c r="G49" s="359" t="b">
        <f t="shared" si="3"/>
        <v>0</v>
      </c>
    </row>
    <row r="50" spans="1:7">
      <c r="A50" s="348"/>
      <c r="B50" s="354">
        <f t="shared" si="4"/>
        <v>0</v>
      </c>
      <c r="C50" s="355"/>
      <c r="D50" s="356"/>
      <c r="E50" s="357"/>
      <c r="F50" s="358">
        <f t="shared" si="5"/>
        <v>0</v>
      </c>
      <c r="G50" s="359" t="b">
        <f t="shared" si="3"/>
        <v>0</v>
      </c>
    </row>
    <row r="51" spans="1:7">
      <c r="A51" s="348"/>
      <c r="B51" s="354">
        <f t="shared" si="4"/>
        <v>0</v>
      </c>
      <c r="C51" s="355"/>
      <c r="D51" s="356"/>
      <c r="E51" s="357"/>
      <c r="F51" s="358">
        <f t="shared" si="5"/>
        <v>0</v>
      </c>
      <c r="G51" s="359" t="b">
        <f t="shared" si="3"/>
        <v>0</v>
      </c>
    </row>
    <row r="52" spans="1:7">
      <c r="A52" s="348"/>
      <c r="B52" s="354">
        <f t="shared" si="4"/>
        <v>0</v>
      </c>
      <c r="C52" s="355"/>
      <c r="D52" s="356"/>
      <c r="E52" s="357"/>
      <c r="F52" s="358">
        <f t="shared" si="5"/>
        <v>0</v>
      </c>
      <c r="G52" s="359" t="b">
        <f t="shared" si="3"/>
        <v>0</v>
      </c>
    </row>
    <row r="53" spans="1:7">
      <c r="A53" s="348"/>
      <c r="B53" s="354">
        <f t="shared" si="4"/>
        <v>0</v>
      </c>
      <c r="C53" s="355"/>
      <c r="D53" s="356"/>
      <c r="E53" s="357"/>
      <c r="F53" s="358">
        <f t="shared" si="5"/>
        <v>0</v>
      </c>
      <c r="G53" s="359" t="b">
        <f t="shared" si="3"/>
        <v>0</v>
      </c>
    </row>
    <row r="54" spans="1:7">
      <c r="A54" s="348"/>
      <c r="B54" s="354">
        <f t="shared" si="4"/>
        <v>0</v>
      </c>
      <c r="C54" s="355"/>
      <c r="D54" s="356"/>
      <c r="E54" s="357"/>
      <c r="F54" s="358">
        <f t="shared" si="5"/>
        <v>0</v>
      </c>
      <c r="G54" s="359" t="b">
        <f t="shared" si="3"/>
        <v>0</v>
      </c>
    </row>
    <row r="55" spans="1:7">
      <c r="A55" s="348"/>
      <c r="B55" s="354">
        <f t="shared" si="4"/>
        <v>0</v>
      </c>
      <c r="C55" s="361"/>
      <c r="D55" s="362"/>
      <c r="E55" s="363"/>
      <c r="F55" s="358">
        <f t="shared" si="5"/>
        <v>0</v>
      </c>
      <c r="G55" s="359" t="b">
        <f t="shared" si="3"/>
        <v>0</v>
      </c>
    </row>
    <row r="56" spans="1:7" ht="13.5" thickBot="1">
      <c r="A56" s="364"/>
      <c r="B56" s="354">
        <f t="shared" si="4"/>
        <v>0</v>
      </c>
      <c r="C56" s="365"/>
      <c r="D56" s="366"/>
      <c r="E56" s="367"/>
      <c r="F56" s="358">
        <f t="shared" si="5"/>
        <v>0</v>
      </c>
      <c r="G56" s="359" t="b">
        <f t="shared" si="3"/>
        <v>0</v>
      </c>
    </row>
    <row r="57" spans="1:7" ht="13.5" thickBot="1">
      <c r="A57" s="369"/>
      <c r="B57" s="354">
        <f t="shared" si="4"/>
        <v>0</v>
      </c>
      <c r="C57" s="370"/>
      <c r="D57" s="371"/>
      <c r="E57" s="372"/>
      <c r="F57" s="358">
        <f t="shared" si="5"/>
        <v>0</v>
      </c>
      <c r="G57" s="359" t="b">
        <f t="shared" si="3"/>
        <v>0</v>
      </c>
    </row>
    <row r="58" spans="1:7">
      <c r="A58" s="374"/>
      <c r="B58" s="354">
        <f t="shared" si="4"/>
        <v>0</v>
      </c>
      <c r="C58" s="375"/>
      <c r="D58" s="403"/>
      <c r="E58" s="377"/>
      <c r="F58" s="358">
        <f t="shared" si="5"/>
        <v>0</v>
      </c>
      <c r="G58" s="359" t="b">
        <f t="shared" si="3"/>
        <v>0</v>
      </c>
    </row>
    <row r="59" spans="1:7">
      <c r="A59" s="348"/>
      <c r="B59" s="354">
        <f t="shared" si="4"/>
        <v>0</v>
      </c>
      <c r="C59" s="355"/>
      <c r="D59" s="356"/>
      <c r="E59" s="357"/>
      <c r="F59" s="358">
        <f t="shared" si="5"/>
        <v>0</v>
      </c>
      <c r="G59" s="359" t="b">
        <f t="shared" si="3"/>
        <v>0</v>
      </c>
    </row>
    <row r="60" spans="1:7">
      <c r="A60" s="348"/>
      <c r="B60" s="354">
        <f t="shared" si="4"/>
        <v>0</v>
      </c>
      <c r="C60" s="355"/>
      <c r="D60" s="356"/>
      <c r="E60" s="357"/>
      <c r="F60" s="358">
        <f t="shared" si="5"/>
        <v>0</v>
      </c>
      <c r="G60" s="359" t="b">
        <f t="shared" si="3"/>
        <v>0</v>
      </c>
    </row>
    <row r="61" spans="1:7">
      <c r="A61" s="348"/>
      <c r="B61" s="354">
        <f t="shared" si="4"/>
        <v>0</v>
      </c>
      <c r="C61" s="355"/>
      <c r="D61" s="356"/>
      <c r="E61" s="357"/>
      <c r="F61" s="358">
        <f t="shared" si="5"/>
        <v>0</v>
      </c>
      <c r="G61" s="359" t="b">
        <f t="shared" si="3"/>
        <v>0</v>
      </c>
    </row>
    <row r="62" spans="1:7">
      <c r="A62" s="348"/>
      <c r="B62" s="354">
        <f t="shared" si="4"/>
        <v>0</v>
      </c>
      <c r="C62" s="355"/>
      <c r="D62" s="356"/>
      <c r="E62" s="357"/>
      <c r="F62" s="358">
        <f t="shared" si="5"/>
        <v>0</v>
      </c>
      <c r="G62" s="359" t="b">
        <f t="shared" si="3"/>
        <v>0</v>
      </c>
    </row>
    <row r="63" spans="1:7">
      <c r="A63" s="348"/>
      <c r="B63" s="354">
        <f t="shared" si="4"/>
        <v>0</v>
      </c>
      <c r="C63" s="355"/>
      <c r="D63" s="356"/>
      <c r="E63" s="357"/>
      <c r="F63" s="358">
        <f t="shared" si="5"/>
        <v>0</v>
      </c>
      <c r="G63" s="359" t="b">
        <f t="shared" si="3"/>
        <v>0</v>
      </c>
    </row>
    <row r="64" spans="1:7">
      <c r="A64" s="348"/>
      <c r="B64" s="354">
        <f t="shared" si="4"/>
        <v>0</v>
      </c>
      <c r="C64" s="355"/>
      <c r="D64" s="356"/>
      <c r="E64" s="357"/>
      <c r="F64" s="358">
        <f t="shared" si="5"/>
        <v>0</v>
      </c>
      <c r="G64" s="359" t="b">
        <f t="shared" si="3"/>
        <v>0</v>
      </c>
    </row>
    <row r="65" spans="1:7">
      <c r="A65" s="348"/>
      <c r="B65" s="354">
        <f t="shared" si="4"/>
        <v>0</v>
      </c>
      <c r="C65" s="355"/>
      <c r="D65" s="356"/>
      <c r="E65" s="357"/>
      <c r="F65" s="358">
        <f t="shared" si="5"/>
        <v>0</v>
      </c>
      <c r="G65" s="359" t="b">
        <f t="shared" si="3"/>
        <v>0</v>
      </c>
    </row>
    <row r="66" spans="1:7">
      <c r="A66" s="348"/>
      <c r="B66" s="354">
        <f t="shared" si="4"/>
        <v>0</v>
      </c>
      <c r="C66" s="355"/>
      <c r="D66" s="356"/>
      <c r="E66" s="357"/>
      <c r="F66" s="358">
        <f t="shared" si="5"/>
        <v>0</v>
      </c>
      <c r="G66" s="359" t="b">
        <f t="shared" si="3"/>
        <v>0</v>
      </c>
    </row>
    <row r="67" spans="1:7">
      <c r="A67" s="348"/>
      <c r="B67" s="354">
        <f t="shared" si="4"/>
        <v>0</v>
      </c>
      <c r="C67" s="355"/>
      <c r="D67" s="356"/>
      <c r="E67" s="357"/>
      <c r="F67" s="358">
        <f t="shared" si="5"/>
        <v>0</v>
      </c>
      <c r="G67" s="359" t="b">
        <f t="shared" si="3"/>
        <v>0</v>
      </c>
    </row>
    <row r="68" spans="1:7">
      <c r="A68" s="348"/>
      <c r="B68" s="354">
        <f t="shared" si="4"/>
        <v>0</v>
      </c>
      <c r="C68" s="355"/>
      <c r="D68" s="356"/>
      <c r="E68" s="357"/>
      <c r="F68" s="358">
        <f t="shared" si="5"/>
        <v>0</v>
      </c>
      <c r="G68" s="359" t="b">
        <f t="shared" si="3"/>
        <v>0</v>
      </c>
    </row>
    <row r="69" spans="1:7">
      <c r="A69" s="348"/>
      <c r="B69" s="354">
        <f t="shared" si="4"/>
        <v>0</v>
      </c>
      <c r="C69" s="355"/>
      <c r="D69" s="356"/>
      <c r="E69" s="357"/>
      <c r="F69" s="358">
        <f t="shared" si="5"/>
        <v>0</v>
      </c>
      <c r="G69" s="359" t="b">
        <f t="shared" si="3"/>
        <v>0</v>
      </c>
    </row>
    <row r="70" spans="1:7">
      <c r="A70" s="348"/>
      <c r="B70" s="354">
        <f t="shared" si="4"/>
        <v>0</v>
      </c>
      <c r="C70" s="355"/>
      <c r="D70" s="356"/>
      <c r="E70" s="357"/>
      <c r="F70" s="358">
        <f t="shared" si="5"/>
        <v>0</v>
      </c>
      <c r="G70" s="359" t="b">
        <f t="shared" si="3"/>
        <v>0</v>
      </c>
    </row>
    <row r="71" spans="1:7">
      <c r="A71" s="348"/>
      <c r="B71" s="354">
        <f t="shared" si="4"/>
        <v>0</v>
      </c>
      <c r="C71" s="355"/>
      <c r="D71" s="356"/>
      <c r="E71" s="357"/>
      <c r="F71" s="358">
        <f t="shared" si="5"/>
        <v>0</v>
      </c>
      <c r="G71" s="359" t="b">
        <f t="shared" si="3"/>
        <v>0</v>
      </c>
    </row>
    <row r="72" spans="1:7">
      <c r="A72" s="348"/>
      <c r="B72" s="354">
        <f t="shared" si="4"/>
        <v>0</v>
      </c>
      <c r="C72" s="355"/>
      <c r="D72" s="356"/>
      <c r="E72" s="357"/>
      <c r="F72" s="358">
        <f t="shared" si="5"/>
        <v>0</v>
      </c>
      <c r="G72" s="359" t="b">
        <f t="shared" si="3"/>
        <v>0</v>
      </c>
    </row>
    <row r="73" spans="1:7">
      <c r="A73" s="348"/>
      <c r="B73" s="354">
        <f t="shared" si="4"/>
        <v>0</v>
      </c>
      <c r="C73" s="355"/>
      <c r="D73" s="356"/>
      <c r="E73" s="357"/>
      <c r="F73" s="358">
        <f t="shared" si="5"/>
        <v>0</v>
      </c>
      <c r="G73" s="359" t="b">
        <f t="shared" si="3"/>
        <v>0</v>
      </c>
    </row>
    <row r="74" spans="1:7">
      <c r="A74" s="348"/>
      <c r="B74" s="354">
        <f t="shared" si="4"/>
        <v>0</v>
      </c>
      <c r="C74" s="355"/>
      <c r="D74" s="356"/>
      <c r="E74" s="357"/>
      <c r="F74" s="358">
        <f t="shared" si="5"/>
        <v>0</v>
      </c>
      <c r="G74" s="359" t="b">
        <f t="shared" si="3"/>
        <v>0</v>
      </c>
    </row>
    <row r="75" spans="1:7">
      <c r="A75" s="348"/>
      <c r="B75" s="354">
        <f t="shared" si="4"/>
        <v>0</v>
      </c>
      <c r="C75" s="355"/>
      <c r="D75" s="356"/>
      <c r="E75" s="357"/>
      <c r="F75" s="358">
        <f t="shared" si="5"/>
        <v>0</v>
      </c>
      <c r="G75" s="359" t="b">
        <f t="shared" si="3"/>
        <v>0</v>
      </c>
    </row>
    <row r="76" spans="1:7">
      <c r="A76" s="348"/>
      <c r="B76" s="354">
        <f t="shared" si="4"/>
        <v>0</v>
      </c>
      <c r="C76" s="355"/>
      <c r="D76" s="356"/>
      <c r="E76" s="357"/>
      <c r="F76" s="358">
        <f t="shared" si="5"/>
        <v>0</v>
      </c>
      <c r="G76" s="359" t="b">
        <f t="shared" si="3"/>
        <v>0</v>
      </c>
    </row>
    <row r="77" spans="1:7">
      <c r="A77" s="348"/>
      <c r="B77" s="354">
        <f t="shared" si="4"/>
        <v>0</v>
      </c>
      <c r="C77" s="355"/>
      <c r="D77" s="356"/>
      <c r="E77" s="357"/>
      <c r="F77" s="358">
        <f t="shared" si="5"/>
        <v>0</v>
      </c>
      <c r="G77" s="359" t="b">
        <f t="shared" si="3"/>
        <v>0</v>
      </c>
    </row>
    <row r="78" spans="1:7">
      <c r="A78" s="348"/>
      <c r="B78" s="354">
        <f t="shared" si="4"/>
        <v>0</v>
      </c>
      <c r="C78" s="355"/>
      <c r="D78" s="356"/>
      <c r="E78" s="357"/>
      <c r="F78" s="358">
        <f t="shared" si="5"/>
        <v>0</v>
      </c>
      <c r="G78" s="359" t="b">
        <f t="shared" si="3"/>
        <v>0</v>
      </c>
    </row>
  </sheetData>
  <mergeCells count="6">
    <mergeCell ref="B1:C1"/>
    <mergeCell ref="D1:E1"/>
    <mergeCell ref="F1:G1"/>
    <mergeCell ref="B41:C41"/>
    <mergeCell ref="D41:E41"/>
    <mergeCell ref="F41:G41"/>
  </mergeCells>
  <pageMargins left="0.7" right="0.7" top="0.75" bottom="0.75" header="0.3" footer="0.3"/>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Q15"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'[15]Projected Maint Practices'!Q7</f>
        <v>4913</v>
      </c>
      <c r="D6" s="264">
        <f>'[15]True Maint Practices'!Q7</f>
        <v>3022</v>
      </c>
    </row>
    <row r="7" spans="1:6" ht="15">
      <c r="B7" s="263">
        <v>2</v>
      </c>
      <c r="C7" s="264">
        <f>'[15]Projected Maint Practices'!Q8</f>
        <v>4913</v>
      </c>
      <c r="D7" s="264">
        <f>'[15]True Maint Practices'!Q8</f>
        <v>3762</v>
      </c>
    </row>
    <row r="8" spans="1:6" ht="15">
      <c r="B8" s="263">
        <v>3</v>
      </c>
      <c r="C8" s="264">
        <f>'[15]Projected Maint Practices'!Q9</f>
        <v>4913</v>
      </c>
      <c r="D8" s="264">
        <f>'[15]True Maint Practices'!Q9</f>
        <v>4595</v>
      </c>
    </row>
    <row r="9" spans="1:6" ht="15">
      <c r="B9" s="263">
        <v>4</v>
      </c>
      <c r="C9" s="264">
        <f>'[15]Projected Maint Practices'!Q10</f>
        <v>4913</v>
      </c>
      <c r="D9" s="264">
        <f>'[15]True Maint Practices'!Q10</f>
        <v>4906</v>
      </c>
    </row>
    <row r="10" spans="1:6" ht="15">
      <c r="B10" s="263">
        <v>5</v>
      </c>
      <c r="C10" s="264">
        <f>'[15]Projected Maint Practices'!Q11</f>
        <v>17239.669999999998</v>
      </c>
      <c r="D10" s="264">
        <f>'[15]True Maint Practices'!Q11</f>
        <v>2686</v>
      </c>
    </row>
    <row r="11" spans="1:6" ht="15">
      <c r="B11" s="263">
        <v>6</v>
      </c>
      <c r="C11" s="264">
        <f>'[15]Projected Maint Practices'!Q12</f>
        <v>4913</v>
      </c>
      <c r="D11" s="264">
        <f>'[15]True Maint Practices'!Q12</f>
        <v>0</v>
      </c>
    </row>
    <row r="12" spans="1:6" ht="15">
      <c r="B12" s="263">
        <v>7</v>
      </c>
      <c r="C12" s="264">
        <f>'[15]Projected Maint Practices'!Q13</f>
        <v>4913</v>
      </c>
      <c r="D12" s="264">
        <f>'[15]True Maint Practices'!Q13</f>
        <v>0</v>
      </c>
    </row>
    <row r="13" spans="1:6" ht="15">
      <c r="B13" s="263">
        <v>8</v>
      </c>
      <c r="C13" s="264">
        <f>'[15]Projected Maint Practices'!Q14</f>
        <v>4913</v>
      </c>
      <c r="D13" s="264">
        <f>'[15]True Maint Practices'!Q14</f>
        <v>0</v>
      </c>
    </row>
    <row r="14" spans="1:6" ht="15">
      <c r="B14" s="263">
        <v>9</v>
      </c>
      <c r="C14" s="264">
        <f>'[15]Projected Maint Practices'!Q15</f>
        <v>4913</v>
      </c>
      <c r="D14" s="264">
        <f>'[15]True Maint Practices'!Q15</f>
        <v>0</v>
      </c>
    </row>
    <row r="15" spans="1:6" ht="15">
      <c r="B15" s="263">
        <v>10</v>
      </c>
      <c r="C15" s="264">
        <f>'[15]Projected Maint Practices'!Q16</f>
        <v>4913</v>
      </c>
      <c r="D15" s="264">
        <f>'[15]True Maint Practices'!Q16</f>
        <v>0</v>
      </c>
    </row>
    <row r="16" spans="1:6" ht="15">
      <c r="B16" s="263">
        <v>11</v>
      </c>
      <c r="C16" s="264">
        <f>'[15]Projected Maint Practices'!Q17</f>
        <v>4913</v>
      </c>
      <c r="D16" s="264">
        <f>'[15]True Maint Practices'!Q17</f>
        <v>0</v>
      </c>
    </row>
    <row r="17" spans="2:4" ht="15">
      <c r="B17" s="263">
        <v>12</v>
      </c>
      <c r="C17" s="264">
        <f>'[15]Projected Maint Practices'!Q18</f>
        <v>4913</v>
      </c>
      <c r="D17" s="264">
        <f>'[15]True Maint Practices'!Q18</f>
        <v>0</v>
      </c>
    </row>
    <row r="18" spans="2:4" ht="15">
      <c r="B18" s="260" t="s">
        <v>1</v>
      </c>
      <c r="C18" s="264">
        <f>SUM(C6:C17)</f>
        <v>71282.67</v>
      </c>
      <c r="D18" s="264">
        <f>SUM(D6:D17)</f>
        <v>18971</v>
      </c>
    </row>
  </sheetData>
  <printOptions horizontalCentered="1" verticalCentered="1"/>
  <pageMargins left="0.5" right="0.5" top="0.75" bottom="0.75" header="0.5" footer="0.5"/>
  <pageSetup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1"/>
  <sheetViews>
    <sheetView showGridLines="0" topLeftCell="A12" zoomScaleNormal="100" workbookViewId="0">
      <selection activeCell="R22" sqref="A1:XFD1048576"/>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s="1" customFormat="1" ht="16.5" customHeight="1">
      <c r="B1" s="43"/>
      <c r="C1" s="43"/>
      <c r="D1" s="43"/>
      <c r="E1" s="43"/>
      <c r="F1" s="43"/>
      <c r="G1" s="43"/>
      <c r="H1" s="43"/>
      <c r="I1" s="43"/>
      <c r="J1" s="43"/>
      <c r="K1" s="43"/>
      <c r="L1" s="43"/>
      <c r="M1" s="43"/>
      <c r="N1" s="43"/>
      <c r="O1" s="43"/>
      <c r="P1" s="43"/>
    </row>
    <row r="2" spans="2:22" s="1" customFormat="1" ht="31.5" customHeight="1">
      <c r="B2" s="404" t="s">
        <v>1790</v>
      </c>
      <c r="C2" s="43"/>
      <c r="D2" s="43"/>
      <c r="E2" s="43"/>
      <c r="F2" s="43"/>
      <c r="G2" s="43"/>
      <c r="H2" s="43"/>
      <c r="I2" s="43"/>
      <c r="J2" s="43"/>
      <c r="K2" s="43"/>
      <c r="L2" s="43"/>
      <c r="M2" s="43"/>
      <c r="N2" s="43"/>
      <c r="O2" s="43" t="s">
        <v>233</v>
      </c>
      <c r="P2" s="43"/>
    </row>
    <row r="3" spans="2:22" s="1" customFormat="1" ht="16.5" customHeight="1">
      <c r="B3" s="43"/>
      <c r="C3" s="43"/>
      <c r="D3" s="43"/>
      <c r="E3" s="43"/>
      <c r="F3" s="43"/>
      <c r="G3" s="43"/>
      <c r="H3" s="43"/>
      <c r="I3" s="43"/>
      <c r="J3" s="43"/>
      <c r="K3" s="43"/>
      <c r="L3" s="43"/>
      <c r="M3" s="43"/>
      <c r="N3" s="43"/>
      <c r="O3" s="43"/>
      <c r="P3" s="43"/>
    </row>
    <row r="12" spans="2:22" s="1" customFormat="1" ht="16.5" customHeight="1">
      <c r="V12" s="1" t="s">
        <v>32</v>
      </c>
    </row>
    <row r="18" spans="2:16" s="1" customFormat="1"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s="1" customFormat="1" ht="16.5" customHeight="1">
      <c r="B19" s="101" t="s">
        <v>17</v>
      </c>
      <c r="C19" s="8"/>
      <c r="D19" s="8"/>
      <c r="E19" s="8"/>
      <c r="F19" s="8"/>
      <c r="G19" s="8"/>
      <c r="H19" s="8"/>
      <c r="I19" s="8"/>
      <c r="J19" s="8">
        <v>143.57</v>
      </c>
      <c r="K19" s="8"/>
      <c r="L19" s="8">
        <v>1061.72</v>
      </c>
      <c r="M19" s="30"/>
      <c r="N19" s="8"/>
      <c r="O19" s="4">
        <f t="shared" ref="O19:O38" si="0">SUM(C19:N19)</f>
        <v>1205.29</v>
      </c>
      <c r="P19" s="102"/>
    </row>
    <row r="20" spans="2:16" s="1" customFormat="1" ht="16.5" customHeight="1">
      <c r="B20" s="101" t="s">
        <v>16</v>
      </c>
      <c r="C20" s="8"/>
      <c r="D20" s="8"/>
      <c r="E20" s="8"/>
      <c r="F20" s="8"/>
      <c r="G20" s="8"/>
      <c r="H20" s="8"/>
      <c r="I20" s="8"/>
      <c r="J20" s="8"/>
      <c r="K20" s="8"/>
      <c r="L20" s="8"/>
      <c r="M20" s="30"/>
      <c r="N20" s="8"/>
      <c r="O20" s="4">
        <f t="shared" si="0"/>
        <v>0</v>
      </c>
      <c r="P20" s="102"/>
    </row>
    <row r="21" spans="2:16" s="1" customFormat="1" ht="16.5" customHeight="1">
      <c r="B21" s="101" t="s">
        <v>15</v>
      </c>
      <c r="C21" s="8"/>
      <c r="D21" s="8"/>
      <c r="E21" s="8"/>
      <c r="F21" s="8"/>
      <c r="G21" s="8"/>
      <c r="H21" s="8"/>
      <c r="I21" s="8"/>
      <c r="J21" s="8">
        <v>48.09</v>
      </c>
      <c r="K21" s="8"/>
      <c r="L21" s="8"/>
      <c r="M21" s="30"/>
      <c r="N21" s="8"/>
      <c r="O21" s="4">
        <f t="shared" si="0"/>
        <v>48.09</v>
      </c>
      <c r="P21" s="102"/>
    </row>
    <row r="22" spans="2:16" s="1" customFormat="1" ht="16.5" customHeight="1">
      <c r="B22" s="101" t="s">
        <v>232</v>
      </c>
      <c r="C22" s="8"/>
      <c r="D22" s="8"/>
      <c r="E22" s="8"/>
      <c r="F22" s="8"/>
      <c r="G22" s="8"/>
      <c r="H22" s="8"/>
      <c r="I22" s="8"/>
      <c r="J22" s="8">
        <v>42.89</v>
      </c>
      <c r="K22" s="8"/>
      <c r="L22" s="8"/>
      <c r="M22" s="30"/>
      <c r="N22" s="8"/>
      <c r="O22" s="4">
        <f t="shared" si="0"/>
        <v>42.89</v>
      </c>
      <c r="P22" s="102"/>
    </row>
    <row r="23" spans="2:16" s="1" customFormat="1" ht="16.5" customHeight="1">
      <c r="B23" s="101" t="s">
        <v>13</v>
      </c>
      <c r="C23" s="8"/>
      <c r="D23" s="8"/>
      <c r="E23" s="8"/>
      <c r="F23" s="8"/>
      <c r="G23" s="8"/>
      <c r="H23" s="8"/>
      <c r="I23" s="8"/>
      <c r="J23" s="8"/>
      <c r="K23" s="8">
        <v>128.79</v>
      </c>
      <c r="L23" s="8"/>
      <c r="M23" s="30"/>
      <c r="N23" s="8"/>
      <c r="O23" s="4">
        <f t="shared" si="0"/>
        <v>128.79</v>
      </c>
      <c r="P23" s="102"/>
    </row>
    <row r="24" spans="2:16" s="1" customFormat="1" ht="16.5" customHeight="1">
      <c r="B24" s="103" t="s">
        <v>12</v>
      </c>
      <c r="C24" s="17"/>
      <c r="D24" s="17"/>
      <c r="E24" s="17"/>
      <c r="F24" s="17"/>
      <c r="G24" s="17"/>
      <c r="H24" s="17"/>
      <c r="I24" s="17"/>
      <c r="J24" s="17"/>
      <c r="K24" s="17">
        <v>8.5</v>
      </c>
      <c r="L24" s="17"/>
      <c r="M24" s="35"/>
      <c r="N24" s="17"/>
      <c r="O24" s="4">
        <f t="shared" si="0"/>
        <v>8.5</v>
      </c>
      <c r="P24" s="102"/>
    </row>
    <row r="25" spans="2:16" s="1" customFormat="1" ht="16.5" customHeight="1">
      <c r="B25" s="103" t="s">
        <v>11</v>
      </c>
      <c r="C25" s="17"/>
      <c r="D25" s="17"/>
      <c r="E25" s="17"/>
      <c r="F25" s="17"/>
      <c r="G25" s="17"/>
      <c r="H25" s="17"/>
      <c r="I25" s="17"/>
      <c r="J25" s="17"/>
      <c r="K25" s="17"/>
      <c r="L25" s="17"/>
      <c r="M25" s="35"/>
      <c r="N25" s="17"/>
      <c r="O25" s="4">
        <f t="shared" si="0"/>
        <v>0</v>
      </c>
      <c r="P25" s="102"/>
    </row>
    <row r="26" spans="2:16" s="1" customFormat="1" ht="16.5" customHeight="1">
      <c r="B26" s="103" t="s">
        <v>10</v>
      </c>
      <c r="C26" s="17"/>
      <c r="D26" s="17"/>
      <c r="E26" s="17"/>
      <c r="F26" s="17"/>
      <c r="G26" s="17"/>
      <c r="H26" s="17"/>
      <c r="I26" s="17"/>
      <c r="J26" s="17"/>
      <c r="K26" s="17"/>
      <c r="L26" s="17"/>
      <c r="M26" s="35"/>
      <c r="N26" s="17"/>
      <c r="O26" s="4">
        <f t="shared" si="0"/>
        <v>0</v>
      </c>
      <c r="P26" s="102"/>
    </row>
    <row r="27" spans="2:16" s="1" customFormat="1" ht="16.5" customHeight="1">
      <c r="B27" s="103" t="s">
        <v>9</v>
      </c>
      <c r="C27" s="17"/>
      <c r="D27" s="17"/>
      <c r="E27" s="17"/>
      <c r="F27" s="17"/>
      <c r="G27" s="17"/>
      <c r="H27" s="17"/>
      <c r="I27" s="17"/>
      <c r="J27" s="17"/>
      <c r="K27" s="17"/>
      <c r="L27" s="17"/>
      <c r="M27" s="35"/>
      <c r="N27" s="17"/>
      <c r="O27" s="4">
        <f t="shared" si="0"/>
        <v>0</v>
      </c>
      <c r="P27" s="102"/>
    </row>
    <row r="28" spans="2:16" s="1" customFormat="1" ht="16.5" hidden="1" customHeight="1">
      <c r="B28" s="103"/>
      <c r="C28" s="15"/>
      <c r="D28" s="15"/>
      <c r="E28" s="15"/>
      <c r="F28" s="15"/>
      <c r="G28" s="15"/>
      <c r="H28" s="15"/>
      <c r="I28" s="15"/>
      <c r="J28" s="15"/>
      <c r="K28" s="15"/>
      <c r="L28" s="15"/>
      <c r="M28" s="16"/>
      <c r="N28" s="15"/>
      <c r="O28" s="4">
        <f t="shared" si="0"/>
        <v>0</v>
      </c>
      <c r="P28" s="102"/>
    </row>
    <row r="29" spans="2:16" s="1" customFormat="1" ht="16.5" hidden="1" customHeight="1">
      <c r="B29" s="103"/>
      <c r="C29" s="15"/>
      <c r="D29" s="15"/>
      <c r="E29" s="15"/>
      <c r="F29" s="15"/>
      <c r="G29" s="15"/>
      <c r="H29" s="15"/>
      <c r="I29" s="15"/>
      <c r="J29" s="15"/>
      <c r="K29" s="15"/>
      <c r="L29" s="15"/>
      <c r="M29" s="16"/>
      <c r="N29" s="15"/>
      <c r="O29" s="4">
        <f t="shared" si="0"/>
        <v>0</v>
      </c>
      <c r="P29" s="102"/>
    </row>
    <row r="30" spans="2:16" s="1" customFormat="1" ht="16.5" hidden="1" customHeight="1">
      <c r="B30" s="103"/>
      <c r="C30" s="15"/>
      <c r="D30" s="15"/>
      <c r="E30" s="15"/>
      <c r="F30" s="15"/>
      <c r="G30" s="15"/>
      <c r="H30" s="15"/>
      <c r="I30" s="15"/>
      <c r="J30" s="15"/>
      <c r="K30" s="15"/>
      <c r="L30" s="15"/>
      <c r="M30" s="16"/>
      <c r="N30" s="15"/>
      <c r="O30" s="4">
        <f t="shared" si="0"/>
        <v>0</v>
      </c>
      <c r="P30" s="102"/>
    </row>
    <row r="31" spans="2:16" s="1" customFormat="1" ht="16.5" hidden="1" customHeight="1">
      <c r="B31" s="103"/>
      <c r="C31" s="15"/>
      <c r="D31" s="15"/>
      <c r="E31" s="15"/>
      <c r="F31" s="15"/>
      <c r="G31" s="15"/>
      <c r="H31" s="15"/>
      <c r="I31" s="15"/>
      <c r="J31" s="15"/>
      <c r="K31" s="15"/>
      <c r="L31" s="15"/>
      <c r="M31" s="16"/>
      <c r="N31" s="15"/>
      <c r="O31" s="4">
        <f t="shared" si="0"/>
        <v>0</v>
      </c>
      <c r="P31" s="102"/>
    </row>
    <row r="32" spans="2:16" s="1" customFormat="1" ht="16.5" customHeight="1">
      <c r="B32" s="103" t="s">
        <v>8</v>
      </c>
      <c r="C32" s="4"/>
      <c r="D32" s="4"/>
      <c r="E32" s="4"/>
      <c r="F32" s="4"/>
      <c r="G32" s="4"/>
      <c r="H32" s="4"/>
      <c r="I32" s="4"/>
      <c r="J32" s="4"/>
      <c r="K32" s="4"/>
      <c r="L32" s="4"/>
      <c r="M32" s="33"/>
      <c r="N32" s="4"/>
      <c r="O32" s="4">
        <f t="shared" si="0"/>
        <v>0</v>
      </c>
      <c r="P32" s="102"/>
    </row>
    <row r="33" spans="2:18" s="1" customFormat="1" ht="16.5" customHeight="1">
      <c r="B33" s="103" t="s">
        <v>7</v>
      </c>
      <c r="C33" s="12"/>
      <c r="D33" s="12"/>
      <c r="E33" s="12"/>
      <c r="F33" s="12"/>
      <c r="G33" s="12"/>
      <c r="H33" s="12"/>
      <c r="I33" s="12"/>
      <c r="J33" s="12"/>
      <c r="K33" s="12"/>
      <c r="L33" s="12"/>
      <c r="M33" s="32"/>
      <c r="N33" s="12"/>
      <c r="O33" s="4">
        <f t="shared" si="0"/>
        <v>0</v>
      </c>
      <c r="P33" s="102"/>
    </row>
    <row r="34" spans="2:18" s="1" customFormat="1" ht="16.5" customHeight="1">
      <c r="B34" s="103" t="s">
        <v>6</v>
      </c>
      <c r="C34" s="41"/>
      <c r="D34" s="41"/>
      <c r="E34" s="41"/>
      <c r="F34" s="41"/>
      <c r="G34" s="41"/>
      <c r="H34" s="41"/>
      <c r="I34" s="41"/>
      <c r="J34" s="41"/>
      <c r="K34" s="41"/>
      <c r="L34" s="41"/>
      <c r="M34" s="42"/>
      <c r="N34" s="41"/>
      <c r="O34" s="4">
        <f t="shared" si="0"/>
        <v>0</v>
      </c>
      <c r="P34" s="102"/>
    </row>
    <row r="35" spans="2:18" s="1" customFormat="1" ht="16.5" customHeight="1">
      <c r="B35" s="103" t="s">
        <v>5</v>
      </c>
      <c r="C35" s="8"/>
      <c r="D35" s="8"/>
      <c r="E35" s="8"/>
      <c r="F35" s="8"/>
      <c r="G35" s="8"/>
      <c r="H35" s="8"/>
      <c r="I35" s="8"/>
      <c r="J35" s="8"/>
      <c r="K35" s="8"/>
      <c r="L35" s="8"/>
      <c r="M35" s="30"/>
      <c r="N35" s="8"/>
      <c r="O35" s="4">
        <f t="shared" si="0"/>
        <v>0</v>
      </c>
      <c r="P35" s="102"/>
    </row>
    <row r="36" spans="2:18" s="1" customFormat="1" ht="16.5" customHeight="1">
      <c r="B36" s="103" t="s">
        <v>171</v>
      </c>
      <c r="C36" s="8"/>
      <c r="D36" s="8"/>
      <c r="E36" s="8"/>
      <c r="F36" s="8"/>
      <c r="G36" s="8"/>
      <c r="H36" s="8"/>
      <c r="I36" s="8"/>
      <c r="J36" s="8"/>
      <c r="K36" s="8"/>
      <c r="L36" s="8"/>
      <c r="M36" s="30"/>
      <c r="N36" s="8"/>
      <c r="O36" s="4">
        <f t="shared" si="0"/>
        <v>0</v>
      </c>
      <c r="P36" s="102"/>
    </row>
    <row r="37" spans="2:18" s="1" customFormat="1" ht="16.5" customHeight="1">
      <c r="B37" s="103" t="s">
        <v>3</v>
      </c>
      <c r="C37" s="8"/>
      <c r="D37" s="8"/>
      <c r="E37" s="8"/>
      <c r="F37" s="8"/>
      <c r="G37" s="8"/>
      <c r="H37" s="8"/>
      <c r="I37" s="8">
        <v>7.91</v>
      </c>
      <c r="J37" s="8">
        <v>12.23</v>
      </c>
      <c r="K37" s="8">
        <v>79.900000000000006</v>
      </c>
      <c r="L37" s="8"/>
      <c r="M37" s="30"/>
      <c r="N37" s="8"/>
      <c r="O37" s="4">
        <f t="shared" si="0"/>
        <v>100.04</v>
      </c>
      <c r="P37" s="102"/>
    </row>
    <row r="38" spans="2:18" s="1" customFormat="1" ht="16.5" customHeight="1">
      <c r="B38" s="103" t="s">
        <v>2</v>
      </c>
      <c r="C38" s="5"/>
      <c r="D38" s="5"/>
      <c r="E38" s="5"/>
      <c r="F38" s="5"/>
      <c r="G38" s="5"/>
      <c r="H38" s="5"/>
      <c r="I38" s="5">
        <v>20</v>
      </c>
      <c r="J38" s="5">
        <v>70</v>
      </c>
      <c r="K38" s="5">
        <v>60</v>
      </c>
      <c r="L38" s="5"/>
      <c r="M38" s="29"/>
      <c r="N38" s="5"/>
      <c r="O38" s="4">
        <f t="shared" si="0"/>
        <v>150</v>
      </c>
      <c r="P38" s="102"/>
    </row>
    <row r="39" spans="2:18" s="1" customFormat="1" ht="16.5" customHeight="1">
      <c r="B39" s="101" t="s">
        <v>1</v>
      </c>
      <c r="C39" s="104">
        <f>SUBTOTAL(109,ExpenseSummary123[Jan])</f>
        <v>0</v>
      </c>
      <c r="D39" s="105">
        <f>SUBTOTAL(109,ExpenseSummary123[Feb])</f>
        <v>0</v>
      </c>
      <c r="E39" s="104">
        <f>SUBTOTAL(109,ExpenseSummary123[Mar])</f>
        <v>0</v>
      </c>
      <c r="F39" s="105">
        <f>SUBTOTAL(109,ExpenseSummary123[Apr])</f>
        <v>0</v>
      </c>
      <c r="G39" s="104">
        <f>SUBTOTAL(109,ExpenseSummary123[May])</f>
        <v>0</v>
      </c>
      <c r="H39" s="105">
        <f>SUBTOTAL(109,ExpenseSummary123[Jun])</f>
        <v>0</v>
      </c>
      <c r="I39" s="104">
        <f>SUBTOTAL(109,ExpenseSummary123[Jul])</f>
        <v>27.91</v>
      </c>
      <c r="J39" s="105">
        <f>SUBTOTAL(109,ExpenseSummary123[Aug])</f>
        <v>316.77999999999997</v>
      </c>
      <c r="K39" s="104">
        <f>SUBTOTAL(109,ExpenseSummary123[Sep])</f>
        <v>277.19</v>
      </c>
      <c r="L39" s="105">
        <f>SUBTOTAL(109,ExpenseSummary123[Oct])</f>
        <v>1061.72</v>
      </c>
      <c r="M39" s="267">
        <f>SUBTOTAL(109,ExpenseSummary123[Nov])</f>
        <v>0</v>
      </c>
      <c r="N39" s="105">
        <f>SUBTOTAL(109,ExpenseSummary123[Dec])</f>
        <v>0</v>
      </c>
      <c r="O39" s="106">
        <f>SUBTOTAL(109,ExpenseSummary123[Total])</f>
        <v>1683.6</v>
      </c>
      <c r="P39" s="102"/>
    </row>
    <row r="40" spans="2:18" s="1" customFormat="1" ht="16.5" customHeight="1">
      <c r="B40" s="28"/>
      <c r="C40" s="28"/>
    </row>
    <row r="41" spans="2:18" s="1" customFormat="1" ht="16.5" customHeight="1">
      <c r="B41" s="268"/>
      <c r="C41" s="268"/>
      <c r="D41" s="269"/>
      <c r="E41" s="270" t="s">
        <v>118</v>
      </c>
      <c r="F41" s="270"/>
      <c r="G41" s="270"/>
      <c r="H41" s="270"/>
      <c r="I41" s="270"/>
      <c r="J41" s="270"/>
      <c r="K41" s="270"/>
      <c r="L41" s="270"/>
      <c r="M41" s="270"/>
      <c r="N41" s="270"/>
      <c r="O41" s="270"/>
      <c r="P41" s="270"/>
      <c r="Q41" s="270"/>
      <c r="R41" s="270"/>
    </row>
    <row r="42" spans="2:18" s="1" customFormat="1" ht="16.5" customHeight="1">
      <c r="B42" s="271" t="s">
        <v>1055</v>
      </c>
      <c r="C42" s="272" t="s">
        <v>1056</v>
      </c>
      <c r="D42" s="269"/>
      <c r="E42" s="273" t="s">
        <v>1791</v>
      </c>
      <c r="F42" s="273"/>
      <c r="G42" s="273"/>
      <c r="H42" s="273"/>
      <c r="I42" s="273"/>
      <c r="J42" s="273"/>
      <c r="K42" s="273"/>
      <c r="L42" s="273"/>
      <c r="M42" s="273"/>
      <c r="N42" s="273"/>
      <c r="O42" s="273"/>
      <c r="P42" s="273"/>
      <c r="Q42" s="273"/>
      <c r="R42" s="273"/>
    </row>
    <row r="43" spans="2:18" s="1" customFormat="1" ht="16.5" customHeight="1">
      <c r="B43" s="274" t="s">
        <v>115</v>
      </c>
      <c r="C43" s="275" t="s">
        <v>289</v>
      </c>
      <c r="D43" s="269"/>
      <c r="E43" s="270" t="s">
        <v>113</v>
      </c>
      <c r="F43" s="270"/>
      <c r="G43" s="270"/>
      <c r="H43" s="270"/>
      <c r="I43" s="270"/>
      <c r="J43" s="270"/>
      <c r="K43" s="270"/>
      <c r="L43" s="270"/>
      <c r="M43" s="270"/>
      <c r="N43" s="270"/>
      <c r="O43" s="270"/>
      <c r="P43" s="270"/>
      <c r="Q43" s="270"/>
      <c r="R43" s="270"/>
    </row>
    <row r="44" spans="2:18" s="1" customFormat="1" ht="16.5" customHeight="1" thickBot="1">
      <c r="B44" s="274" t="s">
        <v>112</v>
      </c>
      <c r="C44" s="276">
        <v>93175</v>
      </c>
      <c r="D44" s="268"/>
      <c r="E44" s="273" t="s">
        <v>1057</v>
      </c>
      <c r="F44" s="273"/>
      <c r="G44" s="273"/>
      <c r="H44" s="273"/>
      <c r="I44" s="273"/>
      <c r="J44" s="273"/>
      <c r="K44" s="273"/>
      <c r="L44" s="273"/>
      <c r="M44" s="273"/>
      <c r="N44" s="273"/>
      <c r="O44" s="273"/>
      <c r="P44" s="273"/>
      <c r="Q44" s="273"/>
      <c r="R44" s="273"/>
    </row>
    <row r="45" spans="2:18" s="1" customFormat="1" ht="16.5" customHeight="1">
      <c r="B45" s="274" t="s">
        <v>110</v>
      </c>
      <c r="C45" s="277"/>
      <c r="D45" s="260"/>
      <c r="E45" s="278" t="s">
        <v>109</v>
      </c>
      <c r="F45" s="279" t="s">
        <v>108</v>
      </c>
      <c r="G45" s="280"/>
      <c r="H45" s="279" t="s">
        <v>107</v>
      </c>
      <c r="I45" s="280"/>
      <c r="J45" s="279" t="s">
        <v>106</v>
      </c>
      <c r="K45" s="280"/>
      <c r="L45" s="279" t="s">
        <v>105</v>
      </c>
      <c r="M45" s="280"/>
      <c r="N45" s="279" t="s">
        <v>96</v>
      </c>
      <c r="O45" s="280"/>
      <c r="P45" s="279" t="s">
        <v>104</v>
      </c>
      <c r="Q45" s="280"/>
      <c r="R45" s="281" t="s">
        <v>103</v>
      </c>
    </row>
    <row r="46" spans="2:18" s="1" customFormat="1" ht="16.5" customHeight="1">
      <c r="B46" s="282" t="s">
        <v>102</v>
      </c>
      <c r="C46" s="283">
        <v>283</v>
      </c>
      <c r="D46" s="262"/>
      <c r="E46" s="284"/>
      <c r="F46" s="285" t="s">
        <v>101</v>
      </c>
      <c r="G46" s="286" t="s">
        <v>100</v>
      </c>
      <c r="H46" s="285" t="s">
        <v>101</v>
      </c>
      <c r="I46" s="286" t="s">
        <v>100</v>
      </c>
      <c r="J46" s="285" t="s">
        <v>101</v>
      </c>
      <c r="K46" s="286" t="s">
        <v>100</v>
      </c>
      <c r="L46" s="287" t="s">
        <v>101</v>
      </c>
      <c r="M46" s="405" t="s">
        <v>100</v>
      </c>
      <c r="N46" s="287" t="s">
        <v>101</v>
      </c>
      <c r="O46" s="286" t="s">
        <v>100</v>
      </c>
      <c r="P46" s="287" t="s">
        <v>101</v>
      </c>
      <c r="Q46" s="286" t="s">
        <v>100</v>
      </c>
      <c r="R46" s="284"/>
    </row>
    <row r="47" spans="2:18" s="1" customFormat="1" ht="16.5" customHeight="1">
      <c r="B47" s="274" t="s">
        <v>99</v>
      </c>
      <c r="C47" s="288">
        <v>6867</v>
      </c>
      <c r="D47" s="260"/>
      <c r="E47" s="289" t="s">
        <v>87</v>
      </c>
      <c r="F47" s="290">
        <v>7</v>
      </c>
      <c r="G47" s="291">
        <f t="shared" ref="G47:G58" si="1">SUM($B$6*F47)*C59</f>
        <v>0</v>
      </c>
      <c r="H47" s="292"/>
      <c r="I47" s="291">
        <f>IF(H47&gt;0,($B$7*C59),0)</f>
        <v>0</v>
      </c>
      <c r="J47" s="293"/>
      <c r="K47" s="291">
        <f>IF(J47&gt;0,($B$8*C59),0)</f>
        <v>0</v>
      </c>
      <c r="L47" s="292">
        <v>2</v>
      </c>
      <c r="M47" s="406">
        <f t="shared" ref="M47:M58" si="2">IF(L47&gt;0,($B$9*L47),0)</f>
        <v>0</v>
      </c>
      <c r="N47" s="294">
        <v>2</v>
      </c>
      <c r="O47" s="291">
        <f t="shared" ref="O47:O58" si="3">IF(N47&gt;0,($B$10*N47),0)</f>
        <v>0</v>
      </c>
      <c r="P47" s="295">
        <v>2</v>
      </c>
      <c r="Q47" s="291">
        <f t="shared" ref="Q47:Q58" si="4">SUM(P47*$B$17)*C59</f>
        <v>0</v>
      </c>
      <c r="R47" s="296">
        <f t="shared" ref="R47:R58" si="5">SUM(Q47+O47+M47+K47+I47+G47)</f>
        <v>0</v>
      </c>
    </row>
    <row r="48" spans="2:18" s="1" customFormat="1" ht="16.5" customHeight="1">
      <c r="B48" s="274" t="s">
        <v>98</v>
      </c>
      <c r="C48" s="288">
        <v>5460</v>
      </c>
      <c r="D48" s="260"/>
      <c r="E48" s="289" t="s">
        <v>86</v>
      </c>
      <c r="F48" s="290">
        <v>7</v>
      </c>
      <c r="G48" s="291">
        <f t="shared" si="1"/>
        <v>0</v>
      </c>
      <c r="H48" s="292"/>
      <c r="I48" s="291">
        <f>IF(H48&gt;0,($B$7*C60),0)</f>
        <v>0</v>
      </c>
      <c r="J48" s="293"/>
      <c r="K48" s="291">
        <f>IF(J48&gt;0,($B$8*C60),0)</f>
        <v>0</v>
      </c>
      <c r="L48" s="292">
        <v>2</v>
      </c>
      <c r="M48" s="406">
        <f t="shared" si="2"/>
        <v>0</v>
      </c>
      <c r="N48" s="294">
        <v>2</v>
      </c>
      <c r="O48" s="291">
        <f t="shared" si="3"/>
        <v>0</v>
      </c>
      <c r="P48" s="295">
        <v>2</v>
      </c>
      <c r="Q48" s="291">
        <f t="shared" si="4"/>
        <v>0</v>
      </c>
      <c r="R48" s="296">
        <f t="shared" si="5"/>
        <v>0</v>
      </c>
    </row>
    <row r="49" spans="2:18" s="1" customFormat="1" ht="16.5" customHeight="1">
      <c r="B49" s="407" t="s">
        <v>97</v>
      </c>
      <c r="C49" s="288">
        <v>324</v>
      </c>
      <c r="D49" s="260"/>
      <c r="E49" s="289" t="s">
        <v>84</v>
      </c>
      <c r="F49" s="290">
        <v>7</v>
      </c>
      <c r="G49" s="291">
        <f t="shared" si="1"/>
        <v>0</v>
      </c>
      <c r="H49" s="292"/>
      <c r="I49" s="291">
        <f>IF(H49&gt;0,($B$7*C61),0)</f>
        <v>0</v>
      </c>
      <c r="J49" s="293"/>
      <c r="K49" s="291">
        <f>IF(J49&gt;0,($B$8*C61),0)</f>
        <v>0</v>
      </c>
      <c r="L49" s="292">
        <v>2</v>
      </c>
      <c r="M49" s="406">
        <f t="shared" si="2"/>
        <v>0</v>
      </c>
      <c r="N49" s="294">
        <v>2</v>
      </c>
      <c r="O49" s="291">
        <f t="shared" si="3"/>
        <v>0</v>
      </c>
      <c r="P49" s="295">
        <v>2</v>
      </c>
      <c r="Q49" s="291">
        <f t="shared" si="4"/>
        <v>0</v>
      </c>
      <c r="R49" s="296">
        <f t="shared" si="5"/>
        <v>0</v>
      </c>
    </row>
    <row r="50" spans="2:18" s="1" customFormat="1" ht="16.5" customHeight="1">
      <c r="B50" s="408" t="s">
        <v>96</v>
      </c>
      <c r="C50" s="288">
        <v>1050</v>
      </c>
      <c r="D50" s="260"/>
      <c r="E50" s="289" t="s">
        <v>83</v>
      </c>
      <c r="F50" s="290">
        <v>7</v>
      </c>
      <c r="G50" s="291">
        <f t="shared" si="1"/>
        <v>0</v>
      </c>
      <c r="H50" s="292"/>
      <c r="I50" s="291">
        <f>IF(H50&gt;0,($B$7*C62),0)</f>
        <v>0</v>
      </c>
      <c r="J50" s="293"/>
      <c r="K50" s="291">
        <f>IF(J50&gt;0,($B$8*C62),0)</f>
        <v>0</v>
      </c>
      <c r="L50" s="292">
        <v>2</v>
      </c>
      <c r="M50" s="406">
        <f t="shared" si="2"/>
        <v>0</v>
      </c>
      <c r="N50" s="294">
        <v>2</v>
      </c>
      <c r="O50" s="291">
        <f t="shared" si="3"/>
        <v>0</v>
      </c>
      <c r="P50" s="295">
        <v>2</v>
      </c>
      <c r="Q50" s="291">
        <f t="shared" si="4"/>
        <v>0</v>
      </c>
      <c r="R50" s="296">
        <f t="shared" si="5"/>
        <v>0</v>
      </c>
    </row>
    <row r="51" spans="2:18" s="1" customFormat="1" ht="16.5" customHeight="1">
      <c r="B51" s="274" t="s">
        <v>95</v>
      </c>
      <c r="C51" s="141">
        <v>35000</v>
      </c>
      <c r="D51" s="260"/>
      <c r="E51" s="289" t="s">
        <v>82</v>
      </c>
      <c r="F51" s="290">
        <v>7</v>
      </c>
      <c r="G51" s="291">
        <f t="shared" si="1"/>
        <v>0</v>
      </c>
      <c r="H51" s="292"/>
      <c r="I51" s="291">
        <v>6866.67</v>
      </c>
      <c r="J51" s="293"/>
      <c r="K51" s="291">
        <v>5460</v>
      </c>
      <c r="L51" s="292">
        <v>2</v>
      </c>
      <c r="M51" s="406">
        <f t="shared" si="2"/>
        <v>0</v>
      </c>
      <c r="N51" s="294">
        <v>2</v>
      </c>
      <c r="O51" s="291">
        <f t="shared" si="3"/>
        <v>0</v>
      </c>
      <c r="P51" s="295">
        <v>2</v>
      </c>
      <c r="Q51" s="291">
        <f t="shared" si="4"/>
        <v>0</v>
      </c>
      <c r="R51" s="296">
        <f t="shared" si="5"/>
        <v>12326.67</v>
      </c>
    </row>
    <row r="52" spans="2:18" s="1" customFormat="1" ht="16.5" customHeight="1">
      <c r="B52" s="274" t="s">
        <v>94</v>
      </c>
      <c r="C52" s="141">
        <v>5000</v>
      </c>
      <c r="D52" s="260"/>
      <c r="E52" s="289" t="s">
        <v>80</v>
      </c>
      <c r="F52" s="290">
        <v>7</v>
      </c>
      <c r="G52" s="291">
        <f t="shared" si="1"/>
        <v>0</v>
      </c>
      <c r="H52" s="292"/>
      <c r="I52" s="291">
        <f t="shared" ref="I52:I58" si="6">IF(H52&gt;0,($B$7*C64),0)</f>
        <v>0</v>
      </c>
      <c r="J52" s="293"/>
      <c r="K52" s="291">
        <f t="shared" ref="K52:K58" si="7">IF(J52&gt;0,($B$8*C64),0)</f>
        <v>0</v>
      </c>
      <c r="L52" s="292">
        <v>2</v>
      </c>
      <c r="M52" s="406">
        <f t="shared" si="2"/>
        <v>0</v>
      </c>
      <c r="N52" s="294">
        <v>2</v>
      </c>
      <c r="O52" s="291">
        <f t="shared" si="3"/>
        <v>0</v>
      </c>
      <c r="P52" s="295">
        <v>2</v>
      </c>
      <c r="Q52" s="291">
        <f t="shared" si="4"/>
        <v>0</v>
      </c>
      <c r="R52" s="296">
        <f t="shared" si="5"/>
        <v>0</v>
      </c>
    </row>
    <row r="53" spans="2:18" s="1" customFormat="1" ht="16.5" customHeight="1">
      <c r="B53" s="274" t="s">
        <v>93</v>
      </c>
      <c r="C53" s="141">
        <v>175000</v>
      </c>
      <c r="D53" s="260"/>
      <c r="E53" s="289" t="s">
        <v>79</v>
      </c>
      <c r="F53" s="290">
        <v>7</v>
      </c>
      <c r="G53" s="291">
        <f t="shared" si="1"/>
        <v>0</v>
      </c>
      <c r="H53" s="292"/>
      <c r="I53" s="291">
        <f t="shared" si="6"/>
        <v>0</v>
      </c>
      <c r="J53" s="293"/>
      <c r="K53" s="291">
        <f t="shared" si="7"/>
        <v>0</v>
      </c>
      <c r="L53" s="292">
        <v>2</v>
      </c>
      <c r="M53" s="406">
        <f t="shared" si="2"/>
        <v>0</v>
      </c>
      <c r="N53" s="294">
        <v>2</v>
      </c>
      <c r="O53" s="291">
        <f t="shared" si="3"/>
        <v>0</v>
      </c>
      <c r="P53" s="295">
        <v>2</v>
      </c>
      <c r="Q53" s="291">
        <f t="shared" si="4"/>
        <v>0</v>
      </c>
      <c r="R53" s="296">
        <f t="shared" si="5"/>
        <v>0</v>
      </c>
    </row>
    <row r="54" spans="2:18" s="1" customFormat="1" ht="16.5" customHeight="1">
      <c r="B54" s="274" t="s">
        <v>92</v>
      </c>
      <c r="C54" s="141">
        <v>175000</v>
      </c>
      <c r="D54" s="260"/>
      <c r="E54" s="289" t="s">
        <v>78</v>
      </c>
      <c r="F54" s="290">
        <v>7</v>
      </c>
      <c r="G54" s="291">
        <f t="shared" si="1"/>
        <v>0</v>
      </c>
      <c r="H54" s="292"/>
      <c r="I54" s="291">
        <f t="shared" si="6"/>
        <v>0</v>
      </c>
      <c r="J54" s="293"/>
      <c r="K54" s="291">
        <f t="shared" si="7"/>
        <v>0</v>
      </c>
      <c r="L54" s="292">
        <v>2</v>
      </c>
      <c r="M54" s="406">
        <f t="shared" si="2"/>
        <v>0</v>
      </c>
      <c r="N54" s="294">
        <v>2</v>
      </c>
      <c r="O54" s="291">
        <f t="shared" si="3"/>
        <v>0</v>
      </c>
      <c r="P54" s="295">
        <v>2</v>
      </c>
      <c r="Q54" s="291">
        <f t="shared" si="4"/>
        <v>0</v>
      </c>
      <c r="R54" s="296">
        <f t="shared" si="5"/>
        <v>0</v>
      </c>
    </row>
    <row r="55" spans="2:18" s="1" customFormat="1" ht="16.5" customHeight="1">
      <c r="B55" s="274" t="s">
        <v>91</v>
      </c>
      <c r="C55" s="141">
        <v>12000</v>
      </c>
      <c r="D55" s="260"/>
      <c r="E55" s="289" t="s">
        <v>77</v>
      </c>
      <c r="F55" s="290">
        <v>7</v>
      </c>
      <c r="G55" s="291">
        <f t="shared" si="1"/>
        <v>0</v>
      </c>
      <c r="H55" s="292"/>
      <c r="I55" s="291">
        <f t="shared" si="6"/>
        <v>0</v>
      </c>
      <c r="J55" s="293"/>
      <c r="K55" s="291">
        <f t="shared" si="7"/>
        <v>0</v>
      </c>
      <c r="L55" s="292">
        <v>2</v>
      </c>
      <c r="M55" s="406">
        <f t="shared" si="2"/>
        <v>0</v>
      </c>
      <c r="N55" s="294">
        <v>2</v>
      </c>
      <c r="O55" s="291">
        <f t="shared" si="3"/>
        <v>0</v>
      </c>
      <c r="P55" s="295">
        <v>2</v>
      </c>
      <c r="Q55" s="291">
        <f t="shared" si="4"/>
        <v>0</v>
      </c>
      <c r="R55" s="296">
        <f t="shared" si="5"/>
        <v>0</v>
      </c>
    </row>
    <row r="56" spans="2:18" s="1" customFormat="1" ht="16.5" customHeight="1">
      <c r="B56" s="274" t="s">
        <v>90</v>
      </c>
      <c r="C56" s="141">
        <v>25000</v>
      </c>
      <c r="D56" s="260"/>
      <c r="E56" s="289" t="s">
        <v>76</v>
      </c>
      <c r="F56" s="290">
        <v>7</v>
      </c>
      <c r="G56" s="291">
        <f t="shared" si="1"/>
        <v>0</v>
      </c>
      <c r="H56" s="292"/>
      <c r="I56" s="291">
        <f t="shared" si="6"/>
        <v>0</v>
      </c>
      <c r="J56" s="293"/>
      <c r="K56" s="291">
        <f t="shared" si="7"/>
        <v>0</v>
      </c>
      <c r="L56" s="292">
        <v>2</v>
      </c>
      <c r="M56" s="406">
        <f t="shared" si="2"/>
        <v>0</v>
      </c>
      <c r="N56" s="294">
        <v>2</v>
      </c>
      <c r="O56" s="291">
        <f t="shared" si="3"/>
        <v>0</v>
      </c>
      <c r="P56" s="295">
        <v>2</v>
      </c>
      <c r="Q56" s="291">
        <f t="shared" si="4"/>
        <v>0</v>
      </c>
      <c r="R56" s="296">
        <f t="shared" si="5"/>
        <v>0</v>
      </c>
    </row>
    <row r="57" spans="2:18" s="1" customFormat="1" ht="16.5" customHeight="1">
      <c r="B57" s="297" t="s">
        <v>89</v>
      </c>
      <c r="C57" s="298">
        <v>92</v>
      </c>
      <c r="D57" s="260"/>
      <c r="E57" s="289" t="s">
        <v>75</v>
      </c>
      <c r="F57" s="290">
        <v>7</v>
      </c>
      <c r="G57" s="291">
        <f t="shared" si="1"/>
        <v>0</v>
      </c>
      <c r="H57" s="292"/>
      <c r="I57" s="291">
        <f t="shared" si="6"/>
        <v>0</v>
      </c>
      <c r="J57" s="293"/>
      <c r="K57" s="291">
        <f t="shared" si="7"/>
        <v>0</v>
      </c>
      <c r="L57" s="292">
        <v>2</v>
      </c>
      <c r="M57" s="406">
        <f t="shared" si="2"/>
        <v>0</v>
      </c>
      <c r="N57" s="294">
        <v>2</v>
      </c>
      <c r="O57" s="291">
        <f t="shared" si="3"/>
        <v>0</v>
      </c>
      <c r="P57" s="295">
        <v>2</v>
      </c>
      <c r="Q57" s="291">
        <f t="shared" si="4"/>
        <v>0</v>
      </c>
      <c r="R57" s="296">
        <f t="shared" si="5"/>
        <v>0</v>
      </c>
    </row>
    <row r="58" spans="2:18" s="1" customFormat="1" ht="16.5" customHeight="1">
      <c r="B58" s="299" t="s">
        <v>88</v>
      </c>
      <c r="C58" s="300"/>
      <c r="D58" s="260"/>
      <c r="E58" s="289" t="s">
        <v>74</v>
      </c>
      <c r="F58" s="290">
        <v>7</v>
      </c>
      <c r="G58" s="291">
        <f t="shared" si="1"/>
        <v>0</v>
      </c>
      <c r="H58" s="292"/>
      <c r="I58" s="291">
        <f t="shared" si="6"/>
        <v>0</v>
      </c>
      <c r="J58" s="293"/>
      <c r="K58" s="291">
        <f t="shared" si="7"/>
        <v>0</v>
      </c>
      <c r="L58" s="292">
        <v>2</v>
      </c>
      <c r="M58" s="406">
        <f t="shared" si="2"/>
        <v>0</v>
      </c>
      <c r="N58" s="294">
        <v>2</v>
      </c>
      <c r="O58" s="291">
        <f t="shared" si="3"/>
        <v>0</v>
      </c>
      <c r="P58" s="295">
        <v>2</v>
      </c>
      <c r="Q58" s="291">
        <f t="shared" si="4"/>
        <v>0</v>
      </c>
      <c r="R58" s="296">
        <f t="shared" si="5"/>
        <v>0</v>
      </c>
    </row>
    <row r="59" spans="2:18" s="1" customFormat="1" ht="16.5" customHeight="1">
      <c r="B59" s="513" t="s">
        <v>87</v>
      </c>
      <c r="C59" s="514">
        <v>1</v>
      </c>
      <c r="D59" s="260"/>
      <c r="E59" s="303"/>
      <c r="F59" s="304"/>
      <c r="G59" s="305"/>
      <c r="H59" s="306"/>
      <c r="I59" s="307"/>
      <c r="J59" s="308"/>
      <c r="K59" s="307"/>
      <c r="L59" s="306"/>
      <c r="M59" s="409"/>
      <c r="N59" s="304"/>
      <c r="O59" s="305"/>
      <c r="P59" s="306"/>
      <c r="Q59" s="307"/>
      <c r="R59" s="309"/>
    </row>
    <row r="60" spans="2:18" s="1" customFormat="1" ht="16.5" customHeight="1" thickBot="1">
      <c r="B60" s="513" t="s">
        <v>86</v>
      </c>
      <c r="C60" s="513">
        <f t="shared" ref="C60:C70" si="8">SUM(C59+(C59*$B$5))</f>
        <v>1</v>
      </c>
      <c r="D60" s="260"/>
      <c r="E60" s="310" t="s">
        <v>85</v>
      </c>
      <c r="F60" s="311"/>
      <c r="G60" s="312">
        <f>SUM(G47:G58)</f>
        <v>0</v>
      </c>
      <c r="H60" s="313"/>
      <c r="I60" s="312">
        <f>SUM(I47:I58)</f>
        <v>6866.67</v>
      </c>
      <c r="J60" s="314"/>
      <c r="K60" s="312">
        <f>SUM(K47:K58)</f>
        <v>5460</v>
      </c>
      <c r="L60" s="313"/>
      <c r="M60" s="410">
        <f>SUM(M47:M58)</f>
        <v>0</v>
      </c>
      <c r="N60" s="315"/>
      <c r="O60" s="312">
        <f>SUM(O47:O58)</f>
        <v>0</v>
      </c>
      <c r="P60" s="313"/>
      <c r="Q60" s="312">
        <f>SUM(Q47:Q58)</f>
        <v>0</v>
      </c>
      <c r="R60" s="316">
        <f>SUM(R47:R58)</f>
        <v>12326.67</v>
      </c>
    </row>
    <row r="61" spans="2:18" s="1" customFormat="1" ht="16.5" customHeight="1" thickTop="1" thickBot="1">
      <c r="B61" s="513" t="s">
        <v>84</v>
      </c>
      <c r="C61" s="513">
        <f t="shared" si="8"/>
        <v>1</v>
      </c>
      <c r="D61" s="269"/>
      <c r="E61" s="317"/>
      <c r="F61" s="318"/>
      <c r="G61" s="319"/>
      <c r="H61" s="320"/>
      <c r="I61" s="319"/>
      <c r="J61" s="321"/>
      <c r="K61" s="319"/>
      <c r="L61" s="320"/>
      <c r="M61" s="411"/>
      <c r="N61" s="318"/>
      <c r="O61" s="322"/>
      <c r="P61" s="320"/>
      <c r="Q61" s="319"/>
      <c r="R61" s="323"/>
    </row>
    <row r="62" spans="2:18" s="1" customFormat="1" ht="16.5" customHeight="1">
      <c r="B62" s="513" t="s">
        <v>83</v>
      </c>
      <c r="C62" s="515">
        <f t="shared" si="8"/>
        <v>1</v>
      </c>
      <c r="D62" s="269"/>
      <c r="E62" s="269"/>
      <c r="F62" s="325"/>
      <c r="G62" s="269"/>
      <c r="H62" s="326"/>
      <c r="I62" s="269"/>
      <c r="J62" s="327"/>
      <c r="K62" s="269"/>
      <c r="L62" s="326"/>
      <c r="M62" s="412"/>
      <c r="N62" s="325"/>
      <c r="O62" s="269"/>
      <c r="P62" s="326"/>
      <c r="Q62" s="269"/>
      <c r="R62" s="269"/>
    </row>
    <row r="63" spans="2:18" s="1" customFormat="1" ht="16.5" customHeight="1">
      <c r="B63" s="513" t="s">
        <v>82</v>
      </c>
      <c r="C63" s="515">
        <f t="shared" si="8"/>
        <v>1</v>
      </c>
      <c r="D63" s="269"/>
      <c r="E63" s="269" t="s">
        <v>81</v>
      </c>
      <c r="F63" s="325"/>
      <c r="G63" s="269"/>
      <c r="H63" s="326"/>
      <c r="I63" s="269"/>
      <c r="J63" s="327"/>
      <c r="K63" s="269"/>
      <c r="L63" s="326"/>
      <c r="M63" s="412"/>
      <c r="N63" s="325"/>
      <c r="O63" s="269"/>
      <c r="P63" s="326"/>
      <c r="Q63" s="269"/>
      <c r="R63" s="269"/>
    </row>
    <row r="64" spans="2:18" s="1" customFormat="1" ht="16.5" customHeight="1">
      <c r="B64" s="513" t="s">
        <v>80</v>
      </c>
      <c r="C64" s="515">
        <f t="shared" si="8"/>
        <v>1</v>
      </c>
      <c r="D64" s="269"/>
      <c r="E64" s="269"/>
      <c r="F64" s="325"/>
      <c r="G64" s="269"/>
      <c r="H64" s="326"/>
      <c r="I64" s="269"/>
      <c r="J64" s="327"/>
      <c r="K64" s="269"/>
      <c r="L64" s="326"/>
      <c r="M64" s="412"/>
      <c r="N64" s="325"/>
      <c r="O64" s="269"/>
      <c r="P64" s="326"/>
      <c r="Q64" s="269"/>
      <c r="R64" s="269"/>
    </row>
    <row r="65" spans="2:18" s="1" customFormat="1" ht="16.5" customHeight="1">
      <c r="B65" s="513" t="s">
        <v>79</v>
      </c>
      <c r="C65" s="515">
        <f t="shared" si="8"/>
        <v>1</v>
      </c>
      <c r="D65" s="269"/>
      <c r="E65" s="413" t="s">
        <v>291</v>
      </c>
      <c r="F65" s="414"/>
      <c r="G65" s="415"/>
      <c r="H65" s="416"/>
      <c r="I65" s="413"/>
      <c r="J65" s="417"/>
      <c r="K65" s="413"/>
      <c r="L65" s="417"/>
      <c r="M65" s="413"/>
      <c r="N65" s="417"/>
      <c r="O65" s="413"/>
      <c r="P65" s="326"/>
      <c r="Q65" s="269"/>
      <c r="R65" s="269"/>
    </row>
    <row r="66" spans="2:18" s="1" customFormat="1" ht="16.5" customHeight="1">
      <c r="B66" s="513" t="s">
        <v>78</v>
      </c>
      <c r="C66" s="515">
        <f t="shared" si="8"/>
        <v>1</v>
      </c>
      <c r="D66" s="269"/>
      <c r="E66" s="418" t="s">
        <v>292</v>
      </c>
      <c r="F66" s="419"/>
      <c r="G66" s="418"/>
      <c r="H66" s="420"/>
      <c r="I66" s="269"/>
      <c r="J66" s="326"/>
      <c r="K66" s="269"/>
      <c r="L66" s="326"/>
      <c r="M66" s="269"/>
      <c r="N66" s="326"/>
      <c r="O66" s="269"/>
      <c r="P66" s="326"/>
      <c r="Q66" s="269"/>
      <c r="R66" s="269"/>
    </row>
    <row r="67" spans="2:18" s="1" customFormat="1" ht="16.5" customHeight="1">
      <c r="B67" s="513" t="s">
        <v>77</v>
      </c>
      <c r="C67" s="515">
        <f t="shared" si="8"/>
        <v>1</v>
      </c>
      <c r="D67" s="269"/>
      <c r="E67" s="269"/>
      <c r="F67" s="325"/>
      <c r="G67" s="269"/>
      <c r="H67" s="326"/>
      <c r="I67" s="269"/>
      <c r="J67" s="327"/>
      <c r="K67" s="269"/>
      <c r="L67" s="326"/>
      <c r="M67" s="412"/>
      <c r="N67" s="325"/>
      <c r="O67" s="269"/>
      <c r="P67" s="326"/>
      <c r="Q67" s="269"/>
      <c r="R67" s="269"/>
    </row>
    <row r="68" spans="2:18" s="1" customFormat="1" ht="16.5" customHeight="1">
      <c r="B68" s="513" t="s">
        <v>76</v>
      </c>
      <c r="C68" s="515">
        <f t="shared" si="8"/>
        <v>1</v>
      </c>
      <c r="D68" s="269"/>
      <c r="E68" s="269"/>
      <c r="F68" s="325"/>
      <c r="G68" s="269"/>
      <c r="H68" s="326"/>
      <c r="I68" s="269"/>
      <c r="J68" s="327"/>
      <c r="K68" s="269"/>
      <c r="L68" s="326"/>
      <c r="M68" s="412"/>
      <c r="N68" s="325"/>
      <c r="O68" s="269"/>
      <c r="P68" s="326"/>
      <c r="Q68" s="269"/>
      <c r="R68" s="269"/>
    </row>
    <row r="69" spans="2:18" s="1" customFormat="1" ht="16.5" customHeight="1">
      <c r="B69" s="513" t="s">
        <v>75</v>
      </c>
      <c r="C69" s="515">
        <f t="shared" si="8"/>
        <v>1</v>
      </c>
      <c r="D69" s="269"/>
      <c r="E69" s="269"/>
      <c r="F69" s="325"/>
      <c r="G69" s="269"/>
      <c r="H69" s="326"/>
      <c r="I69" s="269"/>
      <c r="J69" s="327"/>
      <c r="K69" s="269"/>
      <c r="L69" s="326"/>
      <c r="M69" s="412"/>
      <c r="N69" s="325"/>
      <c r="O69" s="269"/>
      <c r="P69" s="326"/>
      <c r="Q69" s="269"/>
      <c r="R69" s="269"/>
    </row>
    <row r="70" spans="2:18" s="1" customFormat="1" ht="16.5" customHeight="1">
      <c r="B70" s="513" t="s">
        <v>74</v>
      </c>
      <c r="C70" s="515">
        <f t="shared" si="8"/>
        <v>1</v>
      </c>
      <c r="D70" s="269"/>
      <c r="E70" s="269"/>
      <c r="F70" s="325"/>
      <c r="G70" s="269"/>
      <c r="H70" s="326"/>
      <c r="I70" s="269"/>
      <c r="J70" s="327"/>
      <c r="K70" s="269"/>
      <c r="L70" s="326"/>
      <c r="M70" s="412"/>
      <c r="N70" s="325"/>
      <c r="O70" s="269"/>
      <c r="P70" s="326"/>
      <c r="Q70" s="269"/>
      <c r="R70" s="269"/>
    </row>
    <row r="72" spans="2:18" s="1" customFormat="1" ht="16.5" customHeight="1">
      <c r="B72" s="268"/>
      <c r="C72" s="268"/>
      <c r="D72" s="269"/>
      <c r="E72" s="270" t="s">
        <v>118</v>
      </c>
      <c r="F72" s="270"/>
      <c r="G72" s="270"/>
      <c r="H72" s="270"/>
      <c r="I72" s="270"/>
      <c r="J72" s="270"/>
      <c r="K72" s="270"/>
      <c r="L72" s="270"/>
      <c r="M72" s="270"/>
      <c r="N72" s="270"/>
      <c r="O72" s="270"/>
      <c r="P72" s="270"/>
      <c r="Q72" s="270"/>
      <c r="R72" s="270"/>
    </row>
    <row r="73" spans="2:18" s="1" customFormat="1" ht="16.5" customHeight="1">
      <c r="B73" s="271" t="s">
        <v>1055</v>
      </c>
      <c r="C73" s="272" t="s">
        <v>1056</v>
      </c>
      <c r="D73" s="269"/>
      <c r="E73" s="273" t="s">
        <v>1792</v>
      </c>
      <c r="F73" s="273"/>
      <c r="G73" s="273"/>
      <c r="H73" s="273"/>
      <c r="I73" s="273"/>
      <c r="J73" s="273"/>
      <c r="K73" s="273"/>
      <c r="L73" s="273"/>
      <c r="M73" s="273"/>
      <c r="N73" s="273"/>
      <c r="O73" s="273"/>
      <c r="P73" s="273"/>
      <c r="Q73" s="273"/>
      <c r="R73" s="273"/>
    </row>
    <row r="74" spans="2:18" s="1" customFormat="1" ht="16.5" customHeight="1">
      <c r="B74" s="274" t="s">
        <v>115</v>
      </c>
      <c r="C74" s="275" t="s">
        <v>289</v>
      </c>
      <c r="D74" s="269"/>
      <c r="E74" s="270" t="s">
        <v>119</v>
      </c>
      <c r="F74" s="270"/>
      <c r="G74" s="270"/>
      <c r="H74" s="270"/>
      <c r="I74" s="270"/>
      <c r="J74" s="270"/>
      <c r="K74" s="270"/>
      <c r="L74" s="270"/>
      <c r="M74" s="270"/>
      <c r="N74" s="270"/>
      <c r="O74" s="270"/>
      <c r="P74" s="270"/>
      <c r="Q74" s="270"/>
      <c r="R74" s="270"/>
    </row>
    <row r="75" spans="2:18" s="1" customFormat="1" ht="16.5" customHeight="1" thickBot="1">
      <c r="B75" s="274" t="s">
        <v>112</v>
      </c>
      <c r="C75" s="276">
        <v>93175</v>
      </c>
      <c r="D75" s="268"/>
      <c r="E75" s="330" t="s">
        <v>1058</v>
      </c>
      <c r="F75" s="330"/>
      <c r="G75" s="330"/>
      <c r="H75" s="330"/>
      <c r="I75" s="330"/>
      <c r="J75" s="330"/>
      <c r="K75" s="330"/>
      <c r="L75" s="330"/>
      <c r="M75" s="330"/>
      <c r="N75" s="330"/>
      <c r="O75" s="330"/>
      <c r="P75" s="330"/>
      <c r="Q75" s="330"/>
      <c r="R75" s="330"/>
    </row>
    <row r="76" spans="2:18" s="1" customFormat="1" ht="16.5" customHeight="1">
      <c r="B76" s="274" t="s">
        <v>110</v>
      </c>
      <c r="C76" s="277"/>
      <c r="D76" s="260"/>
      <c r="E76" s="278" t="s">
        <v>109</v>
      </c>
      <c r="F76" s="279" t="s">
        <v>108</v>
      </c>
      <c r="G76" s="280"/>
      <c r="H76" s="279" t="s">
        <v>107</v>
      </c>
      <c r="I76" s="280"/>
      <c r="J76" s="279" t="s">
        <v>106</v>
      </c>
      <c r="K76" s="280"/>
      <c r="L76" s="279" t="s">
        <v>105</v>
      </c>
      <c r="M76" s="280"/>
      <c r="N76" s="279" t="s">
        <v>96</v>
      </c>
      <c r="O76" s="280"/>
      <c r="P76" s="279" t="s">
        <v>104</v>
      </c>
      <c r="Q76" s="280"/>
      <c r="R76" s="281" t="s">
        <v>103</v>
      </c>
    </row>
    <row r="77" spans="2:18" s="1" customFormat="1" ht="16.5" customHeight="1">
      <c r="B77" s="274" t="s">
        <v>102</v>
      </c>
      <c r="C77" s="283">
        <v>283</v>
      </c>
      <c r="D77" s="260"/>
      <c r="E77" s="289"/>
      <c r="F77" s="285" t="s">
        <v>101</v>
      </c>
      <c r="G77" s="331" t="s">
        <v>100</v>
      </c>
      <c r="H77" s="285" t="s">
        <v>101</v>
      </c>
      <c r="I77" s="331" t="s">
        <v>100</v>
      </c>
      <c r="J77" s="285" t="s">
        <v>101</v>
      </c>
      <c r="K77" s="331" t="s">
        <v>100</v>
      </c>
      <c r="L77" s="285" t="s">
        <v>101</v>
      </c>
      <c r="M77" s="331" t="s">
        <v>100</v>
      </c>
      <c r="N77" s="285" t="s">
        <v>101</v>
      </c>
      <c r="O77" s="331" t="s">
        <v>100</v>
      </c>
      <c r="P77" s="287" t="s">
        <v>101</v>
      </c>
      <c r="Q77" s="331" t="s">
        <v>100</v>
      </c>
      <c r="R77" s="289"/>
    </row>
    <row r="78" spans="2:18" s="1" customFormat="1" ht="16.5" customHeight="1">
      <c r="B78" s="274" t="s">
        <v>107</v>
      </c>
      <c r="C78" s="288">
        <v>6867</v>
      </c>
      <c r="D78" s="260"/>
      <c r="E78" s="289" t="s">
        <v>87</v>
      </c>
      <c r="F78" s="290">
        <v>7</v>
      </c>
      <c r="G78" s="291">
        <f t="shared" ref="G78:G89" si="9">SUM($B$6*F78)*C90</f>
        <v>0</v>
      </c>
      <c r="H78" s="292"/>
      <c r="I78" s="291">
        <f t="shared" ref="I78:I89" si="10">IF(H78&gt;0,($B$7*C90),0)</f>
        <v>0</v>
      </c>
      <c r="J78" s="293"/>
      <c r="K78" s="291">
        <f t="shared" ref="K78:K89" si="11">IF(J78&gt;0,($B$8*C90),0)</f>
        <v>0</v>
      </c>
      <c r="L78" s="292">
        <v>2</v>
      </c>
      <c r="M78" s="406">
        <f t="shared" ref="M78:M89" si="12">IF(L78&gt;0,($B$9*L78),0)</f>
        <v>0</v>
      </c>
      <c r="N78" s="290">
        <v>1</v>
      </c>
      <c r="O78" s="291">
        <f t="shared" ref="O78:O89" si="13">IF(N78&gt;0,($B$10*N78),0)</f>
        <v>0</v>
      </c>
      <c r="P78" s="295"/>
      <c r="Q78" s="291">
        <f t="shared" ref="Q78:Q89" si="14">SUM(P78*$B$17)*C90</f>
        <v>0</v>
      </c>
      <c r="R78" s="296">
        <f t="shared" ref="R78:R89" si="15">SUM(Q78+O78+M78+K78+I78+G78)</f>
        <v>0</v>
      </c>
    </row>
    <row r="79" spans="2:18" s="1" customFormat="1" ht="16.5" customHeight="1">
      <c r="B79" s="274" t="s">
        <v>121</v>
      </c>
      <c r="C79" s="288">
        <v>5460</v>
      </c>
      <c r="D79" s="260"/>
      <c r="E79" s="289" t="s">
        <v>86</v>
      </c>
      <c r="F79" s="290">
        <v>8</v>
      </c>
      <c r="G79" s="291">
        <f t="shared" si="9"/>
        <v>0</v>
      </c>
      <c r="H79" s="292"/>
      <c r="I79" s="291">
        <f t="shared" si="10"/>
        <v>0</v>
      </c>
      <c r="J79" s="293"/>
      <c r="K79" s="291">
        <f t="shared" si="11"/>
        <v>0</v>
      </c>
      <c r="L79" s="469">
        <v>3</v>
      </c>
      <c r="M79" s="406">
        <f t="shared" si="12"/>
        <v>0</v>
      </c>
      <c r="N79" s="294">
        <v>1.75</v>
      </c>
      <c r="O79" s="291">
        <f t="shared" si="13"/>
        <v>0</v>
      </c>
      <c r="P79" s="295"/>
      <c r="Q79" s="291">
        <f t="shared" si="14"/>
        <v>0</v>
      </c>
      <c r="R79" s="296">
        <f t="shared" si="15"/>
        <v>0</v>
      </c>
    </row>
    <row r="80" spans="2:18" s="1" customFormat="1" ht="16.5" customHeight="1">
      <c r="B80" s="407" t="s">
        <v>122</v>
      </c>
      <c r="C80" s="288">
        <v>324</v>
      </c>
      <c r="D80" s="260"/>
      <c r="E80" s="289" t="s">
        <v>84</v>
      </c>
      <c r="F80" s="290">
        <v>9</v>
      </c>
      <c r="G80" s="291">
        <f t="shared" si="9"/>
        <v>0</v>
      </c>
      <c r="H80" s="292"/>
      <c r="I80" s="291">
        <f t="shared" si="10"/>
        <v>0</v>
      </c>
      <c r="J80" s="293"/>
      <c r="K80" s="291">
        <f t="shared" si="11"/>
        <v>0</v>
      </c>
      <c r="L80" s="292">
        <v>3.5</v>
      </c>
      <c r="M80" s="406">
        <f t="shared" si="12"/>
        <v>0</v>
      </c>
      <c r="N80" s="294">
        <v>2</v>
      </c>
      <c r="O80" s="291">
        <f t="shared" si="13"/>
        <v>0</v>
      </c>
      <c r="P80" s="295"/>
      <c r="Q80" s="291">
        <f t="shared" si="14"/>
        <v>0</v>
      </c>
      <c r="R80" s="296">
        <f t="shared" si="15"/>
        <v>0</v>
      </c>
    </row>
    <row r="81" spans="2:18" s="1" customFormat="1" ht="16.5" customHeight="1">
      <c r="B81" s="408" t="s">
        <v>123</v>
      </c>
      <c r="C81" s="288">
        <v>1050</v>
      </c>
      <c r="D81" s="260"/>
      <c r="E81" s="289" t="s">
        <v>83</v>
      </c>
      <c r="F81" s="290">
        <v>9</v>
      </c>
      <c r="G81" s="291">
        <f t="shared" si="9"/>
        <v>0</v>
      </c>
      <c r="H81" s="292"/>
      <c r="I81" s="291">
        <f t="shared" si="10"/>
        <v>0</v>
      </c>
      <c r="J81" s="293">
        <v>1</v>
      </c>
      <c r="K81" s="291">
        <f t="shared" si="11"/>
        <v>0</v>
      </c>
      <c r="L81" s="292">
        <v>3.5</v>
      </c>
      <c r="M81" s="406">
        <f t="shared" si="12"/>
        <v>0</v>
      </c>
      <c r="N81" s="294">
        <v>2</v>
      </c>
      <c r="O81" s="291">
        <f t="shared" si="13"/>
        <v>0</v>
      </c>
      <c r="P81" s="295">
        <v>3</v>
      </c>
      <c r="Q81" s="291">
        <f t="shared" si="14"/>
        <v>0</v>
      </c>
      <c r="R81" s="296">
        <f t="shared" si="15"/>
        <v>0</v>
      </c>
    </row>
    <row r="82" spans="2:18" s="1" customFormat="1" ht="16.5" customHeight="1">
      <c r="B82" s="274" t="s">
        <v>95</v>
      </c>
      <c r="C82" s="141">
        <v>35000</v>
      </c>
      <c r="D82" s="260"/>
      <c r="E82" s="289" t="s">
        <v>82</v>
      </c>
      <c r="F82" s="290">
        <v>5</v>
      </c>
      <c r="G82" s="291">
        <f t="shared" si="9"/>
        <v>0</v>
      </c>
      <c r="H82" s="292"/>
      <c r="I82" s="291">
        <f t="shared" si="10"/>
        <v>0</v>
      </c>
      <c r="J82" s="293"/>
      <c r="K82" s="291">
        <f t="shared" si="11"/>
        <v>0</v>
      </c>
      <c r="L82" s="292">
        <v>0.5</v>
      </c>
      <c r="M82" s="406">
        <f t="shared" si="12"/>
        <v>0</v>
      </c>
      <c r="N82" s="294">
        <v>0.33</v>
      </c>
      <c r="O82" s="291">
        <f t="shared" si="13"/>
        <v>0</v>
      </c>
      <c r="P82" s="295"/>
      <c r="Q82" s="291">
        <f t="shared" si="14"/>
        <v>0</v>
      </c>
      <c r="R82" s="296">
        <f t="shared" si="15"/>
        <v>0</v>
      </c>
    </row>
    <row r="83" spans="2:18" s="1" customFormat="1" ht="16.5" customHeight="1">
      <c r="B83" s="274" t="s">
        <v>94</v>
      </c>
      <c r="C83" s="141">
        <v>5000</v>
      </c>
      <c r="D83" s="260"/>
      <c r="E83" s="289" t="s">
        <v>80</v>
      </c>
      <c r="F83" s="290"/>
      <c r="G83" s="291">
        <f t="shared" si="9"/>
        <v>0</v>
      </c>
      <c r="H83" s="292"/>
      <c r="I83" s="291">
        <f t="shared" si="10"/>
        <v>0</v>
      </c>
      <c r="J83" s="293"/>
      <c r="K83" s="291">
        <f t="shared" si="11"/>
        <v>0</v>
      </c>
      <c r="L83" s="292"/>
      <c r="M83" s="406">
        <f t="shared" si="12"/>
        <v>0</v>
      </c>
      <c r="N83" s="294"/>
      <c r="O83" s="291">
        <f t="shared" si="13"/>
        <v>0</v>
      </c>
      <c r="P83" s="295"/>
      <c r="Q83" s="291">
        <f t="shared" si="14"/>
        <v>0</v>
      </c>
      <c r="R83" s="296">
        <f t="shared" si="15"/>
        <v>0</v>
      </c>
    </row>
    <row r="84" spans="2:18" s="1" customFormat="1" ht="16.5" customHeight="1">
      <c r="B84" s="274" t="s">
        <v>93</v>
      </c>
      <c r="C84" s="141">
        <v>175000</v>
      </c>
      <c r="D84" s="260"/>
      <c r="E84" s="289" t="s">
        <v>79</v>
      </c>
      <c r="F84" s="290"/>
      <c r="G84" s="291">
        <f t="shared" si="9"/>
        <v>0</v>
      </c>
      <c r="H84" s="292"/>
      <c r="I84" s="291">
        <f t="shared" si="10"/>
        <v>0</v>
      </c>
      <c r="J84" s="293"/>
      <c r="K84" s="291">
        <f t="shared" si="11"/>
        <v>0</v>
      </c>
      <c r="L84" s="292"/>
      <c r="M84" s="406">
        <f t="shared" si="12"/>
        <v>0</v>
      </c>
      <c r="N84" s="294"/>
      <c r="O84" s="291">
        <f t="shared" si="13"/>
        <v>0</v>
      </c>
      <c r="P84" s="295"/>
      <c r="Q84" s="291">
        <f t="shared" si="14"/>
        <v>0</v>
      </c>
      <c r="R84" s="296">
        <f t="shared" si="15"/>
        <v>0</v>
      </c>
    </row>
    <row r="85" spans="2:18" s="1" customFormat="1" ht="16.5" customHeight="1">
      <c r="B85" s="274" t="s">
        <v>92</v>
      </c>
      <c r="C85" s="141">
        <v>175000</v>
      </c>
      <c r="D85" s="260"/>
      <c r="E85" s="289" t="s">
        <v>78</v>
      </c>
      <c r="F85" s="290"/>
      <c r="G85" s="291">
        <f t="shared" si="9"/>
        <v>0</v>
      </c>
      <c r="H85" s="292"/>
      <c r="I85" s="291">
        <f t="shared" si="10"/>
        <v>0</v>
      </c>
      <c r="J85" s="293"/>
      <c r="K85" s="291">
        <f t="shared" si="11"/>
        <v>0</v>
      </c>
      <c r="L85" s="292"/>
      <c r="M85" s="406">
        <f t="shared" si="12"/>
        <v>0</v>
      </c>
      <c r="N85" s="294"/>
      <c r="O85" s="291">
        <f t="shared" si="13"/>
        <v>0</v>
      </c>
      <c r="P85" s="295"/>
      <c r="Q85" s="291">
        <f t="shared" si="14"/>
        <v>0</v>
      </c>
      <c r="R85" s="296">
        <f t="shared" si="15"/>
        <v>0</v>
      </c>
    </row>
    <row r="86" spans="2:18" s="1" customFormat="1" ht="16.5" customHeight="1">
      <c r="B86" s="274" t="s">
        <v>91</v>
      </c>
      <c r="C86" s="141">
        <v>12000</v>
      </c>
      <c r="D86" s="260"/>
      <c r="E86" s="289" t="s">
        <v>77</v>
      </c>
      <c r="F86" s="290"/>
      <c r="G86" s="291">
        <f t="shared" si="9"/>
        <v>0</v>
      </c>
      <c r="H86" s="292"/>
      <c r="I86" s="291">
        <f t="shared" si="10"/>
        <v>0</v>
      </c>
      <c r="J86" s="293"/>
      <c r="K86" s="291">
        <f t="shared" si="11"/>
        <v>0</v>
      </c>
      <c r="L86" s="292"/>
      <c r="M86" s="406">
        <f t="shared" si="12"/>
        <v>0</v>
      </c>
      <c r="N86" s="294"/>
      <c r="O86" s="291">
        <f t="shared" si="13"/>
        <v>0</v>
      </c>
      <c r="P86" s="295"/>
      <c r="Q86" s="291">
        <f t="shared" si="14"/>
        <v>0</v>
      </c>
      <c r="R86" s="296">
        <f t="shared" si="15"/>
        <v>0</v>
      </c>
    </row>
    <row r="87" spans="2:18" s="1" customFormat="1" ht="16.5" customHeight="1">
      <c r="B87" s="274" t="s">
        <v>90</v>
      </c>
      <c r="C87" s="141">
        <v>25000</v>
      </c>
      <c r="D87" s="260"/>
      <c r="E87" s="289" t="s">
        <v>76</v>
      </c>
      <c r="F87" s="290"/>
      <c r="G87" s="291">
        <f t="shared" si="9"/>
        <v>0</v>
      </c>
      <c r="H87" s="292"/>
      <c r="I87" s="291">
        <f t="shared" si="10"/>
        <v>0</v>
      </c>
      <c r="J87" s="293"/>
      <c r="K87" s="291">
        <f t="shared" si="11"/>
        <v>0</v>
      </c>
      <c r="L87" s="292"/>
      <c r="M87" s="406">
        <f t="shared" si="12"/>
        <v>0</v>
      </c>
      <c r="N87" s="294"/>
      <c r="O87" s="291">
        <f t="shared" si="13"/>
        <v>0</v>
      </c>
      <c r="P87" s="295"/>
      <c r="Q87" s="291">
        <f t="shared" si="14"/>
        <v>0</v>
      </c>
      <c r="R87" s="296">
        <f t="shared" si="15"/>
        <v>0</v>
      </c>
    </row>
    <row r="88" spans="2:18" s="1" customFormat="1" ht="16.5" customHeight="1">
      <c r="B88" s="297" t="s">
        <v>89</v>
      </c>
      <c r="C88" s="298">
        <v>92</v>
      </c>
      <c r="D88" s="260"/>
      <c r="E88" s="289" t="s">
        <v>75</v>
      </c>
      <c r="F88" s="290"/>
      <c r="G88" s="291">
        <f t="shared" si="9"/>
        <v>0</v>
      </c>
      <c r="H88" s="292"/>
      <c r="I88" s="291">
        <f t="shared" si="10"/>
        <v>0</v>
      </c>
      <c r="J88" s="293"/>
      <c r="K88" s="291">
        <f t="shared" si="11"/>
        <v>0</v>
      </c>
      <c r="L88" s="292"/>
      <c r="M88" s="406">
        <f t="shared" si="12"/>
        <v>0</v>
      </c>
      <c r="N88" s="294"/>
      <c r="O88" s="291">
        <f t="shared" si="13"/>
        <v>0</v>
      </c>
      <c r="P88" s="295"/>
      <c r="Q88" s="291">
        <f t="shared" si="14"/>
        <v>0</v>
      </c>
      <c r="R88" s="296">
        <f t="shared" si="15"/>
        <v>0</v>
      </c>
    </row>
    <row r="89" spans="2:18" s="1" customFormat="1" ht="16.5" customHeight="1">
      <c r="B89" s="299" t="s">
        <v>88</v>
      </c>
      <c r="C89" s="300"/>
      <c r="D89" s="260"/>
      <c r="E89" s="289" t="s">
        <v>74</v>
      </c>
      <c r="F89" s="290"/>
      <c r="G89" s="291">
        <f t="shared" si="9"/>
        <v>0</v>
      </c>
      <c r="H89" s="292"/>
      <c r="I89" s="291">
        <f t="shared" si="10"/>
        <v>0</v>
      </c>
      <c r="J89" s="293"/>
      <c r="K89" s="291">
        <f t="shared" si="11"/>
        <v>0</v>
      </c>
      <c r="L89" s="292"/>
      <c r="M89" s="406">
        <f t="shared" si="12"/>
        <v>0</v>
      </c>
      <c r="N89" s="294"/>
      <c r="O89" s="291">
        <f t="shared" si="13"/>
        <v>0</v>
      </c>
      <c r="P89" s="295"/>
      <c r="Q89" s="291">
        <f t="shared" si="14"/>
        <v>0</v>
      </c>
      <c r="R89" s="296">
        <f t="shared" si="15"/>
        <v>0</v>
      </c>
    </row>
    <row r="90" spans="2:18" s="1" customFormat="1" ht="16.5" customHeight="1">
      <c r="B90" s="421" t="s">
        <v>87</v>
      </c>
      <c r="C90" s="422">
        <v>1</v>
      </c>
      <c r="D90" s="260"/>
      <c r="E90" s="303"/>
      <c r="F90" s="304"/>
      <c r="G90" s="305"/>
      <c r="H90" s="306"/>
      <c r="I90" s="307"/>
      <c r="J90" s="308"/>
      <c r="K90" s="307"/>
      <c r="L90" s="306"/>
      <c r="M90" s="307"/>
      <c r="N90" s="304"/>
      <c r="O90" s="307"/>
      <c r="P90" s="306"/>
      <c r="Q90" s="307"/>
      <c r="R90" s="309"/>
    </row>
    <row r="91" spans="2:18" s="1" customFormat="1" ht="16.5" customHeight="1" thickBot="1">
      <c r="B91" s="421" t="s">
        <v>86</v>
      </c>
      <c r="C91" s="421">
        <f t="shared" ref="C91:C101" si="16">SUM(C90+(C90*$B$5))</f>
        <v>1</v>
      </c>
      <c r="D91" s="260"/>
      <c r="E91" s="310" t="s">
        <v>85</v>
      </c>
      <c r="F91" s="311"/>
      <c r="G91" s="312">
        <f>SUM(G78:G89)</f>
        <v>0</v>
      </c>
      <c r="H91" s="313"/>
      <c r="I91" s="312">
        <f>SUM(I78:I89)</f>
        <v>0</v>
      </c>
      <c r="J91" s="314"/>
      <c r="K91" s="312">
        <f>SUM(K78:K89)</f>
        <v>0</v>
      </c>
      <c r="L91" s="313"/>
      <c r="M91" s="312">
        <f>SUM(M78:M89)</f>
        <v>0</v>
      </c>
      <c r="N91" s="315"/>
      <c r="O91" s="312">
        <f>SUM(O78:O89)</f>
        <v>0</v>
      </c>
      <c r="P91" s="313"/>
      <c r="Q91" s="312">
        <f>SUM(Q78:Q89)</f>
        <v>0</v>
      </c>
      <c r="R91" s="316">
        <f>SUM(R78:R89)</f>
        <v>0</v>
      </c>
    </row>
    <row r="92" spans="2:18" s="1" customFormat="1" ht="16.5" customHeight="1" thickTop="1" thickBot="1">
      <c r="B92" s="421" t="s">
        <v>84</v>
      </c>
      <c r="C92" s="421">
        <f t="shared" si="16"/>
        <v>1</v>
      </c>
      <c r="D92" s="269"/>
      <c r="E92" s="317"/>
      <c r="F92" s="318"/>
      <c r="G92" s="319"/>
      <c r="H92" s="320"/>
      <c r="I92" s="319"/>
      <c r="J92" s="321"/>
      <c r="K92" s="319"/>
      <c r="L92" s="320"/>
      <c r="M92" s="319"/>
      <c r="N92" s="318"/>
      <c r="O92" s="319"/>
      <c r="P92" s="320"/>
      <c r="Q92" s="319"/>
      <c r="R92" s="323"/>
    </row>
    <row r="93" spans="2:18" s="1" customFormat="1" ht="16.5" customHeight="1">
      <c r="B93" s="421" t="s">
        <v>83</v>
      </c>
      <c r="C93" s="423">
        <f t="shared" si="16"/>
        <v>1</v>
      </c>
      <c r="D93" s="269"/>
      <c r="E93" s="269"/>
      <c r="F93" s="335"/>
      <c r="G93" s="269"/>
      <c r="H93" s="326"/>
      <c r="I93" s="269"/>
      <c r="J93" s="326"/>
      <c r="K93" s="269"/>
      <c r="L93" s="326"/>
      <c r="M93" s="269"/>
      <c r="N93" s="326"/>
      <c r="O93" s="269"/>
      <c r="P93" s="326"/>
      <c r="Q93" s="269"/>
      <c r="R93" s="269"/>
    </row>
    <row r="94" spans="2:18" s="1" customFormat="1" ht="16.5" customHeight="1">
      <c r="B94" s="421" t="s">
        <v>82</v>
      </c>
      <c r="C94" s="423">
        <f t="shared" si="16"/>
        <v>1</v>
      </c>
      <c r="D94" s="269"/>
      <c r="E94" s="269" t="s">
        <v>124</v>
      </c>
      <c r="F94" s="335"/>
      <c r="G94" s="269"/>
      <c r="H94" s="326"/>
      <c r="I94" s="269"/>
      <c r="J94" s="326"/>
      <c r="K94" s="269"/>
      <c r="L94" s="326"/>
      <c r="M94" s="269"/>
      <c r="N94" s="326"/>
      <c r="O94" s="269"/>
      <c r="P94" s="326"/>
      <c r="Q94" s="269"/>
      <c r="R94" s="269"/>
    </row>
    <row r="95" spans="2:18" s="1" customFormat="1" ht="16.5" customHeight="1">
      <c r="B95" s="421" t="s">
        <v>80</v>
      </c>
      <c r="C95" s="423">
        <f t="shared" si="16"/>
        <v>1</v>
      </c>
      <c r="D95" s="269"/>
      <c r="E95" s="269"/>
      <c r="F95" s="335"/>
      <c r="G95" s="269"/>
      <c r="H95" s="326"/>
      <c r="I95" s="269"/>
      <c r="J95" s="326"/>
      <c r="K95" s="269"/>
      <c r="L95" s="326"/>
      <c r="M95" s="269"/>
      <c r="N95" s="326"/>
      <c r="O95" s="269"/>
      <c r="P95" s="326"/>
      <c r="Q95" s="269"/>
      <c r="R95" s="269"/>
    </row>
    <row r="96" spans="2:18" s="1" customFormat="1" ht="16.5" customHeight="1">
      <c r="B96" s="421" t="s">
        <v>79</v>
      </c>
      <c r="C96" s="423">
        <f t="shared" si="16"/>
        <v>1</v>
      </c>
      <c r="D96" s="269"/>
      <c r="E96" s="413" t="s">
        <v>291</v>
      </c>
      <c r="F96" s="414"/>
      <c r="G96" s="415"/>
      <c r="H96" s="416"/>
      <c r="I96" s="413"/>
      <c r="J96" s="417"/>
      <c r="K96" s="413"/>
      <c r="L96" s="417"/>
      <c r="M96" s="413"/>
      <c r="N96" s="417"/>
      <c r="O96" s="413"/>
      <c r="P96" s="326"/>
      <c r="Q96" s="269"/>
      <c r="R96" s="269"/>
    </row>
    <row r="97" spans="2:18" s="1" customFormat="1" ht="16.5" customHeight="1">
      <c r="B97" s="421" t="s">
        <v>78</v>
      </c>
      <c r="C97" s="423">
        <f t="shared" si="16"/>
        <v>1</v>
      </c>
      <c r="D97" s="269"/>
      <c r="E97" s="418" t="s">
        <v>292</v>
      </c>
      <c r="F97" s="419"/>
      <c r="G97" s="418"/>
      <c r="H97" s="420"/>
      <c r="I97" s="269"/>
      <c r="J97" s="326"/>
      <c r="K97" s="269"/>
      <c r="L97" s="326"/>
      <c r="M97" s="269"/>
      <c r="N97" s="326"/>
      <c r="O97" s="269"/>
      <c r="P97" s="326"/>
      <c r="Q97" s="269"/>
      <c r="R97" s="269"/>
    </row>
    <row r="98" spans="2:18" s="1" customFormat="1" ht="16.5" customHeight="1">
      <c r="B98" s="421" t="s">
        <v>77</v>
      </c>
      <c r="C98" s="423">
        <f t="shared" si="16"/>
        <v>1</v>
      </c>
      <c r="D98" s="269"/>
      <c r="E98" s="477" t="s">
        <v>1059</v>
      </c>
      <c r="F98" s="335"/>
      <c r="G98" s="269"/>
      <c r="H98" s="326"/>
      <c r="I98" s="269"/>
      <c r="J98" s="326"/>
      <c r="K98" s="269"/>
      <c r="L98" s="326"/>
      <c r="M98" s="269"/>
      <c r="N98" s="326"/>
      <c r="O98" s="269"/>
      <c r="P98" s="326"/>
      <c r="Q98" s="269"/>
      <c r="R98" s="269"/>
    </row>
    <row r="99" spans="2:18" s="1" customFormat="1" ht="16.5" customHeight="1">
      <c r="B99" s="421" t="s">
        <v>76</v>
      </c>
      <c r="C99" s="423">
        <f t="shared" si="16"/>
        <v>1</v>
      </c>
      <c r="D99" s="269"/>
      <c r="E99" s="477" t="s">
        <v>1060</v>
      </c>
      <c r="F99" s="335"/>
      <c r="G99" s="269"/>
      <c r="H99" s="326"/>
      <c r="I99" s="269"/>
      <c r="J99" s="326"/>
      <c r="K99" s="269"/>
      <c r="L99" s="326"/>
      <c r="M99" s="269"/>
      <c r="N99" s="326"/>
      <c r="O99" s="269"/>
      <c r="P99" s="326"/>
      <c r="Q99" s="269"/>
      <c r="R99" s="269"/>
    </row>
    <row r="100" spans="2:18" s="1" customFormat="1" ht="16.5" customHeight="1">
      <c r="B100" s="421" t="s">
        <v>75</v>
      </c>
      <c r="C100" s="423">
        <f t="shared" si="16"/>
        <v>1</v>
      </c>
      <c r="D100" s="269"/>
      <c r="E100" s="424" t="s">
        <v>1061</v>
      </c>
      <c r="F100" s="425"/>
      <c r="G100" s="424"/>
      <c r="H100" s="426"/>
      <c r="I100" s="269"/>
      <c r="J100" s="326"/>
      <c r="K100" s="269"/>
      <c r="L100" s="326"/>
      <c r="M100" s="269"/>
      <c r="N100" s="326"/>
      <c r="O100" s="269"/>
      <c r="P100" s="326"/>
      <c r="Q100" s="269"/>
      <c r="R100" s="269"/>
    </row>
    <row r="101" spans="2:18" s="1" customFormat="1" ht="16.5" customHeight="1">
      <c r="B101" s="421" t="s">
        <v>74</v>
      </c>
      <c r="C101" s="423">
        <f t="shared" si="16"/>
        <v>1</v>
      </c>
      <c r="D101" s="269"/>
      <c r="E101" s="269"/>
      <c r="F101" s="335"/>
      <c r="G101" s="269"/>
      <c r="H101" s="326"/>
      <c r="I101" s="269"/>
      <c r="J101" s="326"/>
      <c r="K101" s="269"/>
      <c r="L101" s="326"/>
      <c r="M101" s="269"/>
      <c r="N101" s="326"/>
      <c r="O101" s="269"/>
      <c r="P101" s="326"/>
      <c r="Q101" s="269"/>
      <c r="R101" s="269"/>
    </row>
  </sheetData>
  <mergeCells count="20">
    <mergeCell ref="E72:R72"/>
    <mergeCell ref="E73:R73"/>
    <mergeCell ref="E74:R74"/>
    <mergeCell ref="E75:R75"/>
    <mergeCell ref="F76:G76"/>
    <mergeCell ref="H76:I76"/>
    <mergeCell ref="J76:K76"/>
    <mergeCell ref="L76:M76"/>
    <mergeCell ref="N76:O76"/>
    <mergeCell ref="P76:Q76"/>
    <mergeCell ref="E41:R41"/>
    <mergeCell ref="E42:R42"/>
    <mergeCell ref="E43:R43"/>
    <mergeCell ref="E44:R44"/>
    <mergeCell ref="F45:G45"/>
    <mergeCell ref="H45:I45"/>
    <mergeCell ref="J45:K45"/>
    <mergeCell ref="L45:M45"/>
    <mergeCell ref="N45:O45"/>
    <mergeCell ref="P45:Q45"/>
  </mergeCells>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308 summary'!C39:N39</xm:f>
              <xm:sqref>P39</xm:sqref>
            </x14:sparkline>
          </x14:sparklines>
        </x14:sparklineGroup>
        <x14:sparklineGroup displayEmptyCellsAs="gap" markers="1" last="1">
          <x14:colorSeries rgb="FF323232"/>
          <x14:colorNegative rgb="FFD00000"/>
          <x14:colorAxis rgb="FF000000"/>
          <x14:colorMarkers rgb="FFD00000"/>
          <x14:colorFirst rgb="FFD00000"/>
          <x14:colorLast rgb="FFD00000"/>
          <x14:colorHigh rgb="FFD00000"/>
          <x14:colorLow rgb="FFD00000"/>
          <x14:sparklines>
            <x14:sparkline>
              <xm:f>'Bus 308 summary'!C19:N19</xm:f>
              <xm:sqref>P19</xm:sqref>
            </x14:sparkline>
            <x14:sparkline>
              <xm:f>'Bus 308 summary'!C20:N20</xm:f>
              <xm:sqref>P20</xm:sqref>
            </x14:sparkline>
            <x14:sparkline>
              <xm:f>'Bus 308 summary'!C21:N21</xm:f>
              <xm:sqref>P21</xm:sqref>
            </x14:sparkline>
            <x14:sparkline>
              <xm:f>'Bus 308 summary'!C22:N22</xm:f>
              <xm:sqref>P22</xm:sqref>
            </x14:sparkline>
            <x14:sparkline>
              <xm:f>'Bus 308 summary'!C23:N23</xm:f>
              <xm:sqref>P23</xm:sqref>
            </x14:sparkline>
            <x14:sparkline>
              <xm:f>'Bus 308 summary'!C24:N24</xm:f>
              <xm:sqref>P24</xm:sqref>
            </x14:sparkline>
            <x14:sparkline>
              <xm:f>'Bus 308 summary'!C25:N25</xm:f>
              <xm:sqref>P25</xm:sqref>
            </x14:sparkline>
            <x14:sparkline>
              <xm:f>'Bus 308 summary'!C26:N26</xm:f>
              <xm:sqref>P26</xm:sqref>
            </x14:sparkline>
            <x14:sparkline>
              <xm:f>'Bus 308 summary'!C27:N27</xm:f>
              <xm:sqref>P27</xm:sqref>
            </x14:sparkline>
            <x14:sparkline>
              <xm:f>'Bus 308 summary'!C28:N28</xm:f>
              <xm:sqref>P28</xm:sqref>
            </x14:sparkline>
            <x14:sparkline>
              <xm:f>'Bus 308 summary'!C29:N29</xm:f>
              <xm:sqref>P29</xm:sqref>
            </x14:sparkline>
            <x14:sparkline>
              <xm:f>'Bus 308 summary'!C30:N30</xm:f>
              <xm:sqref>P30</xm:sqref>
            </x14:sparkline>
            <x14:sparkline>
              <xm:f>'Bus 308 summary'!C31:N31</xm:f>
              <xm:sqref>P31</xm:sqref>
            </x14:sparkline>
            <x14:sparkline>
              <xm:f>'Bus 308 summary'!C32:N32</xm:f>
              <xm:sqref>P32</xm:sqref>
            </x14:sparkline>
            <x14:sparkline>
              <xm:f>'Bus 308 summary'!C33:N33</xm:f>
              <xm:sqref>P33</xm:sqref>
            </x14:sparkline>
            <x14:sparkline>
              <xm:f>'Bus 308 summary'!C34:N34</xm:f>
              <xm:sqref>P34</xm:sqref>
            </x14:sparkline>
            <x14:sparkline>
              <xm:f>'Bus 308 summary'!C35:N35</xm:f>
              <xm:sqref>P35</xm:sqref>
            </x14:sparkline>
            <x14:sparkline>
              <xm:f>'Bus 308 summary'!C36:N36</xm:f>
              <xm:sqref>P36</xm:sqref>
            </x14:sparkline>
            <x14:sparkline>
              <xm:f>'Bus 308 summary'!C37:N37</xm:f>
              <xm:sqref>P37</xm:sqref>
            </x14:sparkline>
            <x14:sparkline>
              <xm:f>'Bus 308 summary'!C38:N38</xm:f>
              <xm:sqref>P38</xm:sqref>
            </x14:sparkline>
          </x14:sparklines>
        </x14:sparklineGroup>
      </x14:sparklineGroup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180"/>
  <sheetViews>
    <sheetView showGridLines="0" topLeftCell="A26" zoomScale="115" zoomScaleNormal="115" workbookViewId="0">
      <selection activeCell="F39" sqref="A1:XFD1048576"/>
    </sheetView>
  </sheetViews>
  <sheetFormatPr defaultColWidth="9.140625" defaultRowHeight="16.5" customHeight="1"/>
  <cols>
    <col min="1" max="1" width="3.140625" style="1" customWidth="1"/>
    <col min="2" max="4" width="12.28515625" style="1" customWidth="1"/>
    <col min="5" max="5" width="15.7109375" style="1" customWidth="1"/>
    <col min="6" max="6" width="41.42578125"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660</v>
      </c>
      <c r="G4" s="185" t="s">
        <v>45</v>
      </c>
    </row>
    <row r="5" spans="2:8" s="1" customFormat="1" ht="16.5" customHeight="1">
      <c r="B5" s="189">
        <v>42936</v>
      </c>
      <c r="C5" s="190">
        <v>10647</v>
      </c>
      <c r="D5" s="52">
        <v>7.91</v>
      </c>
      <c r="E5" s="190" t="s">
        <v>3</v>
      </c>
      <c r="F5" s="190" t="s">
        <v>1023</v>
      </c>
      <c r="G5" s="191" t="s">
        <v>1022</v>
      </c>
    </row>
    <row r="6" spans="2:8" s="1" customFormat="1" ht="16.5" customHeight="1">
      <c r="B6" s="189">
        <v>42936</v>
      </c>
      <c r="C6" s="190">
        <v>10647</v>
      </c>
      <c r="D6" s="52">
        <v>20</v>
      </c>
      <c r="E6" s="190" t="s">
        <v>2</v>
      </c>
      <c r="F6" s="190" t="s">
        <v>399</v>
      </c>
      <c r="G6" s="191"/>
    </row>
    <row r="7" spans="2:8" s="1" customFormat="1" ht="16.5" customHeight="1">
      <c r="B7" s="189"/>
      <c r="C7" s="190"/>
      <c r="D7" s="52"/>
      <c r="E7" s="190"/>
      <c r="F7" s="190"/>
      <c r="G7" s="191"/>
    </row>
    <row r="8" spans="2:8" s="1" customFormat="1" ht="16.5" customHeight="1">
      <c r="B8" s="189"/>
      <c r="C8" s="190"/>
      <c r="D8" s="52"/>
      <c r="E8" s="190"/>
      <c r="F8" s="190"/>
      <c r="G8" s="191"/>
    </row>
    <row r="9" spans="2:8" s="1" customFormat="1" ht="16.5" customHeight="1">
      <c r="B9" s="189"/>
      <c r="C9" s="190"/>
      <c r="D9" s="52"/>
      <c r="E9" s="190"/>
      <c r="F9" s="190"/>
      <c r="G9" s="191"/>
    </row>
    <row r="10" spans="2:8" s="1" customFormat="1" ht="16.5" customHeight="1">
      <c r="B10" s="189"/>
      <c r="C10" s="190"/>
      <c r="D10" s="52"/>
      <c r="E10" s="190"/>
      <c r="F10" s="190"/>
      <c r="G10" s="191"/>
    </row>
    <row r="11" spans="2:8" s="1" customFormat="1" ht="16.5" customHeight="1">
      <c r="B11" s="192" t="s">
        <v>1</v>
      </c>
      <c r="C11" s="193"/>
      <c r="D11" s="194">
        <f>SUBTOTAL(109,ExpJul124[Amount])</f>
        <v>27.91</v>
      </c>
      <c r="E11" s="193"/>
      <c r="F11" s="193"/>
      <c r="G11" s="192"/>
    </row>
    <row r="12" spans="2:8" s="1" customFormat="1" ht="16.5" customHeight="1">
      <c r="B12" s="195"/>
      <c r="C12" s="196"/>
      <c r="D12" s="197"/>
      <c r="E12" s="196"/>
      <c r="F12" s="196"/>
      <c r="G12" s="196"/>
    </row>
    <row r="13" spans="2:8" s="1" customFormat="1" ht="29.25" customHeight="1">
      <c r="B13" s="205" t="s">
        <v>52</v>
      </c>
      <c r="C13" s="36"/>
      <c r="D13" s="36"/>
      <c r="E13" s="36"/>
      <c r="F13" s="36"/>
      <c r="G13" s="36"/>
    </row>
    <row r="14" spans="2:8" s="1" customFormat="1" ht="16.5" customHeight="1">
      <c r="B14" s="36"/>
      <c r="C14" s="36"/>
      <c r="D14" s="36"/>
      <c r="E14" s="36"/>
      <c r="F14" s="36"/>
      <c r="G14" s="36"/>
    </row>
    <row r="15" spans="2:8" s="1" customFormat="1" ht="16.5" customHeight="1">
      <c r="B15" s="206" t="s">
        <v>50</v>
      </c>
      <c r="C15" s="207" t="s">
        <v>53</v>
      </c>
      <c r="D15" s="206" t="s">
        <v>48</v>
      </c>
      <c r="E15" s="207" t="s">
        <v>47</v>
      </c>
      <c r="F15" s="207" t="s">
        <v>660</v>
      </c>
      <c r="G15" s="206" t="s">
        <v>45</v>
      </c>
    </row>
    <row r="16" spans="2:8" s="1" customFormat="1" ht="16.5" customHeight="1">
      <c r="B16" s="25">
        <v>42949</v>
      </c>
      <c r="C16" s="51">
        <v>10679</v>
      </c>
      <c r="D16" s="211">
        <v>6.08</v>
      </c>
      <c r="E16" s="51" t="s">
        <v>3</v>
      </c>
      <c r="F16" s="51" t="s">
        <v>1063</v>
      </c>
      <c r="G16" s="27" t="s">
        <v>1064</v>
      </c>
    </row>
    <row r="17" spans="2:7" s="1" customFormat="1" ht="16.5" customHeight="1">
      <c r="B17" s="25">
        <v>42949</v>
      </c>
      <c r="C17" s="51">
        <v>10679</v>
      </c>
      <c r="D17" s="211">
        <v>10</v>
      </c>
      <c r="E17" s="51" t="s">
        <v>2</v>
      </c>
      <c r="F17" s="51" t="s">
        <v>33</v>
      </c>
      <c r="G17" s="27"/>
    </row>
    <row r="18" spans="2:7" s="1" customFormat="1" ht="16.5" customHeight="1">
      <c r="B18" s="25">
        <v>42952</v>
      </c>
      <c r="C18" s="51">
        <v>10685</v>
      </c>
      <c r="D18" s="211">
        <v>42.89</v>
      </c>
      <c r="E18" s="51" t="s">
        <v>232</v>
      </c>
      <c r="F18" s="51" t="s">
        <v>1065</v>
      </c>
      <c r="G18" s="27" t="s">
        <v>1066</v>
      </c>
    </row>
    <row r="19" spans="2:7" s="1" customFormat="1" ht="16.5" customHeight="1">
      <c r="B19" s="25">
        <v>42952</v>
      </c>
      <c r="C19" s="51">
        <v>10685</v>
      </c>
      <c r="D19" s="211">
        <v>48.09</v>
      </c>
      <c r="E19" s="51" t="s">
        <v>15</v>
      </c>
      <c r="F19" s="51" t="s">
        <v>1067</v>
      </c>
      <c r="G19" s="27" t="s">
        <v>1068</v>
      </c>
    </row>
    <row r="20" spans="2:7" s="1" customFormat="1" ht="16.5" customHeight="1">
      <c r="B20" s="25">
        <v>42952</v>
      </c>
      <c r="C20" s="51">
        <v>10685</v>
      </c>
      <c r="D20" s="211">
        <v>40</v>
      </c>
      <c r="E20" s="51" t="s">
        <v>2</v>
      </c>
      <c r="F20" s="51" t="s">
        <v>552</v>
      </c>
      <c r="G20" s="27"/>
    </row>
    <row r="21" spans="2:7" s="1" customFormat="1" ht="16.5" customHeight="1">
      <c r="B21" s="208">
        <v>42962</v>
      </c>
      <c r="C21" s="209">
        <v>10714</v>
      </c>
      <c r="D21" s="210">
        <v>26.7</v>
      </c>
      <c r="E21" s="209" t="s">
        <v>17</v>
      </c>
      <c r="F21" s="209" t="s">
        <v>1069</v>
      </c>
      <c r="G21" s="209" t="s">
        <v>1070</v>
      </c>
    </row>
    <row r="22" spans="2:7" s="1" customFormat="1" ht="16.5" customHeight="1">
      <c r="B22" s="208">
        <v>42962</v>
      </c>
      <c r="C22" s="209">
        <v>10714</v>
      </c>
      <c r="D22" s="210">
        <v>2.87</v>
      </c>
      <c r="E22" s="209" t="s">
        <v>17</v>
      </c>
      <c r="F22" s="209" t="s">
        <v>1071</v>
      </c>
      <c r="G22" s="209" t="s">
        <v>1072</v>
      </c>
    </row>
    <row r="23" spans="2:7" s="1" customFormat="1" ht="16.5" customHeight="1">
      <c r="B23" s="208">
        <v>42962</v>
      </c>
      <c r="C23" s="209">
        <v>10714</v>
      </c>
      <c r="D23" s="210">
        <v>14</v>
      </c>
      <c r="E23" s="209" t="s">
        <v>17</v>
      </c>
      <c r="F23" s="209" t="s">
        <v>1073</v>
      </c>
      <c r="G23" s="209" t="s">
        <v>1074</v>
      </c>
    </row>
    <row r="24" spans="2:7" s="1" customFormat="1" ht="16.5" customHeight="1">
      <c r="B24" s="208">
        <v>42962</v>
      </c>
      <c r="C24" s="209">
        <v>10714</v>
      </c>
      <c r="D24" s="210">
        <v>100</v>
      </c>
      <c r="E24" s="209" t="s">
        <v>17</v>
      </c>
      <c r="F24" s="209" t="s">
        <v>1075</v>
      </c>
      <c r="G24" s="209"/>
    </row>
    <row r="25" spans="2:7" s="1" customFormat="1" ht="16.5" customHeight="1">
      <c r="B25" s="25">
        <v>42972</v>
      </c>
      <c r="C25" s="51">
        <v>10743</v>
      </c>
      <c r="D25" s="211">
        <v>6.15</v>
      </c>
      <c r="E25" s="51" t="s">
        <v>171</v>
      </c>
      <c r="F25" s="51" t="s">
        <v>1076</v>
      </c>
      <c r="G25" s="27" t="s">
        <v>1077</v>
      </c>
    </row>
    <row r="26" spans="2:7" s="1" customFormat="1" ht="16.5" customHeight="1">
      <c r="B26" s="25">
        <v>42972</v>
      </c>
      <c r="C26" s="51">
        <v>10743</v>
      </c>
      <c r="D26" s="211">
        <v>20</v>
      </c>
      <c r="E26" s="51" t="s">
        <v>2</v>
      </c>
      <c r="F26" s="51" t="s">
        <v>1078</v>
      </c>
      <c r="G26" s="27"/>
    </row>
    <row r="27" spans="2:7" s="1" customFormat="1" ht="16.5" customHeight="1">
      <c r="B27" s="337"/>
      <c r="C27" s="338"/>
      <c r="D27" s="339"/>
      <c r="E27" s="338"/>
      <c r="F27" s="338"/>
      <c r="G27" s="340"/>
    </row>
    <row r="28" spans="2:7" s="1" customFormat="1" ht="16.5" customHeight="1">
      <c r="B28" s="212" t="s">
        <v>1</v>
      </c>
      <c r="C28" s="213"/>
      <c r="D28" s="214">
        <f>SUBTOTAL(109,ExpAug125[Amount])</f>
        <v>316.77999999999997</v>
      </c>
      <c r="E28" s="213"/>
      <c r="F28" s="213"/>
      <c r="G28" s="212"/>
    </row>
    <row r="30" spans="2:7" s="1" customFormat="1" ht="27" customHeight="1">
      <c r="B30" s="205" t="s">
        <v>56</v>
      </c>
      <c r="C30" s="117"/>
      <c r="D30" s="117"/>
      <c r="E30" s="117"/>
      <c r="F30" s="117"/>
      <c r="G30" s="117"/>
    </row>
    <row r="31" spans="2:7" s="1" customFormat="1" ht="16.5" customHeight="1">
      <c r="B31" s="117"/>
      <c r="C31" s="117"/>
      <c r="D31" s="117"/>
      <c r="E31" s="117"/>
      <c r="F31" s="117"/>
      <c r="G31" s="117"/>
    </row>
    <row r="32" spans="2:7" s="1" customFormat="1" ht="16.5" customHeight="1">
      <c r="B32" s="206" t="s">
        <v>50</v>
      </c>
      <c r="C32" s="207" t="s">
        <v>53</v>
      </c>
      <c r="D32" s="206" t="s">
        <v>48</v>
      </c>
      <c r="E32" s="207" t="s">
        <v>47</v>
      </c>
      <c r="F32" s="207" t="s">
        <v>660</v>
      </c>
      <c r="G32" s="206" t="s">
        <v>45</v>
      </c>
    </row>
    <row r="33" spans="2:7" s="1" customFormat="1" ht="16.5" customHeight="1">
      <c r="B33" s="25">
        <v>42986</v>
      </c>
      <c r="C33" s="51">
        <v>10778</v>
      </c>
      <c r="D33" s="211">
        <v>35.29</v>
      </c>
      <c r="E33" s="51" t="s">
        <v>3</v>
      </c>
      <c r="F33" s="51" t="s">
        <v>1079</v>
      </c>
      <c r="G33" s="27" t="s">
        <v>1080</v>
      </c>
    </row>
    <row r="34" spans="2:7" s="1" customFormat="1" ht="16.5" customHeight="1">
      <c r="B34" s="25">
        <v>42986</v>
      </c>
      <c r="C34" s="51">
        <v>10778</v>
      </c>
      <c r="D34" s="211">
        <v>44.61</v>
      </c>
      <c r="E34" s="51" t="s">
        <v>3</v>
      </c>
      <c r="F34" s="51" t="s">
        <v>1081</v>
      </c>
      <c r="G34" s="27" t="s">
        <v>1082</v>
      </c>
    </row>
    <row r="35" spans="2:7" s="1" customFormat="1" ht="16.5" customHeight="1">
      <c r="B35" s="25">
        <v>42986</v>
      </c>
      <c r="C35" s="51">
        <v>10778</v>
      </c>
      <c r="D35" s="211">
        <v>10</v>
      </c>
      <c r="E35" s="51" t="s">
        <v>2</v>
      </c>
      <c r="F35" s="51" t="s">
        <v>1083</v>
      </c>
      <c r="G35" s="27"/>
    </row>
    <row r="36" spans="2:7" s="1" customFormat="1" ht="16.5" customHeight="1">
      <c r="B36" s="25">
        <v>43004</v>
      </c>
      <c r="C36" s="51">
        <v>10822</v>
      </c>
      <c r="D36" s="211">
        <v>8.5</v>
      </c>
      <c r="E36" s="51" t="s">
        <v>12</v>
      </c>
      <c r="F36" s="51" t="s">
        <v>1084</v>
      </c>
      <c r="G36" s="27" t="s">
        <v>1085</v>
      </c>
    </row>
    <row r="37" spans="2:7" s="1" customFormat="1" ht="16.5" customHeight="1">
      <c r="B37" s="25">
        <v>43004</v>
      </c>
      <c r="C37" s="51">
        <v>10822</v>
      </c>
      <c r="D37" s="211">
        <v>10</v>
      </c>
      <c r="E37" s="51" t="s">
        <v>2</v>
      </c>
      <c r="F37" s="51" t="s">
        <v>33</v>
      </c>
      <c r="G37" s="27"/>
    </row>
    <row r="38" spans="2:7" s="1" customFormat="1" ht="16.5" customHeight="1">
      <c r="B38" s="25">
        <v>43007</v>
      </c>
      <c r="C38" s="51">
        <v>10840</v>
      </c>
      <c r="D38" s="211">
        <v>128.79</v>
      </c>
      <c r="E38" s="51" t="s">
        <v>13</v>
      </c>
      <c r="F38" s="51" t="s">
        <v>1086</v>
      </c>
      <c r="G38" s="27" t="s">
        <v>1087</v>
      </c>
    </row>
    <row r="39" spans="2:7" s="1" customFormat="1" ht="16.5" customHeight="1">
      <c r="B39" s="25">
        <v>43007</v>
      </c>
      <c r="C39" s="51">
        <v>10840</v>
      </c>
      <c r="D39" s="211">
        <v>40</v>
      </c>
      <c r="E39" s="51" t="s">
        <v>2</v>
      </c>
      <c r="F39" s="51" t="s">
        <v>552</v>
      </c>
      <c r="G39" s="27"/>
    </row>
    <row r="40" spans="2:7" s="1" customFormat="1" ht="16.5" customHeight="1">
      <c r="B40" s="25"/>
      <c r="C40" s="51"/>
      <c r="D40" s="211"/>
      <c r="E40" s="51"/>
      <c r="F40" s="51"/>
      <c r="G40" s="27"/>
    </row>
    <row r="41" spans="2:7" s="1" customFormat="1" ht="16.5" customHeight="1">
      <c r="B41" s="25"/>
      <c r="C41" s="51"/>
      <c r="D41" s="211"/>
      <c r="E41" s="51"/>
      <c r="F41" s="51"/>
      <c r="G41" s="27"/>
    </row>
    <row r="42" spans="2:7" s="1" customFormat="1" ht="16.5" customHeight="1">
      <c r="B42" s="212" t="s">
        <v>1</v>
      </c>
      <c r="C42" s="213"/>
      <c r="D42" s="214">
        <f>SUBTOTAL(109,ExpSep126[Amount])</f>
        <v>277.19</v>
      </c>
      <c r="E42" s="213"/>
      <c r="F42" s="213"/>
      <c r="G42" s="212"/>
    </row>
    <row r="44" spans="2:7" s="1" customFormat="1" ht="27.75" customHeight="1">
      <c r="B44" s="205" t="s">
        <v>70</v>
      </c>
      <c r="C44" s="117"/>
      <c r="D44" s="117"/>
      <c r="E44" s="117"/>
      <c r="F44" s="117"/>
      <c r="G44" s="117"/>
    </row>
    <row r="45" spans="2:7" s="1" customFormat="1" ht="16.5" customHeight="1">
      <c r="B45" s="117"/>
      <c r="C45" s="117"/>
      <c r="D45" s="117"/>
      <c r="E45" s="117"/>
      <c r="F45" s="117"/>
      <c r="G45" s="117"/>
    </row>
    <row r="46" spans="2:7" s="1" customFormat="1" ht="16.5" customHeight="1">
      <c r="B46" s="206" t="s">
        <v>50</v>
      </c>
      <c r="C46" s="207" t="s">
        <v>71</v>
      </c>
      <c r="D46" s="206" t="s">
        <v>48</v>
      </c>
      <c r="E46" s="207" t="s">
        <v>47</v>
      </c>
      <c r="F46" s="207" t="s">
        <v>660</v>
      </c>
      <c r="G46" s="206" t="s">
        <v>45</v>
      </c>
    </row>
    <row r="47" spans="2:7" s="1" customFormat="1" ht="16.5" customHeight="1">
      <c r="B47" s="208">
        <v>43020</v>
      </c>
      <c r="C47" s="209">
        <v>10866</v>
      </c>
      <c r="D47" s="210">
        <v>2.87</v>
      </c>
      <c r="E47" s="209" t="s">
        <v>17</v>
      </c>
      <c r="F47" s="209" t="s">
        <v>1695</v>
      </c>
      <c r="G47" s="209" t="s">
        <v>1696</v>
      </c>
    </row>
    <row r="48" spans="2:7" s="1" customFormat="1" ht="16.5" customHeight="1">
      <c r="B48" s="208">
        <v>43020</v>
      </c>
      <c r="C48" s="209">
        <v>10866</v>
      </c>
      <c r="D48" s="210">
        <v>3.91</v>
      </c>
      <c r="E48" s="209" t="s">
        <v>17</v>
      </c>
      <c r="F48" s="209" t="s">
        <v>1697</v>
      </c>
      <c r="G48" s="209" t="s">
        <v>1698</v>
      </c>
    </row>
    <row r="49" spans="2:7" s="1" customFormat="1" ht="16.5" customHeight="1">
      <c r="B49" s="208">
        <v>43020</v>
      </c>
      <c r="C49" s="209">
        <v>10866</v>
      </c>
      <c r="D49" s="210">
        <v>502.06</v>
      </c>
      <c r="E49" s="209" t="s">
        <v>17</v>
      </c>
      <c r="F49" s="209" t="s">
        <v>1699</v>
      </c>
      <c r="G49" s="209" t="s">
        <v>1700</v>
      </c>
    </row>
    <row r="50" spans="2:7" s="1" customFormat="1" ht="16.5" customHeight="1">
      <c r="B50" s="208">
        <v>43020</v>
      </c>
      <c r="C50" s="209">
        <v>10866</v>
      </c>
      <c r="D50" s="210">
        <v>418.88</v>
      </c>
      <c r="E50" s="209" t="s">
        <v>17</v>
      </c>
      <c r="F50" s="209" t="s">
        <v>1701</v>
      </c>
      <c r="G50" s="209" t="s">
        <v>1702</v>
      </c>
    </row>
    <row r="51" spans="2:7" s="1" customFormat="1" ht="16.5" customHeight="1">
      <c r="B51" s="208">
        <v>43020</v>
      </c>
      <c r="C51" s="209">
        <v>10866</v>
      </c>
      <c r="D51" s="210">
        <v>14</v>
      </c>
      <c r="E51" s="209" t="s">
        <v>17</v>
      </c>
      <c r="F51" s="209" t="s">
        <v>1703</v>
      </c>
      <c r="G51" s="209" t="s">
        <v>1704</v>
      </c>
    </row>
    <row r="52" spans="2:7" s="1" customFormat="1" ht="16.5" customHeight="1">
      <c r="B52" s="208">
        <v>43020</v>
      </c>
      <c r="C52" s="209">
        <v>10866</v>
      </c>
      <c r="D52" s="210">
        <v>120</v>
      </c>
      <c r="E52" s="209" t="s">
        <v>17</v>
      </c>
      <c r="F52" s="209" t="s">
        <v>198</v>
      </c>
      <c r="G52" s="209"/>
    </row>
    <row r="53" spans="2:7" s="1" customFormat="1" ht="16.5" customHeight="1">
      <c r="B53" s="25"/>
      <c r="C53" s="51"/>
      <c r="D53" s="211"/>
      <c r="E53" s="51"/>
      <c r="F53" s="51"/>
      <c r="G53" s="27"/>
    </row>
    <row r="54" spans="2:7" s="1" customFormat="1" ht="16.5" customHeight="1">
      <c r="B54" s="25"/>
      <c r="C54" s="51"/>
      <c r="D54" s="211"/>
      <c r="E54" s="51"/>
      <c r="F54" s="51"/>
      <c r="G54" s="27"/>
    </row>
    <row r="55" spans="2:7" s="1" customFormat="1" ht="16.5" customHeight="1">
      <c r="B55" s="25"/>
      <c r="C55" s="51"/>
      <c r="D55" s="211"/>
      <c r="E55" s="51"/>
      <c r="F55" s="51"/>
      <c r="G55" s="27"/>
    </row>
    <row r="56" spans="2:7" s="1" customFormat="1" ht="16.5" customHeight="1">
      <c r="B56" s="25"/>
      <c r="C56" s="51"/>
      <c r="D56" s="211"/>
      <c r="E56" s="51"/>
      <c r="F56" s="51"/>
      <c r="G56" s="27"/>
    </row>
    <row r="57" spans="2:7" s="1" customFormat="1" ht="16.5" customHeight="1">
      <c r="B57" s="25"/>
      <c r="C57" s="51"/>
      <c r="D57" s="211"/>
      <c r="E57" s="51"/>
      <c r="F57" s="51"/>
      <c r="G57" s="27"/>
    </row>
    <row r="58" spans="2:7" s="1" customFormat="1" ht="16.5" customHeight="1">
      <c r="B58" s="212" t="s">
        <v>1</v>
      </c>
      <c r="C58" s="213"/>
      <c r="D58" s="214">
        <f>SUBTOTAL(109,ExpOct127[Amount])</f>
        <v>1061.72</v>
      </c>
      <c r="E58" s="213"/>
      <c r="F58" s="213"/>
      <c r="G58" s="212"/>
    </row>
    <row r="60" spans="2:7" s="1" customFormat="1" ht="27.75" customHeight="1">
      <c r="B60" s="205" t="s">
        <v>159</v>
      </c>
      <c r="C60" s="117"/>
      <c r="D60" s="117"/>
      <c r="E60" s="117"/>
      <c r="F60" s="117"/>
      <c r="G60" s="117"/>
    </row>
    <row r="61" spans="2:7" s="1" customFormat="1" ht="16.5" customHeight="1">
      <c r="B61" s="117"/>
      <c r="C61" s="117"/>
      <c r="D61" s="117"/>
      <c r="E61" s="117"/>
      <c r="F61" s="117"/>
      <c r="G61" s="117"/>
    </row>
    <row r="62" spans="2:7" s="1" customFormat="1" ht="16.5" customHeight="1">
      <c r="B62" s="206" t="s">
        <v>50</v>
      </c>
      <c r="C62" s="207" t="s">
        <v>71</v>
      </c>
      <c r="D62" s="206" t="s">
        <v>48</v>
      </c>
      <c r="E62" s="207" t="s">
        <v>47</v>
      </c>
      <c r="F62" s="207" t="s">
        <v>161</v>
      </c>
      <c r="G62" s="206" t="s">
        <v>160</v>
      </c>
    </row>
    <row r="63" spans="2:7" s="1" customFormat="1" ht="16.5" customHeight="1">
      <c r="B63" s="25"/>
      <c r="C63" s="51"/>
      <c r="D63" s="211"/>
      <c r="E63" s="51"/>
      <c r="F63" s="51"/>
      <c r="G63" s="27"/>
    </row>
    <row r="64" spans="2:7" s="1" customFormat="1" ht="16.5" customHeight="1">
      <c r="B64" s="25"/>
      <c r="C64" s="51"/>
      <c r="D64" s="211"/>
      <c r="E64" s="51"/>
      <c r="F64" s="51"/>
      <c r="G64" s="27"/>
    </row>
    <row r="65" spans="2:7" s="1" customFormat="1" ht="16.5" customHeight="1">
      <c r="B65" s="25"/>
      <c r="C65" s="51"/>
      <c r="D65" s="211"/>
      <c r="E65" s="51"/>
      <c r="F65" s="51"/>
      <c r="G65" s="27"/>
    </row>
    <row r="66" spans="2:7" s="1" customFormat="1" ht="16.5" customHeight="1">
      <c r="B66" s="25"/>
      <c r="C66" s="51"/>
      <c r="D66" s="211"/>
      <c r="E66" s="51"/>
      <c r="F66" s="51"/>
      <c r="G66" s="27"/>
    </row>
    <row r="67" spans="2:7" s="1" customFormat="1" ht="16.5" customHeight="1">
      <c r="B67" s="25"/>
      <c r="C67" s="51"/>
      <c r="D67" s="211"/>
      <c r="E67" s="51"/>
      <c r="F67" s="51"/>
      <c r="G67" s="27"/>
    </row>
    <row r="68" spans="2:7" s="1" customFormat="1" ht="16.5" customHeight="1">
      <c r="B68" s="25"/>
      <c r="C68" s="51"/>
      <c r="D68" s="211"/>
      <c r="E68" s="51"/>
      <c r="F68" s="51"/>
      <c r="G68" s="27"/>
    </row>
    <row r="69" spans="2:7" s="1" customFormat="1" ht="16.5" customHeight="1">
      <c r="B69" s="25"/>
      <c r="C69" s="51"/>
      <c r="D69" s="211"/>
      <c r="E69" s="51"/>
      <c r="F69" s="51"/>
      <c r="G69" s="27"/>
    </row>
    <row r="70" spans="2:7" s="1" customFormat="1" ht="16.5" customHeight="1">
      <c r="B70" s="25"/>
      <c r="C70" s="51"/>
      <c r="D70" s="211"/>
      <c r="E70" s="51"/>
      <c r="F70" s="51"/>
      <c r="G70" s="27"/>
    </row>
    <row r="71" spans="2:7" s="1" customFormat="1" ht="16.5" customHeight="1">
      <c r="B71" s="25"/>
      <c r="C71" s="51"/>
      <c r="D71" s="211"/>
      <c r="E71" s="51"/>
      <c r="F71" s="51"/>
      <c r="G71" s="27"/>
    </row>
    <row r="72" spans="2:7" s="1" customFormat="1" ht="16.5" customHeight="1">
      <c r="B72" s="25"/>
      <c r="C72" s="51"/>
      <c r="D72" s="211"/>
      <c r="E72" s="51"/>
      <c r="F72" s="51"/>
      <c r="G72" s="27"/>
    </row>
    <row r="73" spans="2:7" s="1" customFormat="1" ht="16.5" customHeight="1">
      <c r="B73" s="212" t="s">
        <v>1</v>
      </c>
      <c r="C73" s="213"/>
      <c r="D73" s="214">
        <f>SUBTOTAL(109,ExpNov128[Amount])</f>
        <v>0</v>
      </c>
      <c r="E73" s="213"/>
      <c r="F73" s="213"/>
      <c r="G73" s="212"/>
    </row>
    <row r="75" spans="2:7" s="1" customFormat="1" ht="27" customHeight="1">
      <c r="B75" s="205" t="s">
        <v>162</v>
      </c>
      <c r="C75" s="117"/>
      <c r="D75" s="117"/>
      <c r="E75" s="117"/>
      <c r="F75" s="117"/>
      <c r="G75" s="117"/>
    </row>
    <row r="76" spans="2:7" s="1" customFormat="1" ht="16.5" customHeight="1">
      <c r="B76" s="117"/>
      <c r="C76" s="117"/>
      <c r="D76" s="117"/>
      <c r="E76" s="117"/>
      <c r="F76" s="117"/>
      <c r="G76" s="117"/>
    </row>
    <row r="77" spans="2:7" s="1" customFormat="1" ht="16.5" customHeight="1">
      <c r="B77" s="206" t="s">
        <v>50</v>
      </c>
      <c r="C77" s="207" t="s">
        <v>71</v>
      </c>
      <c r="D77" s="206" t="s">
        <v>48</v>
      </c>
      <c r="E77" s="207" t="s">
        <v>47</v>
      </c>
      <c r="F77" s="207" t="s">
        <v>161</v>
      </c>
      <c r="G77" s="206" t="s">
        <v>160</v>
      </c>
    </row>
    <row r="78" spans="2:7" s="1" customFormat="1" ht="16.5" customHeight="1">
      <c r="B78" s="25"/>
      <c r="C78" s="51"/>
      <c r="D78" s="211"/>
      <c r="E78" s="51"/>
      <c r="F78" s="51"/>
      <c r="G78" s="27"/>
    </row>
    <row r="79" spans="2:7" s="1" customFormat="1" ht="16.5" customHeight="1">
      <c r="B79" s="25"/>
      <c r="C79" s="51"/>
      <c r="D79" s="211"/>
      <c r="E79" s="51"/>
      <c r="F79" s="51"/>
      <c r="G79" s="27"/>
    </row>
    <row r="80" spans="2:7" s="1" customFormat="1" ht="16.5" customHeight="1">
      <c r="B80" s="25"/>
      <c r="C80" s="51"/>
      <c r="D80" s="211"/>
      <c r="E80" s="51"/>
      <c r="F80" s="51"/>
      <c r="G80" s="27"/>
    </row>
    <row r="81" spans="2:7" s="1" customFormat="1" ht="16.5" customHeight="1">
      <c r="B81" s="25"/>
      <c r="C81" s="51"/>
      <c r="D81" s="211"/>
      <c r="E81" s="51"/>
      <c r="F81" s="51"/>
      <c r="G81" s="27"/>
    </row>
    <row r="82" spans="2:7" s="1" customFormat="1" ht="16.5" customHeight="1">
      <c r="B82" s="25"/>
      <c r="C82" s="51"/>
      <c r="D82" s="211"/>
      <c r="E82" s="51"/>
      <c r="F82" s="51"/>
      <c r="G82" s="27"/>
    </row>
    <row r="83" spans="2:7" s="1" customFormat="1" ht="16.5" customHeight="1">
      <c r="B83" s="25"/>
      <c r="C83" s="51"/>
      <c r="D83" s="211"/>
      <c r="E83" s="51"/>
      <c r="F83" s="51"/>
      <c r="G83" s="27"/>
    </row>
    <row r="84" spans="2:7" s="1" customFormat="1" ht="16.5" customHeight="1">
      <c r="B84" s="212" t="s">
        <v>1</v>
      </c>
      <c r="C84" s="213"/>
      <c r="D84" s="214">
        <f>SUBTOTAL(109,ExpDec129[Amount])</f>
        <v>0</v>
      </c>
      <c r="E84" s="213"/>
      <c r="F84" s="213"/>
      <c r="G84" s="212"/>
    </row>
    <row r="86" spans="2:7" s="1" customFormat="1" ht="26.25" customHeight="1">
      <c r="B86" s="205" t="s">
        <v>163</v>
      </c>
      <c r="C86" s="117"/>
      <c r="D86" s="117"/>
      <c r="E86" s="117"/>
      <c r="F86" s="117"/>
      <c r="G86" s="117"/>
    </row>
    <row r="87" spans="2:7" s="1" customFormat="1" ht="16.5" customHeight="1">
      <c r="B87" s="117"/>
      <c r="C87" s="117"/>
      <c r="D87" s="117"/>
      <c r="E87" s="117"/>
      <c r="F87" s="117"/>
      <c r="G87" s="117"/>
    </row>
    <row r="88" spans="2:7" s="1" customFormat="1" ht="16.5" customHeight="1">
      <c r="B88" s="206" t="s">
        <v>50</v>
      </c>
      <c r="C88" s="207" t="s">
        <v>164</v>
      </c>
      <c r="D88" s="206" t="s">
        <v>48</v>
      </c>
      <c r="E88" s="207" t="s">
        <v>47</v>
      </c>
      <c r="F88" s="207" t="s">
        <v>161</v>
      </c>
      <c r="G88" s="206" t="s">
        <v>160</v>
      </c>
    </row>
    <row r="89" spans="2:7" s="1" customFormat="1" ht="16.5" customHeight="1">
      <c r="B89" s="25"/>
      <c r="C89" s="51"/>
      <c r="D89" s="211"/>
      <c r="E89" s="51"/>
      <c r="F89" s="51"/>
      <c r="G89" s="27"/>
    </row>
    <row r="90" spans="2:7" s="1" customFormat="1" ht="16.5" customHeight="1">
      <c r="B90" s="25"/>
      <c r="C90" s="51"/>
      <c r="D90" s="211"/>
      <c r="E90" s="51"/>
      <c r="F90" s="51"/>
      <c r="G90" s="27"/>
    </row>
    <row r="91" spans="2:7" s="1" customFormat="1" ht="16.5" customHeight="1">
      <c r="B91" s="25"/>
      <c r="C91" s="51"/>
      <c r="D91" s="211"/>
      <c r="E91" s="51"/>
      <c r="F91" s="51"/>
      <c r="G91" s="27"/>
    </row>
    <row r="92" spans="2:7" s="1" customFormat="1" ht="16.5" customHeight="1">
      <c r="B92" s="27"/>
      <c r="C92" s="26"/>
      <c r="D92" s="211"/>
      <c r="E92" s="26"/>
      <c r="F92" s="26"/>
      <c r="G92" s="27"/>
    </row>
    <row r="93" spans="2:7" s="1" customFormat="1" ht="16.5" customHeight="1">
      <c r="B93" s="27"/>
      <c r="C93" s="26"/>
      <c r="D93" s="211"/>
      <c r="E93" s="26"/>
      <c r="F93" s="26"/>
      <c r="G93" s="27"/>
    </row>
    <row r="94" spans="2:7" s="1" customFormat="1" ht="16.5" customHeight="1">
      <c r="B94" s="27"/>
      <c r="C94" s="26"/>
      <c r="D94" s="211"/>
      <c r="E94" s="26"/>
      <c r="F94" s="26"/>
      <c r="G94" s="27"/>
    </row>
    <row r="95" spans="2:7" s="1" customFormat="1" ht="16.5" customHeight="1">
      <c r="B95" s="27"/>
      <c r="C95" s="26"/>
      <c r="D95" s="211"/>
      <c r="E95" s="26"/>
      <c r="F95" s="26"/>
      <c r="G95" s="27"/>
    </row>
    <row r="96" spans="2:7" s="1" customFormat="1" ht="16.5" customHeight="1">
      <c r="B96" s="27"/>
      <c r="C96" s="26"/>
      <c r="D96" s="211"/>
      <c r="E96" s="26"/>
      <c r="F96" s="26"/>
      <c r="G96" s="27"/>
    </row>
    <row r="97" spans="2:7" s="1" customFormat="1" ht="16.5" customHeight="1">
      <c r="B97" s="212" t="s">
        <v>1</v>
      </c>
      <c r="C97" s="213"/>
      <c r="D97" s="214">
        <f>SUBTOTAL(109,ExpJan130[Amount])</f>
        <v>0</v>
      </c>
      <c r="E97" s="213"/>
      <c r="F97" s="213"/>
      <c r="G97" s="212"/>
    </row>
    <row r="99" spans="2:7" s="1" customFormat="1" ht="25.5" customHeight="1">
      <c r="B99" s="205" t="s">
        <v>165</v>
      </c>
      <c r="C99" s="117"/>
      <c r="D99" s="117"/>
      <c r="E99" s="117"/>
      <c r="F99" s="117"/>
      <c r="G99" s="117"/>
    </row>
    <row r="100" spans="2:7" s="1" customFormat="1" ht="16.5" customHeight="1">
      <c r="B100" s="117"/>
      <c r="C100" s="117"/>
      <c r="D100" s="117"/>
      <c r="E100" s="117"/>
      <c r="F100" s="117"/>
      <c r="G100" s="117"/>
    </row>
    <row r="101" spans="2:7" s="1" customFormat="1" ht="16.5" customHeight="1">
      <c r="B101" s="206" t="s">
        <v>50</v>
      </c>
      <c r="C101" s="207" t="s">
        <v>71</v>
      </c>
      <c r="D101" s="206" t="s">
        <v>48</v>
      </c>
      <c r="E101" s="207" t="s">
        <v>47</v>
      </c>
      <c r="F101" s="206" t="s">
        <v>660</v>
      </c>
      <c r="G101" s="206" t="s">
        <v>45</v>
      </c>
    </row>
    <row r="102" spans="2:7" s="1" customFormat="1" ht="16.5" customHeight="1">
      <c r="B102" s="25"/>
      <c r="C102" s="51"/>
      <c r="D102" s="211"/>
      <c r="E102" s="51"/>
      <c r="F102" s="27"/>
      <c r="G102" s="27"/>
    </row>
    <row r="103" spans="2:7" s="1" customFormat="1" ht="16.5" customHeight="1">
      <c r="B103" s="25"/>
      <c r="C103" s="51"/>
      <c r="D103" s="211"/>
      <c r="E103" s="51"/>
      <c r="F103" s="27"/>
      <c r="G103" s="27"/>
    </row>
    <row r="104" spans="2:7" s="1" customFormat="1" ht="16.5" customHeight="1">
      <c r="B104" s="25"/>
      <c r="C104" s="51"/>
      <c r="D104" s="211"/>
      <c r="E104" s="51"/>
      <c r="F104" s="27"/>
      <c r="G104" s="27"/>
    </row>
    <row r="105" spans="2:7" s="1" customFormat="1" ht="16.5" customHeight="1">
      <c r="B105" s="25"/>
      <c r="C105" s="51"/>
      <c r="D105" s="211"/>
      <c r="E105" s="51"/>
      <c r="F105" s="27"/>
      <c r="G105" s="27"/>
    </row>
    <row r="106" spans="2:7" s="1" customFormat="1" ht="16.5" customHeight="1">
      <c r="B106" s="25"/>
      <c r="C106" s="51"/>
      <c r="D106" s="211"/>
      <c r="E106" s="51"/>
      <c r="F106" s="27"/>
      <c r="G106" s="27"/>
    </row>
    <row r="107" spans="2:7" s="1" customFormat="1" ht="16.5" customHeight="1">
      <c r="B107" s="25"/>
      <c r="C107" s="51"/>
      <c r="D107" s="211"/>
      <c r="E107" s="51"/>
      <c r="F107" s="27"/>
      <c r="G107" s="27"/>
    </row>
    <row r="108" spans="2:7" s="1" customFormat="1" ht="16.5" customHeight="1">
      <c r="B108" s="337"/>
      <c r="C108" s="338"/>
      <c r="D108" s="339"/>
      <c r="E108" s="338"/>
      <c r="F108" s="340"/>
      <c r="G108" s="340"/>
    </row>
    <row r="109" spans="2:7" s="1" customFormat="1" ht="16.5" customHeight="1">
      <c r="B109" s="337"/>
      <c r="C109" s="338"/>
      <c r="D109" s="339"/>
      <c r="E109" s="338"/>
      <c r="F109" s="340"/>
      <c r="G109" s="340"/>
    </row>
    <row r="110" spans="2:7" s="1" customFormat="1" ht="16.5" customHeight="1">
      <c r="B110" s="337"/>
      <c r="C110" s="338"/>
      <c r="D110" s="339"/>
      <c r="E110" s="338"/>
      <c r="F110" s="340"/>
      <c r="G110" s="340"/>
    </row>
    <row r="111" spans="2:7" s="1" customFormat="1" ht="16.5" customHeight="1">
      <c r="B111" s="337"/>
      <c r="C111" s="338"/>
      <c r="D111" s="339"/>
      <c r="E111" s="338"/>
      <c r="F111" s="340"/>
      <c r="G111" s="340"/>
    </row>
    <row r="112" spans="2:7" s="1" customFormat="1" ht="16.5" customHeight="1">
      <c r="B112" s="337"/>
      <c r="C112" s="338"/>
      <c r="D112" s="339"/>
      <c r="E112" s="338"/>
      <c r="F112" s="340"/>
      <c r="G112" s="340"/>
    </row>
    <row r="113" spans="2:7" s="1" customFormat="1" ht="16.5" customHeight="1">
      <c r="B113" s="224" t="s">
        <v>1</v>
      </c>
      <c r="C113" s="225"/>
      <c r="D113" s="226">
        <f>SUBTOTAL(109,ExpFeb131[Amount])</f>
        <v>0</v>
      </c>
      <c r="E113" s="225"/>
      <c r="F113" s="224"/>
      <c r="G113" s="395"/>
    </row>
    <row r="115" spans="2:7" s="1" customFormat="1" ht="27.75" customHeight="1">
      <c r="B115" s="205" t="s">
        <v>166</v>
      </c>
      <c r="C115" s="117"/>
      <c r="D115" s="117"/>
      <c r="E115" s="117"/>
      <c r="F115" s="117"/>
      <c r="G115" s="117"/>
    </row>
    <row r="116" spans="2:7" s="1" customFormat="1" ht="16.5" customHeight="1">
      <c r="B116" s="117"/>
      <c r="C116" s="117"/>
      <c r="D116" s="117"/>
      <c r="E116" s="117"/>
      <c r="F116" s="117"/>
      <c r="G116" s="117"/>
    </row>
    <row r="117" spans="2:7" s="1" customFormat="1" ht="16.5" customHeight="1">
      <c r="B117" s="206" t="s">
        <v>50</v>
      </c>
      <c r="C117" s="207" t="s">
        <v>71</v>
      </c>
      <c r="D117" s="206" t="s">
        <v>48</v>
      </c>
      <c r="E117" s="207" t="s">
        <v>47</v>
      </c>
      <c r="F117" s="207" t="s">
        <v>660</v>
      </c>
      <c r="G117" s="206" t="s">
        <v>45</v>
      </c>
    </row>
    <row r="118" spans="2:7" s="1" customFormat="1" ht="16.5" customHeight="1">
      <c r="B118" s="25"/>
      <c r="C118" s="51"/>
      <c r="D118" s="211"/>
      <c r="E118" s="51"/>
      <c r="F118" s="51"/>
      <c r="G118" s="27"/>
    </row>
    <row r="119" spans="2:7" s="1" customFormat="1" ht="16.5" customHeight="1">
      <c r="B119" s="25"/>
      <c r="C119" s="51"/>
      <c r="D119" s="211"/>
      <c r="E119" s="51"/>
      <c r="F119" s="51"/>
      <c r="G119" s="27"/>
    </row>
    <row r="120" spans="2:7" s="1" customFormat="1" ht="16.5" customHeight="1">
      <c r="B120" s="25"/>
      <c r="C120" s="51"/>
      <c r="D120" s="211"/>
      <c r="E120" s="51"/>
      <c r="F120" s="51"/>
      <c r="G120" s="27"/>
    </row>
    <row r="121" spans="2:7" s="1" customFormat="1" ht="16.5" customHeight="1">
      <c r="B121" s="25"/>
      <c r="C121" s="51"/>
      <c r="D121" s="211"/>
      <c r="E121" s="51"/>
      <c r="F121" s="51"/>
      <c r="G121" s="27"/>
    </row>
    <row r="122" spans="2:7" s="1" customFormat="1" ht="16.5" customHeight="1">
      <c r="B122" s="25"/>
      <c r="C122" s="51"/>
      <c r="D122" s="211"/>
      <c r="E122" s="51"/>
      <c r="F122" s="51"/>
      <c r="G122" s="27"/>
    </row>
    <row r="123" spans="2:7" s="1" customFormat="1" ht="16.5" customHeight="1">
      <c r="B123" s="25"/>
      <c r="C123" s="51"/>
      <c r="D123" s="211"/>
      <c r="E123" s="51"/>
      <c r="F123" s="51"/>
      <c r="G123" s="27"/>
    </row>
    <row r="124" spans="2:7" s="1" customFormat="1" ht="16.5" customHeight="1">
      <c r="B124" s="25"/>
      <c r="C124" s="51"/>
      <c r="D124" s="211"/>
      <c r="E124" s="51"/>
      <c r="F124" s="51"/>
      <c r="G124" s="27"/>
    </row>
    <row r="125" spans="2:7" s="1" customFormat="1" ht="16.5" customHeight="1">
      <c r="B125" s="25"/>
      <c r="C125" s="51"/>
      <c r="D125" s="211"/>
      <c r="E125" s="51"/>
      <c r="F125" s="51"/>
      <c r="G125" s="27"/>
    </row>
    <row r="126" spans="2:7" s="1" customFormat="1" ht="16.5" customHeight="1">
      <c r="B126" s="25"/>
      <c r="C126" s="51"/>
      <c r="D126" s="211"/>
      <c r="E126" s="51"/>
      <c r="F126" s="51"/>
      <c r="G126" s="27"/>
    </row>
    <row r="127" spans="2:7" s="1" customFormat="1" ht="16.5" customHeight="1">
      <c r="B127" s="25"/>
      <c r="C127" s="51"/>
      <c r="D127" s="211"/>
      <c r="E127" s="51"/>
      <c r="F127" s="51"/>
      <c r="G127" s="27"/>
    </row>
    <row r="128" spans="2:7" s="1" customFormat="1" ht="16.5" customHeight="1">
      <c r="B128" s="25"/>
      <c r="C128" s="51"/>
      <c r="D128" s="211"/>
      <c r="E128" s="51"/>
      <c r="F128" s="51"/>
      <c r="G128" s="27"/>
    </row>
    <row r="129" spans="2:7" s="1" customFormat="1" ht="16.5" customHeight="1">
      <c r="B129" s="25"/>
      <c r="C129" s="51"/>
      <c r="D129" s="211"/>
      <c r="E129" s="51"/>
      <c r="F129" s="51"/>
      <c r="G129" s="27"/>
    </row>
    <row r="130" spans="2:7" s="1" customFormat="1" ht="16.5" customHeight="1">
      <c r="B130" s="25"/>
      <c r="C130" s="51"/>
      <c r="D130" s="211"/>
      <c r="E130" s="51"/>
      <c r="F130" s="51"/>
      <c r="G130" s="27"/>
    </row>
    <row r="131" spans="2:7" s="1" customFormat="1" ht="16.5" customHeight="1">
      <c r="B131" s="212" t="s">
        <v>1</v>
      </c>
      <c r="C131" s="213"/>
      <c r="D131" s="214">
        <f>SUBTOTAL(109,ExpMar132[Amount])</f>
        <v>0</v>
      </c>
      <c r="E131" s="213"/>
      <c r="F131" s="213"/>
      <c r="G131" s="212"/>
    </row>
    <row r="133" spans="2:7" s="1" customFormat="1" ht="27.75" customHeight="1">
      <c r="B133" s="205" t="s">
        <v>167</v>
      </c>
      <c r="C133" s="117"/>
      <c r="D133" s="117"/>
      <c r="E133" s="117"/>
      <c r="F133" s="117"/>
      <c r="G133" s="117"/>
    </row>
    <row r="134" spans="2:7" s="1" customFormat="1" ht="16.5" customHeight="1">
      <c r="B134" s="117"/>
      <c r="C134" s="117"/>
      <c r="D134" s="117"/>
      <c r="E134" s="117"/>
      <c r="F134" s="117"/>
      <c r="G134" s="117"/>
    </row>
    <row r="135" spans="2:7" s="1" customFormat="1" ht="16.5" customHeight="1">
      <c r="B135" s="206" t="s">
        <v>50</v>
      </c>
      <c r="C135" s="207" t="s">
        <v>168</v>
      </c>
      <c r="D135" s="206" t="s">
        <v>48</v>
      </c>
      <c r="E135" s="207" t="s">
        <v>47</v>
      </c>
      <c r="F135" s="207" t="s">
        <v>660</v>
      </c>
      <c r="G135" s="206" t="s">
        <v>45</v>
      </c>
    </row>
    <row r="136" spans="2:7" s="1" customFormat="1" ht="16.5" customHeight="1">
      <c r="B136" s="215"/>
      <c r="C136" s="51"/>
      <c r="D136" s="216"/>
      <c r="E136" s="51"/>
      <c r="F136" s="51"/>
      <c r="G136" s="51"/>
    </row>
    <row r="137" spans="2:7" s="1" customFormat="1" ht="16.5" customHeight="1">
      <c r="B137" s="215"/>
      <c r="C137" s="51"/>
      <c r="D137" s="216"/>
      <c r="E137" s="51"/>
      <c r="F137" s="51"/>
      <c r="G137" s="51"/>
    </row>
    <row r="138" spans="2:7" s="1" customFormat="1" ht="16.5" customHeight="1">
      <c r="B138" s="215"/>
      <c r="C138" s="51"/>
      <c r="D138" s="216"/>
      <c r="E138" s="51"/>
      <c r="F138" s="51"/>
      <c r="G138" s="51"/>
    </row>
    <row r="139" spans="2:7" s="1" customFormat="1" ht="16.5" customHeight="1">
      <c r="B139" s="215"/>
      <c r="C139" s="51"/>
      <c r="D139" s="216"/>
      <c r="E139" s="51"/>
      <c r="F139" s="51"/>
      <c r="G139" s="51"/>
    </row>
    <row r="140" spans="2:7" s="1" customFormat="1" ht="16.5" customHeight="1">
      <c r="B140" s="215"/>
      <c r="C140" s="51"/>
      <c r="D140" s="216"/>
      <c r="E140" s="51"/>
      <c r="F140" s="51"/>
      <c r="G140" s="51"/>
    </row>
    <row r="141" spans="2:7" s="1" customFormat="1" ht="16.5" customHeight="1">
      <c r="B141" s="215"/>
      <c r="C141" s="51"/>
      <c r="D141" s="216"/>
      <c r="E141" s="51"/>
      <c r="F141" s="51"/>
      <c r="G141" s="51"/>
    </row>
    <row r="142" spans="2:7" s="1" customFormat="1" ht="16.5" customHeight="1">
      <c r="B142" s="215"/>
      <c r="C142" s="51"/>
      <c r="D142" s="216"/>
      <c r="E142" s="51"/>
      <c r="F142" s="51"/>
      <c r="G142" s="51"/>
    </row>
    <row r="143" spans="2:7" s="1" customFormat="1" ht="16.5" customHeight="1">
      <c r="B143" s="215"/>
      <c r="C143" s="51"/>
      <c r="D143" s="216"/>
      <c r="E143" s="51"/>
      <c r="F143" s="51"/>
      <c r="G143" s="51"/>
    </row>
    <row r="144" spans="2:7" s="1" customFormat="1" ht="16.5" customHeight="1">
      <c r="B144" s="215"/>
      <c r="C144" s="51"/>
      <c r="D144" s="216"/>
      <c r="E144" s="51"/>
      <c r="F144" s="51"/>
      <c r="G144" s="51"/>
    </row>
    <row r="145" spans="2:7" s="1" customFormat="1" ht="16.5" customHeight="1">
      <c r="B145" s="215"/>
      <c r="C145" s="51"/>
      <c r="D145" s="216"/>
      <c r="E145" s="51"/>
      <c r="F145" s="51"/>
      <c r="G145" s="51"/>
    </row>
    <row r="146" spans="2:7" s="1" customFormat="1" ht="16.5" customHeight="1">
      <c r="B146" s="215"/>
      <c r="C146" s="51"/>
      <c r="D146" s="216"/>
      <c r="E146" s="51"/>
      <c r="F146" s="51"/>
      <c r="G146" s="51"/>
    </row>
    <row r="147" spans="2:7" s="1" customFormat="1" ht="16.5" customHeight="1">
      <c r="B147" s="212" t="s">
        <v>1</v>
      </c>
      <c r="C147" s="213"/>
      <c r="D147" s="214">
        <f>SUBTOTAL(109,ExpApr133[Amount])</f>
        <v>0</v>
      </c>
      <c r="E147" s="213"/>
      <c r="F147" s="213"/>
      <c r="G147" s="212"/>
    </row>
    <row r="149" spans="2:7" s="1" customFormat="1" ht="26.25" customHeight="1">
      <c r="B149" s="205" t="s">
        <v>169</v>
      </c>
      <c r="C149" s="117"/>
      <c r="D149" s="117"/>
      <c r="E149" s="117"/>
      <c r="F149" s="117"/>
      <c r="G149" s="117"/>
    </row>
    <row r="150" spans="2:7" s="1" customFormat="1" ht="16.5" customHeight="1">
      <c r="B150" s="117"/>
      <c r="C150" s="117"/>
      <c r="D150" s="117"/>
      <c r="E150" s="117"/>
      <c r="F150" s="117"/>
      <c r="G150" s="117"/>
    </row>
    <row r="151" spans="2:7" s="1" customFormat="1" ht="16.5" customHeight="1">
      <c r="B151" s="206" t="s">
        <v>50</v>
      </c>
      <c r="C151" s="207" t="s">
        <v>71</v>
      </c>
      <c r="D151" s="206" t="s">
        <v>48</v>
      </c>
      <c r="E151" s="207" t="s">
        <v>47</v>
      </c>
      <c r="F151" s="207" t="s">
        <v>660</v>
      </c>
      <c r="G151" s="206" t="s">
        <v>45</v>
      </c>
    </row>
    <row r="152" spans="2:7" s="1" customFormat="1" ht="16.5" customHeight="1">
      <c r="B152" s="25"/>
      <c r="C152" s="51"/>
      <c r="D152" s="211"/>
      <c r="E152" s="51"/>
      <c r="F152" s="51"/>
      <c r="G152" s="27"/>
    </row>
    <row r="153" spans="2:7" s="1" customFormat="1" ht="16.5" customHeight="1">
      <c r="B153" s="25"/>
      <c r="C153" s="51"/>
      <c r="D153" s="211"/>
      <c r="E153" s="51"/>
      <c r="F153" s="51"/>
      <c r="G153" s="27"/>
    </row>
    <row r="154" spans="2:7" s="1" customFormat="1" ht="16.5" customHeight="1">
      <c r="B154" s="25"/>
      <c r="C154" s="51"/>
      <c r="D154" s="211"/>
      <c r="E154" s="51"/>
      <c r="F154" s="51"/>
      <c r="G154" s="27"/>
    </row>
    <row r="155" spans="2:7" s="1" customFormat="1" ht="16.5" customHeight="1">
      <c r="B155" s="25"/>
      <c r="C155" s="51"/>
      <c r="D155" s="211"/>
      <c r="E155" s="51"/>
      <c r="F155" s="51"/>
      <c r="G155" s="27"/>
    </row>
    <row r="156" spans="2:7" s="1" customFormat="1" ht="16.5" customHeight="1">
      <c r="B156" s="25"/>
      <c r="C156" s="51"/>
      <c r="D156" s="211"/>
      <c r="E156" s="51"/>
      <c r="F156" s="51"/>
      <c r="G156" s="27"/>
    </row>
    <row r="157" spans="2:7" s="1" customFormat="1" ht="16.5" customHeight="1">
      <c r="B157" s="25"/>
      <c r="C157" s="51"/>
      <c r="D157" s="211"/>
      <c r="E157" s="51"/>
      <c r="F157" s="51"/>
      <c r="G157" s="27"/>
    </row>
    <row r="158" spans="2:7" s="1" customFormat="1" ht="16.5" customHeight="1">
      <c r="B158" s="25"/>
      <c r="C158" s="51"/>
      <c r="D158" s="211"/>
      <c r="E158" s="51"/>
      <c r="F158" s="51"/>
      <c r="G158" s="27"/>
    </row>
    <row r="159" spans="2:7" s="1" customFormat="1" ht="16.5" customHeight="1">
      <c r="B159" s="25"/>
      <c r="C159" s="51"/>
      <c r="D159" s="211"/>
      <c r="E159" s="51"/>
      <c r="F159" s="51"/>
      <c r="G159" s="27"/>
    </row>
    <row r="160" spans="2:7" s="1" customFormat="1" ht="16.5" customHeight="1">
      <c r="B160" s="25"/>
      <c r="C160" s="51"/>
      <c r="D160" s="211"/>
      <c r="E160" s="51"/>
      <c r="F160" s="51"/>
      <c r="G160" s="27"/>
    </row>
    <row r="161" spans="2:7" s="1" customFormat="1" ht="16.5" customHeight="1">
      <c r="B161" s="25"/>
      <c r="C161" s="51"/>
      <c r="D161" s="211"/>
      <c r="E161" s="51"/>
      <c r="F161" s="51"/>
      <c r="G161" s="27"/>
    </row>
    <row r="162" spans="2:7" s="1" customFormat="1" ht="16.5" customHeight="1">
      <c r="B162" s="25"/>
      <c r="C162" s="51"/>
      <c r="D162" s="211"/>
      <c r="E162" s="51"/>
      <c r="F162" s="51"/>
      <c r="G162" s="27"/>
    </row>
    <row r="163" spans="2:7" s="1" customFormat="1" ht="16.5" customHeight="1">
      <c r="B163" s="25"/>
      <c r="C163" s="51"/>
      <c r="D163" s="211"/>
      <c r="E163" s="51"/>
      <c r="F163" s="51"/>
      <c r="G163" s="27"/>
    </row>
    <row r="164" spans="2:7" s="1" customFormat="1" ht="16.5" customHeight="1">
      <c r="B164" s="224" t="s">
        <v>1</v>
      </c>
      <c r="C164" s="225"/>
      <c r="D164" s="226">
        <f>SUBTOTAL(109,ExpMay134[Amount])</f>
        <v>0</v>
      </c>
      <c r="E164" s="225"/>
      <c r="F164" s="225"/>
      <c r="G164" s="224"/>
    </row>
    <row r="166" spans="2:7" s="1" customFormat="1" ht="27" customHeight="1">
      <c r="B166" s="205" t="s">
        <v>170</v>
      </c>
      <c r="C166" s="117"/>
      <c r="D166" s="117"/>
      <c r="E166" s="117"/>
      <c r="F166" s="117"/>
      <c r="G166" s="117"/>
    </row>
    <row r="167" spans="2:7" s="1" customFormat="1" ht="16.5" customHeight="1">
      <c r="B167" s="117"/>
      <c r="C167" s="117"/>
      <c r="D167" s="117"/>
      <c r="E167" s="117"/>
      <c r="F167" s="117"/>
      <c r="G167" s="117"/>
    </row>
    <row r="168" spans="2:7" s="1" customFormat="1" ht="16.5" customHeight="1">
      <c r="B168" s="206" t="s">
        <v>50</v>
      </c>
      <c r="C168" s="207" t="s">
        <v>155</v>
      </c>
      <c r="D168" s="206" t="s">
        <v>48</v>
      </c>
      <c r="E168" s="207" t="s">
        <v>47</v>
      </c>
      <c r="F168" s="207" t="s">
        <v>660</v>
      </c>
      <c r="G168" s="206" t="s">
        <v>45</v>
      </c>
    </row>
    <row r="169" spans="2:7" s="1" customFormat="1" ht="16.5" customHeight="1">
      <c r="B169" s="215"/>
      <c r="C169" s="51"/>
      <c r="D169" s="216"/>
      <c r="E169" s="51"/>
      <c r="F169" s="51"/>
      <c r="G169" s="51"/>
    </row>
    <row r="170" spans="2:7" s="1" customFormat="1" ht="16.5" customHeight="1">
      <c r="B170" s="215"/>
      <c r="C170" s="51"/>
      <c r="D170" s="216"/>
      <c r="E170" s="51"/>
      <c r="F170" s="51"/>
      <c r="G170" s="51"/>
    </row>
    <row r="171" spans="2:7" s="1" customFormat="1" ht="16.5" customHeight="1">
      <c r="B171" s="215"/>
      <c r="C171" s="51"/>
      <c r="D171" s="216"/>
      <c r="E171" s="51"/>
      <c r="F171" s="51"/>
      <c r="G171" s="51"/>
    </row>
    <row r="172" spans="2:7" s="1" customFormat="1" ht="16.5" customHeight="1">
      <c r="B172" s="215"/>
      <c r="C172" s="51"/>
      <c r="D172" s="216"/>
      <c r="E172" s="51"/>
      <c r="F172" s="51"/>
      <c r="G172" s="51"/>
    </row>
    <row r="173" spans="2:7" s="1" customFormat="1" ht="16.5" customHeight="1">
      <c r="B173" s="215"/>
      <c r="C173" s="51"/>
      <c r="D173" s="216"/>
      <c r="E173" s="51"/>
      <c r="F173" s="51"/>
      <c r="G173" s="51"/>
    </row>
    <row r="174" spans="2:7" s="1" customFormat="1" ht="16.5" customHeight="1">
      <c r="B174" s="215"/>
      <c r="C174" s="51"/>
      <c r="D174" s="216"/>
      <c r="E174" s="51"/>
      <c r="F174" s="51"/>
      <c r="G174" s="51"/>
    </row>
    <row r="175" spans="2:7" s="1" customFormat="1" ht="16.5" customHeight="1">
      <c r="B175" s="215"/>
      <c r="C175" s="51"/>
      <c r="D175" s="216"/>
      <c r="E175" s="51"/>
      <c r="F175" s="51"/>
      <c r="G175" s="51"/>
    </row>
    <row r="176" spans="2:7" s="1" customFormat="1" ht="16.5" customHeight="1">
      <c r="B176" s="215"/>
      <c r="C176" s="51"/>
      <c r="D176" s="216"/>
      <c r="E176" s="51"/>
      <c r="F176" s="51"/>
      <c r="G176" s="51"/>
    </row>
    <row r="177" spans="2:7" s="1" customFormat="1" ht="16.5" customHeight="1">
      <c r="B177" s="215"/>
      <c r="C177" s="51"/>
      <c r="D177" s="216"/>
      <c r="E177" s="51"/>
      <c r="F177" s="51"/>
      <c r="G177" s="51"/>
    </row>
    <row r="178" spans="2:7" s="1" customFormat="1" ht="16.5" customHeight="1">
      <c r="B178" s="215"/>
      <c r="C178" s="51"/>
      <c r="D178" s="216"/>
      <c r="E178" s="51"/>
      <c r="F178" s="51"/>
      <c r="G178" s="51"/>
    </row>
    <row r="179" spans="2:7" s="1" customFormat="1" ht="16.5" customHeight="1">
      <c r="B179" s="215"/>
      <c r="C179" s="51"/>
      <c r="D179" s="216"/>
      <c r="E179" s="51"/>
      <c r="F179" s="51"/>
      <c r="G179" s="51"/>
    </row>
    <row r="180" spans="2:7" s="1" customFormat="1" ht="16.5" customHeight="1">
      <c r="B180" s="224" t="s">
        <v>1</v>
      </c>
      <c r="C180" s="225"/>
      <c r="D180" s="226">
        <f>SUBTOTAL(109,ExpJun135[Amount])</f>
        <v>0</v>
      </c>
      <c r="E180" s="225"/>
      <c r="F180" s="225"/>
      <c r="G180" s="224"/>
    </row>
  </sheetData>
  <dataValidations count="14">
    <dataValidation type="custom" errorStyle="warning" allowBlank="1" showInputMessage="1" showErrorMessage="1" errorTitle="Amount Validation" error="Amount should be a number." sqref="D5:D10 D12 D16:D27 D33:D41 D47:D57 D63:D72 D78:D83 D89:D96 D102:D112 D118:D130 D136:D146 D152:D163 D169:D179">
      <formula1>ISNUMBER($D5)</formula1>
    </dataValidation>
    <dataValidation type="custom" errorStyle="warning" allowBlank="1" showInputMessage="1" showErrorMessage="1" errorTitle="Date Validation" error="A date in July needs be entered  in order for this expense to be added to the Summary sheet." sqref="B5:B10 B12">
      <formula1>MONTH($B5)=7</formula1>
    </dataValidation>
    <dataValidation type="list" errorStyle="warning" allowBlank="1" showInputMessage="1" showErrorMessage="1" errorTitle="Unknown Category" error="An expense from the drop down should be selected in order for it to be included on the Summary sheet." sqref="E5:F10 E12:F12 E16:F27 E33:F41 E47:F57 E63:F72 E78:F83 E89:F96 E102:E112 E118:F130 E136:F146 E152:F163 E169:F179">
      <formula1>ExpenseCategories</formula1>
    </dataValidation>
    <dataValidation type="custom" errorStyle="warning" allowBlank="1" showInputMessage="1" showErrorMessage="1" errorTitle="Date Validation" error="A date in August needs be entered  in order for this expense to be added to the Summary sheet." sqref="B16:B27">
      <formula1>MONTH($B16)=8</formula1>
    </dataValidation>
    <dataValidation type="custom" errorStyle="warning" allowBlank="1" showInputMessage="1" showErrorMessage="1" errorTitle="Date Validation" error="A date in September needs be entered  in order for this expense to be added to the Summary sheet." sqref="B33:B41">
      <formula1>MONTH($B33)=9</formula1>
    </dataValidation>
    <dataValidation type="custom" errorStyle="warning" allowBlank="1" showInputMessage="1" showErrorMessage="1" errorTitle="Date Validation" error="A date in October needs be entered  in order for this expense to be added to the Summary sheet." sqref="B47:B57">
      <formula1>MONTH($B47)=10</formula1>
    </dataValidation>
    <dataValidation type="custom" errorStyle="warning" allowBlank="1" showInputMessage="1" showErrorMessage="1" errorTitle="Date Validation" error="A date in November needs be entered  in order for this expense to be added to the Summary sheet." sqref="B63:B72">
      <formula1>MONTH($B63)=11</formula1>
    </dataValidation>
    <dataValidation type="custom" errorStyle="warning" allowBlank="1" showInputMessage="1" showErrorMessage="1" errorTitle="Date Validation" error="A date in December needs be entered  in order for this expense to be added to the Summary sheet." sqref="B78:B83">
      <formula1>MONTH($B78)=12</formula1>
    </dataValidation>
    <dataValidation type="custom" errorStyle="warning" allowBlank="1" showInputMessage="1" showErrorMessage="1" errorTitle="Date Validation" error="A date in January needs be entered in order for this expense to be added to the Summary sheet." sqref="B89:B96">
      <formula1>MONTH($B89)=1</formula1>
    </dataValidation>
    <dataValidation type="custom" errorStyle="warning" allowBlank="1" showInputMessage="1" showErrorMessage="1" errorTitle="Date Validation" error="A date in February needs be entered in order for this expense to be added to the Summary sheet." sqref="B102:B112">
      <formula1>MONTH($B102)=2</formula1>
    </dataValidation>
    <dataValidation type="custom" errorStyle="warning" allowBlank="1" showInputMessage="1" showErrorMessage="1" errorTitle="Date Validation" error="A date in March needs be entered in order for this expense to be added to the Summary sheet." sqref="B118:B130">
      <formula1>MONTH($B118)=3</formula1>
    </dataValidation>
    <dataValidation type="custom" errorStyle="warning" allowBlank="1" showInputMessage="1" showErrorMessage="1" errorTitle="Date Validation" error="A date in April needs be entered  in order for this expense to be added to the Summary sheet." sqref="B136:B146">
      <formula1>MONTH($B136)=4</formula1>
    </dataValidation>
    <dataValidation type="custom" errorStyle="warning" allowBlank="1" showInputMessage="1" showErrorMessage="1" errorTitle="Date Validation" error="A date in May needs be entered  in order for this expense to be added to the Summary sheet." sqref="B152:B163">
      <formula1>MONTH($B152)=5</formula1>
    </dataValidation>
    <dataValidation type="custom" errorStyle="warning" allowBlank="1" showInputMessage="1" showErrorMessage="1" errorTitle="Date Validation" error="A date in June needs be entered  in order for this expense to be added to the Summary sheet." sqref="B169:B179">
      <formula1>MONTH($B169)=6</formula1>
    </dataValidation>
  </dataValidations>
  <printOptions horizontalCentered="1"/>
  <pageMargins left="0.25" right="0.25" top="0.75" bottom="0.75" header="0.3" footer="0.3"/>
  <pageSetup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8"/>
  <sheetViews>
    <sheetView topLeftCell="A13" workbookViewId="0">
      <selection activeCell="I29" sqref="A1:XFD1048576"/>
    </sheetView>
  </sheetViews>
  <sheetFormatPr defaultColWidth="9.140625" defaultRowHeight="12.75"/>
  <cols>
    <col min="1" max="1" width="16.140625" style="260" customWidth="1"/>
    <col min="2" max="2" width="13.42578125" style="260" customWidth="1"/>
    <col min="3" max="3" width="11.42578125" style="260" customWidth="1"/>
    <col min="4" max="4" width="14" style="260" customWidth="1"/>
    <col min="5" max="5" width="14.140625" style="260" customWidth="1"/>
    <col min="6" max="6" width="12.7109375" style="260" customWidth="1"/>
    <col min="7" max="7" width="13.28515625" style="260" customWidth="1"/>
    <col min="8" max="16384" width="9.140625" style="260"/>
  </cols>
  <sheetData>
    <row r="1" spans="1:11" ht="13.5" customHeight="1">
      <c r="A1" s="278" t="s">
        <v>155</v>
      </c>
      <c r="B1" s="279" t="s">
        <v>154</v>
      </c>
      <c r="C1" s="280"/>
      <c r="D1" s="279" t="s">
        <v>153</v>
      </c>
      <c r="E1" s="280"/>
      <c r="F1" s="279" t="s">
        <v>152</v>
      </c>
      <c r="G1" s="280"/>
    </row>
    <row r="2" spans="1:11">
      <c r="A2" s="516"/>
      <c r="B2" s="517"/>
      <c r="C2" s="361"/>
      <c r="D2" s="518" t="s">
        <v>1054</v>
      </c>
      <c r="E2" s="352">
        <v>4959</v>
      </c>
      <c r="F2" s="519"/>
      <c r="G2" s="520"/>
    </row>
    <row r="3" spans="1:11">
      <c r="A3" s="516">
        <v>7446</v>
      </c>
      <c r="B3" s="354" t="str">
        <f t="shared" ref="B3:B38" si="0">D2</f>
        <v>1.28.13</v>
      </c>
      <c r="C3" s="355">
        <v>4959</v>
      </c>
      <c r="D3" s="521" t="s">
        <v>1053</v>
      </c>
      <c r="E3" s="357">
        <v>10026</v>
      </c>
      <c r="F3" s="358">
        <f t="shared" ref="F3:F38" si="1">SUM(E3-E2)</f>
        <v>5067</v>
      </c>
      <c r="G3" s="359" t="b">
        <f t="shared" ref="G3:G38" si="2">IF(F3&gt;5250,"OVER")</f>
        <v>0</v>
      </c>
    </row>
    <row r="4" spans="1:11">
      <c r="A4" s="516">
        <v>7512</v>
      </c>
      <c r="B4" s="354" t="str">
        <f t="shared" si="0"/>
        <v>3.14.13</v>
      </c>
      <c r="C4" s="355">
        <v>10026</v>
      </c>
      <c r="D4" s="521" t="s">
        <v>1052</v>
      </c>
      <c r="E4" s="357">
        <v>15199</v>
      </c>
      <c r="F4" s="358">
        <f t="shared" si="1"/>
        <v>5173</v>
      </c>
      <c r="G4" s="359" t="b">
        <f t="shared" si="2"/>
        <v>0</v>
      </c>
    </row>
    <row r="5" spans="1:11">
      <c r="A5" s="516">
        <v>7566</v>
      </c>
      <c r="B5" s="354" t="str">
        <f t="shared" si="0"/>
        <v>5.3.13</v>
      </c>
      <c r="C5" s="355">
        <v>15199</v>
      </c>
      <c r="D5" s="521" t="s">
        <v>1051</v>
      </c>
      <c r="E5" s="357">
        <v>20093</v>
      </c>
      <c r="F5" s="358">
        <f t="shared" si="1"/>
        <v>4894</v>
      </c>
      <c r="G5" s="359" t="b">
        <f t="shared" si="2"/>
        <v>0</v>
      </c>
    </row>
    <row r="6" spans="1:11">
      <c r="A6" s="516">
        <v>7632</v>
      </c>
      <c r="B6" s="354" t="str">
        <f t="shared" si="0"/>
        <v>6.17.13</v>
      </c>
      <c r="C6" s="355">
        <v>20093</v>
      </c>
      <c r="D6" s="521" t="s">
        <v>1050</v>
      </c>
      <c r="E6" s="357">
        <v>24945</v>
      </c>
      <c r="F6" s="358">
        <f t="shared" si="1"/>
        <v>4852</v>
      </c>
      <c r="G6" s="359" t="b">
        <f t="shared" si="2"/>
        <v>0</v>
      </c>
    </row>
    <row r="7" spans="1:11">
      <c r="A7" s="516">
        <v>7816</v>
      </c>
      <c r="B7" s="354" t="str">
        <f t="shared" si="0"/>
        <v>9.18.13</v>
      </c>
      <c r="C7" s="355">
        <v>24945</v>
      </c>
      <c r="D7" s="521" t="s">
        <v>1049</v>
      </c>
      <c r="E7" s="357">
        <v>29902</v>
      </c>
      <c r="F7" s="358">
        <f t="shared" si="1"/>
        <v>4957</v>
      </c>
      <c r="G7" s="359" t="b">
        <f t="shared" si="2"/>
        <v>0</v>
      </c>
    </row>
    <row r="8" spans="1:11">
      <c r="A8" s="516">
        <v>7908</v>
      </c>
      <c r="B8" s="354" t="str">
        <f t="shared" si="0"/>
        <v>10.29.13</v>
      </c>
      <c r="C8" s="355">
        <v>29902</v>
      </c>
      <c r="D8" s="521" t="s">
        <v>900</v>
      </c>
      <c r="E8" s="357">
        <v>34919</v>
      </c>
      <c r="F8" s="358">
        <f t="shared" si="1"/>
        <v>5017</v>
      </c>
      <c r="G8" s="359" t="b">
        <f t="shared" si="2"/>
        <v>0</v>
      </c>
    </row>
    <row r="9" spans="1:11">
      <c r="A9" s="516">
        <v>8018</v>
      </c>
      <c r="B9" s="354" t="str">
        <f t="shared" si="0"/>
        <v>12.10.13</v>
      </c>
      <c r="C9" s="355">
        <v>34919</v>
      </c>
      <c r="D9" s="521" t="s">
        <v>1048</v>
      </c>
      <c r="E9" s="357">
        <v>39946</v>
      </c>
      <c r="F9" s="358">
        <f t="shared" si="1"/>
        <v>5027</v>
      </c>
      <c r="G9" s="359" t="b">
        <f t="shared" si="2"/>
        <v>0</v>
      </c>
    </row>
    <row r="10" spans="1:11">
      <c r="A10" s="516">
        <v>8101</v>
      </c>
      <c r="B10" s="354" t="str">
        <f t="shared" si="0"/>
        <v>1.21.14</v>
      </c>
      <c r="C10" s="355">
        <v>39946</v>
      </c>
      <c r="D10" s="521" t="s">
        <v>950</v>
      </c>
      <c r="E10" s="357">
        <v>44961</v>
      </c>
      <c r="F10" s="358">
        <f t="shared" si="1"/>
        <v>5015</v>
      </c>
      <c r="G10" s="359" t="b">
        <f t="shared" si="2"/>
        <v>0</v>
      </c>
    </row>
    <row r="11" spans="1:11">
      <c r="A11" s="516">
        <v>8186</v>
      </c>
      <c r="B11" s="354" t="str">
        <f t="shared" si="0"/>
        <v>3.5.14</v>
      </c>
      <c r="C11" s="355">
        <v>44961</v>
      </c>
      <c r="D11" s="521" t="s">
        <v>1047</v>
      </c>
      <c r="E11" s="357">
        <v>49962</v>
      </c>
      <c r="F11" s="358">
        <f t="shared" si="1"/>
        <v>5001</v>
      </c>
      <c r="G11" s="359" t="b">
        <f t="shared" si="2"/>
        <v>0</v>
      </c>
    </row>
    <row r="12" spans="1:11">
      <c r="A12" s="516">
        <v>8296</v>
      </c>
      <c r="B12" s="354" t="str">
        <f t="shared" si="0"/>
        <v>4.17.14</v>
      </c>
      <c r="C12" s="355">
        <v>49962</v>
      </c>
      <c r="D12" s="521" t="s">
        <v>1046</v>
      </c>
      <c r="E12" s="357">
        <v>55120</v>
      </c>
      <c r="F12" s="358">
        <f t="shared" si="1"/>
        <v>5158</v>
      </c>
      <c r="G12" s="359" t="b">
        <f t="shared" si="2"/>
        <v>0</v>
      </c>
      <c r="K12" s="505"/>
    </row>
    <row r="13" spans="1:11">
      <c r="A13" s="516">
        <v>8407</v>
      </c>
      <c r="B13" s="354" t="str">
        <f t="shared" si="0"/>
        <v>6.10.14</v>
      </c>
      <c r="C13" s="355">
        <v>55120</v>
      </c>
      <c r="D13" s="521" t="s">
        <v>1045</v>
      </c>
      <c r="E13" s="357">
        <v>59979</v>
      </c>
      <c r="F13" s="358">
        <f t="shared" si="1"/>
        <v>4859</v>
      </c>
      <c r="G13" s="359" t="b">
        <f t="shared" si="2"/>
        <v>0</v>
      </c>
    </row>
    <row r="14" spans="1:11">
      <c r="A14" s="516">
        <v>8543</v>
      </c>
      <c r="B14" s="354" t="str">
        <f t="shared" si="0"/>
        <v>8.4.14</v>
      </c>
      <c r="C14" s="355">
        <v>59979</v>
      </c>
      <c r="D14" s="521" t="s">
        <v>1044</v>
      </c>
      <c r="E14" s="357">
        <v>64966</v>
      </c>
      <c r="F14" s="358">
        <f t="shared" si="1"/>
        <v>4987</v>
      </c>
      <c r="G14" s="359" t="b">
        <f t="shared" si="2"/>
        <v>0</v>
      </c>
    </row>
    <row r="15" spans="1:11">
      <c r="A15" s="516">
        <v>8632</v>
      </c>
      <c r="B15" s="354" t="str">
        <f t="shared" si="0"/>
        <v>9.25.14</v>
      </c>
      <c r="C15" s="361">
        <v>64966</v>
      </c>
      <c r="D15" s="522" t="s">
        <v>1043</v>
      </c>
      <c r="E15" s="363">
        <v>69987</v>
      </c>
      <c r="F15" s="358">
        <f t="shared" si="1"/>
        <v>5021</v>
      </c>
      <c r="G15" s="359" t="b">
        <f t="shared" si="2"/>
        <v>0</v>
      </c>
    </row>
    <row r="16" spans="1:11" ht="13.5" thickBot="1">
      <c r="A16" s="523">
        <v>8757</v>
      </c>
      <c r="B16" s="354" t="str">
        <f t="shared" si="0"/>
        <v>11.18.14</v>
      </c>
      <c r="C16" s="365">
        <v>69987</v>
      </c>
      <c r="D16" s="524" t="s">
        <v>1042</v>
      </c>
      <c r="E16" s="367">
        <v>74975</v>
      </c>
      <c r="F16" s="358">
        <f t="shared" si="1"/>
        <v>4988</v>
      </c>
      <c r="G16" s="359" t="b">
        <f t="shared" si="2"/>
        <v>0</v>
      </c>
    </row>
    <row r="17" spans="1:7" ht="13.5" thickBot="1">
      <c r="A17" s="525">
        <v>8840</v>
      </c>
      <c r="B17" s="354" t="str">
        <f t="shared" si="0"/>
        <v>12.27.14</v>
      </c>
      <c r="C17" s="370">
        <v>74975</v>
      </c>
      <c r="D17" s="526" t="s">
        <v>1041</v>
      </c>
      <c r="E17" s="372">
        <v>80061</v>
      </c>
      <c r="F17" s="358">
        <f t="shared" si="1"/>
        <v>5086</v>
      </c>
      <c r="G17" s="359" t="b">
        <f t="shared" si="2"/>
        <v>0</v>
      </c>
    </row>
    <row r="18" spans="1:7">
      <c r="A18" s="527">
        <v>8912</v>
      </c>
      <c r="B18" s="354" t="str">
        <f t="shared" si="0"/>
        <v>1.31.15</v>
      </c>
      <c r="C18" s="375">
        <v>80061</v>
      </c>
      <c r="D18" s="528" t="s">
        <v>1040</v>
      </c>
      <c r="E18" s="377">
        <v>84985</v>
      </c>
      <c r="F18" s="358">
        <f t="shared" si="1"/>
        <v>4924</v>
      </c>
      <c r="G18" s="359" t="b">
        <f t="shared" si="2"/>
        <v>0</v>
      </c>
    </row>
    <row r="19" spans="1:7">
      <c r="A19" s="516">
        <v>8986</v>
      </c>
      <c r="B19" s="354" t="str">
        <f t="shared" si="0"/>
        <v>3.2.15</v>
      </c>
      <c r="C19" s="355">
        <v>84985</v>
      </c>
      <c r="D19" s="521" t="s">
        <v>1039</v>
      </c>
      <c r="E19" s="357">
        <v>90044</v>
      </c>
      <c r="F19" s="358">
        <f t="shared" si="1"/>
        <v>5059</v>
      </c>
      <c r="G19" s="359" t="b">
        <f t="shared" si="2"/>
        <v>0</v>
      </c>
    </row>
    <row r="20" spans="1:7">
      <c r="A20" s="516">
        <v>9051</v>
      </c>
      <c r="B20" s="354" t="str">
        <f t="shared" si="0"/>
        <v>4.3.15</v>
      </c>
      <c r="C20" s="355">
        <v>90044</v>
      </c>
      <c r="D20" s="521" t="s">
        <v>1038</v>
      </c>
      <c r="E20" s="357">
        <v>95210</v>
      </c>
      <c r="F20" s="358">
        <f t="shared" si="1"/>
        <v>5166</v>
      </c>
      <c r="G20" s="359" t="b">
        <f t="shared" si="2"/>
        <v>0</v>
      </c>
    </row>
    <row r="21" spans="1:7">
      <c r="A21" s="516">
        <v>9115</v>
      </c>
      <c r="B21" s="354" t="str">
        <f t="shared" si="0"/>
        <v>5.12.15</v>
      </c>
      <c r="C21" s="355">
        <v>95210</v>
      </c>
      <c r="D21" s="521" t="s">
        <v>1037</v>
      </c>
      <c r="E21" s="357">
        <v>100298</v>
      </c>
      <c r="F21" s="358">
        <f t="shared" si="1"/>
        <v>5088</v>
      </c>
      <c r="G21" s="359" t="b">
        <f t="shared" si="2"/>
        <v>0</v>
      </c>
    </row>
    <row r="22" spans="1:7">
      <c r="A22" s="516">
        <v>9187</v>
      </c>
      <c r="B22" s="354" t="str">
        <f t="shared" si="0"/>
        <v>6.23.15</v>
      </c>
      <c r="C22" s="355">
        <v>100298</v>
      </c>
      <c r="D22" s="521" t="s">
        <v>1036</v>
      </c>
      <c r="E22" s="357">
        <v>104944</v>
      </c>
      <c r="F22" s="358">
        <f t="shared" si="1"/>
        <v>4646</v>
      </c>
      <c r="G22" s="359" t="b">
        <f t="shared" si="2"/>
        <v>0</v>
      </c>
    </row>
    <row r="23" spans="1:7">
      <c r="A23" s="516">
        <v>9267</v>
      </c>
      <c r="B23" s="354" t="str">
        <f t="shared" si="0"/>
        <v>7.29.15</v>
      </c>
      <c r="C23" s="355">
        <v>104944</v>
      </c>
      <c r="D23" s="521" t="s">
        <v>814</v>
      </c>
      <c r="E23" s="357">
        <v>110167</v>
      </c>
      <c r="F23" s="358">
        <f t="shared" si="1"/>
        <v>5223</v>
      </c>
      <c r="G23" s="359" t="b">
        <f t="shared" si="2"/>
        <v>0</v>
      </c>
    </row>
    <row r="24" spans="1:7">
      <c r="A24" s="516">
        <v>9332</v>
      </c>
      <c r="B24" s="354" t="str">
        <f t="shared" si="0"/>
        <v>9.4.15</v>
      </c>
      <c r="C24" s="355">
        <v>110167</v>
      </c>
      <c r="D24" s="521" t="s">
        <v>1035</v>
      </c>
      <c r="E24" s="357">
        <v>114962</v>
      </c>
      <c r="F24" s="358">
        <f t="shared" si="1"/>
        <v>4795</v>
      </c>
      <c r="G24" s="359" t="b">
        <f t="shared" si="2"/>
        <v>0</v>
      </c>
    </row>
    <row r="25" spans="1:7">
      <c r="A25" s="516">
        <v>9410</v>
      </c>
      <c r="B25" s="354" t="str">
        <f t="shared" si="0"/>
        <v>10.12.15</v>
      </c>
      <c r="C25" s="355">
        <v>114962</v>
      </c>
      <c r="D25" s="521" t="s">
        <v>1034</v>
      </c>
      <c r="E25" s="357">
        <v>120001</v>
      </c>
      <c r="F25" s="358">
        <f t="shared" si="1"/>
        <v>5039</v>
      </c>
      <c r="G25" s="359" t="b">
        <f t="shared" si="2"/>
        <v>0</v>
      </c>
    </row>
    <row r="26" spans="1:7">
      <c r="A26" s="516">
        <v>9486</v>
      </c>
      <c r="B26" s="354" t="str">
        <f t="shared" si="0"/>
        <v>11.19.15</v>
      </c>
      <c r="C26" s="355">
        <v>120001</v>
      </c>
      <c r="D26" s="521" t="s">
        <v>1033</v>
      </c>
      <c r="E26" s="357">
        <v>125055</v>
      </c>
      <c r="F26" s="358">
        <f t="shared" si="1"/>
        <v>5054</v>
      </c>
      <c r="G26" s="359" t="b">
        <f t="shared" si="2"/>
        <v>0</v>
      </c>
    </row>
    <row r="27" spans="1:7">
      <c r="A27" s="516">
        <v>9568</v>
      </c>
      <c r="B27" s="354" t="str">
        <f t="shared" si="0"/>
        <v>1.2.16</v>
      </c>
      <c r="C27" s="355">
        <v>125055</v>
      </c>
      <c r="D27" s="521" t="s">
        <v>1032</v>
      </c>
      <c r="E27" s="357">
        <v>130096</v>
      </c>
      <c r="F27" s="358">
        <f t="shared" si="1"/>
        <v>5041</v>
      </c>
      <c r="G27" s="359" t="b">
        <f t="shared" si="2"/>
        <v>0</v>
      </c>
    </row>
    <row r="28" spans="1:7">
      <c r="A28" s="516">
        <v>9645</v>
      </c>
      <c r="B28" s="354" t="str">
        <f t="shared" si="0"/>
        <v>2.11.16</v>
      </c>
      <c r="C28" s="355">
        <v>130086</v>
      </c>
      <c r="D28" s="521" t="s">
        <v>1031</v>
      </c>
      <c r="E28" s="357">
        <v>134892</v>
      </c>
      <c r="F28" s="358">
        <f t="shared" si="1"/>
        <v>4796</v>
      </c>
      <c r="G28" s="359" t="b">
        <f t="shared" si="2"/>
        <v>0</v>
      </c>
    </row>
    <row r="29" spans="1:7">
      <c r="A29" s="516">
        <v>9722</v>
      </c>
      <c r="B29" s="354" t="str">
        <f t="shared" si="0"/>
        <v>3.17.16</v>
      </c>
      <c r="C29" s="355">
        <v>134892</v>
      </c>
      <c r="D29" s="521" t="s">
        <v>268</v>
      </c>
      <c r="E29" s="357">
        <v>139880</v>
      </c>
      <c r="F29" s="358">
        <f t="shared" si="1"/>
        <v>4988</v>
      </c>
      <c r="G29" s="359" t="b">
        <f t="shared" si="2"/>
        <v>0</v>
      </c>
    </row>
    <row r="30" spans="1:7">
      <c r="A30" s="516">
        <v>9788</v>
      </c>
      <c r="B30" s="354" t="str">
        <f t="shared" si="0"/>
        <v>4.29.16</v>
      </c>
      <c r="C30" s="355">
        <v>139880</v>
      </c>
      <c r="D30" s="521" t="s">
        <v>1030</v>
      </c>
      <c r="E30" s="357">
        <v>144545</v>
      </c>
      <c r="F30" s="358">
        <f t="shared" si="1"/>
        <v>4665</v>
      </c>
      <c r="G30" s="359" t="b">
        <f t="shared" si="2"/>
        <v>0</v>
      </c>
    </row>
    <row r="31" spans="1:7">
      <c r="A31" s="516">
        <v>9858</v>
      </c>
      <c r="B31" s="354" t="str">
        <f t="shared" si="0"/>
        <v>6.11.16</v>
      </c>
      <c r="C31" s="355">
        <v>144545</v>
      </c>
      <c r="D31" s="521" t="s">
        <v>1029</v>
      </c>
      <c r="E31" s="357">
        <v>149792</v>
      </c>
      <c r="F31" s="358">
        <f t="shared" si="1"/>
        <v>5247</v>
      </c>
      <c r="G31" s="359" t="b">
        <f t="shared" si="2"/>
        <v>0</v>
      </c>
    </row>
    <row r="32" spans="1:7">
      <c r="A32" s="516">
        <v>9943</v>
      </c>
      <c r="B32" s="354" t="str">
        <f t="shared" si="0"/>
        <v>8.1.16</v>
      </c>
      <c r="C32" s="355">
        <v>149792</v>
      </c>
      <c r="D32" s="521" t="s">
        <v>1028</v>
      </c>
      <c r="E32" s="357">
        <v>154864</v>
      </c>
      <c r="F32" s="358">
        <f t="shared" si="1"/>
        <v>5072</v>
      </c>
      <c r="G32" s="359" t="b">
        <f t="shared" si="2"/>
        <v>0</v>
      </c>
    </row>
    <row r="33" spans="1:7">
      <c r="A33" s="516">
        <v>10046</v>
      </c>
      <c r="B33" s="354" t="str">
        <f t="shared" si="0"/>
        <v>9.17.16</v>
      </c>
      <c r="C33" s="355">
        <v>154864</v>
      </c>
      <c r="D33" s="521" t="s">
        <v>1027</v>
      </c>
      <c r="E33" s="357">
        <v>159858</v>
      </c>
      <c r="F33" s="358">
        <f t="shared" si="1"/>
        <v>4994</v>
      </c>
      <c r="G33" s="359" t="b">
        <f t="shared" si="2"/>
        <v>0</v>
      </c>
    </row>
    <row r="34" spans="1:7">
      <c r="A34" s="516">
        <v>10121</v>
      </c>
      <c r="B34" s="354" t="str">
        <f t="shared" si="0"/>
        <v>10.31.16</v>
      </c>
      <c r="C34" s="355">
        <v>159858</v>
      </c>
      <c r="D34" s="521" t="s">
        <v>1026</v>
      </c>
      <c r="E34" s="357">
        <v>164955</v>
      </c>
      <c r="F34" s="358">
        <f t="shared" si="1"/>
        <v>5097</v>
      </c>
      <c r="G34" s="359" t="b">
        <f t="shared" si="2"/>
        <v>0</v>
      </c>
    </row>
    <row r="35" spans="1:7">
      <c r="A35" s="516"/>
      <c r="B35" s="354" t="str">
        <f t="shared" si="0"/>
        <v>12.21.16</v>
      </c>
      <c r="C35" s="355">
        <v>164955</v>
      </c>
      <c r="D35" s="521" t="s">
        <v>1025</v>
      </c>
      <c r="E35" s="357">
        <v>169934</v>
      </c>
      <c r="F35" s="358">
        <f t="shared" si="1"/>
        <v>4979</v>
      </c>
      <c r="G35" s="359" t="b">
        <f t="shared" si="2"/>
        <v>0</v>
      </c>
    </row>
    <row r="36" spans="1:7">
      <c r="A36" s="516">
        <v>10281</v>
      </c>
      <c r="B36" s="354" t="str">
        <f t="shared" si="0"/>
        <v>2.4.17</v>
      </c>
      <c r="C36" s="355">
        <v>169934</v>
      </c>
      <c r="D36" s="521" t="s">
        <v>601</v>
      </c>
      <c r="E36" s="357">
        <v>174926</v>
      </c>
      <c r="F36" s="358">
        <f t="shared" si="1"/>
        <v>4992</v>
      </c>
      <c r="G36" s="359" t="b">
        <f t="shared" si="2"/>
        <v>0</v>
      </c>
    </row>
    <row r="37" spans="1:7">
      <c r="A37" s="516">
        <v>10412</v>
      </c>
      <c r="B37" s="354" t="str">
        <f t="shared" si="0"/>
        <v>4.13.17</v>
      </c>
      <c r="C37" s="355">
        <v>174926</v>
      </c>
      <c r="D37" s="521" t="s">
        <v>1024</v>
      </c>
      <c r="E37" s="357">
        <v>179835</v>
      </c>
      <c r="F37" s="358">
        <f t="shared" si="1"/>
        <v>4909</v>
      </c>
      <c r="G37" s="359" t="b">
        <f t="shared" si="2"/>
        <v>0</v>
      </c>
    </row>
    <row r="38" spans="1:7">
      <c r="A38" s="516">
        <v>10551</v>
      </c>
      <c r="B38" s="354" t="str">
        <f t="shared" si="0"/>
        <v>6.12.17</v>
      </c>
      <c r="C38" s="355">
        <v>179835</v>
      </c>
      <c r="D38" s="521"/>
      <c r="E38" s="357"/>
      <c r="F38" s="358">
        <f t="shared" si="1"/>
        <v>-179835</v>
      </c>
      <c r="G38" s="359" t="b">
        <f t="shared" si="2"/>
        <v>0</v>
      </c>
    </row>
    <row r="40" spans="1:7" ht="13.5" thickBot="1">
      <c r="A40" s="509" t="s">
        <v>836</v>
      </c>
    </row>
    <row r="41" spans="1:7">
      <c r="A41" s="278" t="s">
        <v>155</v>
      </c>
      <c r="B41" s="279" t="s">
        <v>154</v>
      </c>
      <c r="C41" s="280"/>
      <c r="D41" s="279" t="s">
        <v>153</v>
      </c>
      <c r="E41" s="280"/>
      <c r="F41" s="279" t="s">
        <v>152</v>
      </c>
      <c r="G41" s="280"/>
    </row>
    <row r="42" spans="1:7">
      <c r="A42" s="516"/>
      <c r="B42" s="517"/>
      <c r="C42" s="361"/>
      <c r="D42" s="518" t="s">
        <v>1024</v>
      </c>
      <c r="E42" s="352">
        <v>179835</v>
      </c>
      <c r="F42" s="519"/>
      <c r="G42" s="520"/>
    </row>
    <row r="43" spans="1:7">
      <c r="A43" s="516"/>
      <c r="B43" s="354" t="str">
        <f t="shared" ref="B43:B78" si="3">D42</f>
        <v>6.12.17</v>
      </c>
      <c r="C43" s="355">
        <v>179835</v>
      </c>
      <c r="D43" s="521" t="s">
        <v>1062</v>
      </c>
      <c r="E43" s="357">
        <v>184941</v>
      </c>
      <c r="F43" s="358">
        <f t="shared" ref="F43:F78" si="4">SUM(E43-E42)</f>
        <v>5106</v>
      </c>
      <c r="G43" s="359" t="b">
        <f t="shared" ref="G43:G78" si="5">IF(F43&gt;5250,"OVER")</f>
        <v>0</v>
      </c>
    </row>
    <row r="44" spans="1:7">
      <c r="A44" s="516">
        <v>10714</v>
      </c>
      <c r="B44" s="354" t="str">
        <f t="shared" si="3"/>
        <v>8.15.17</v>
      </c>
      <c r="C44" s="355">
        <v>184941</v>
      </c>
      <c r="D44" s="521" t="s">
        <v>1705</v>
      </c>
      <c r="E44" s="357">
        <v>189687</v>
      </c>
      <c r="F44" s="358">
        <f t="shared" si="4"/>
        <v>4746</v>
      </c>
      <c r="G44" s="359" t="b">
        <f t="shared" si="5"/>
        <v>0</v>
      </c>
    </row>
    <row r="45" spans="1:7">
      <c r="A45" s="516">
        <v>10866</v>
      </c>
      <c r="B45" s="354" t="str">
        <f t="shared" si="3"/>
        <v>10.12.17</v>
      </c>
      <c r="C45" s="355">
        <v>189687</v>
      </c>
      <c r="D45" s="521"/>
      <c r="E45" s="357"/>
      <c r="F45" s="358">
        <f t="shared" si="4"/>
        <v>-189687</v>
      </c>
      <c r="G45" s="359" t="b">
        <f t="shared" si="5"/>
        <v>0</v>
      </c>
    </row>
    <row r="46" spans="1:7">
      <c r="A46" s="516"/>
      <c r="B46" s="354">
        <f t="shared" si="3"/>
        <v>0</v>
      </c>
      <c r="C46" s="355"/>
      <c r="D46" s="521"/>
      <c r="E46" s="357"/>
      <c r="F46" s="358">
        <f t="shared" si="4"/>
        <v>0</v>
      </c>
      <c r="G46" s="359" t="b">
        <f t="shared" si="5"/>
        <v>0</v>
      </c>
    </row>
    <row r="47" spans="1:7">
      <c r="A47" s="516"/>
      <c r="B47" s="354">
        <f t="shared" si="3"/>
        <v>0</v>
      </c>
      <c r="C47" s="355"/>
      <c r="D47" s="521"/>
      <c r="E47" s="357"/>
      <c r="F47" s="358">
        <f t="shared" si="4"/>
        <v>0</v>
      </c>
      <c r="G47" s="359" t="b">
        <f t="shared" si="5"/>
        <v>0</v>
      </c>
    </row>
    <row r="48" spans="1:7">
      <c r="A48" s="516"/>
      <c r="B48" s="354">
        <f t="shared" si="3"/>
        <v>0</v>
      </c>
      <c r="C48" s="355"/>
      <c r="D48" s="521"/>
      <c r="E48" s="357"/>
      <c r="F48" s="358">
        <f t="shared" si="4"/>
        <v>0</v>
      </c>
      <c r="G48" s="359" t="b">
        <f t="shared" si="5"/>
        <v>0</v>
      </c>
    </row>
    <row r="49" spans="1:7">
      <c r="A49" s="516"/>
      <c r="B49" s="354">
        <f t="shared" si="3"/>
        <v>0</v>
      </c>
      <c r="C49" s="355"/>
      <c r="D49" s="521"/>
      <c r="E49" s="357"/>
      <c r="F49" s="358">
        <f t="shared" si="4"/>
        <v>0</v>
      </c>
      <c r="G49" s="359" t="b">
        <f t="shared" si="5"/>
        <v>0</v>
      </c>
    </row>
    <row r="50" spans="1:7">
      <c r="A50" s="516"/>
      <c r="B50" s="354">
        <f t="shared" si="3"/>
        <v>0</v>
      </c>
      <c r="C50" s="355"/>
      <c r="D50" s="521"/>
      <c r="E50" s="357"/>
      <c r="F50" s="358">
        <f t="shared" si="4"/>
        <v>0</v>
      </c>
      <c r="G50" s="359" t="b">
        <f t="shared" si="5"/>
        <v>0</v>
      </c>
    </row>
    <row r="51" spans="1:7">
      <c r="A51" s="516"/>
      <c r="B51" s="354">
        <f t="shared" si="3"/>
        <v>0</v>
      </c>
      <c r="C51" s="355"/>
      <c r="D51" s="521"/>
      <c r="E51" s="357"/>
      <c r="F51" s="358">
        <f t="shared" si="4"/>
        <v>0</v>
      </c>
      <c r="G51" s="359" t="b">
        <f t="shared" si="5"/>
        <v>0</v>
      </c>
    </row>
    <row r="52" spans="1:7">
      <c r="A52" s="516"/>
      <c r="B52" s="354">
        <f t="shared" si="3"/>
        <v>0</v>
      </c>
      <c r="C52" s="355"/>
      <c r="D52" s="521"/>
      <c r="E52" s="357"/>
      <c r="F52" s="358">
        <f t="shared" si="4"/>
        <v>0</v>
      </c>
      <c r="G52" s="359" t="b">
        <f t="shared" si="5"/>
        <v>0</v>
      </c>
    </row>
    <row r="53" spans="1:7">
      <c r="A53" s="516"/>
      <c r="B53" s="354">
        <f t="shared" si="3"/>
        <v>0</v>
      </c>
      <c r="C53" s="355"/>
      <c r="D53" s="521"/>
      <c r="E53" s="357"/>
      <c r="F53" s="358">
        <f t="shared" si="4"/>
        <v>0</v>
      </c>
      <c r="G53" s="359" t="b">
        <f t="shared" si="5"/>
        <v>0</v>
      </c>
    </row>
    <row r="54" spans="1:7">
      <c r="A54" s="516"/>
      <c r="B54" s="354">
        <f t="shared" si="3"/>
        <v>0</v>
      </c>
      <c r="C54" s="355"/>
      <c r="D54" s="521"/>
      <c r="E54" s="357"/>
      <c r="F54" s="358">
        <f t="shared" si="4"/>
        <v>0</v>
      </c>
      <c r="G54" s="359" t="b">
        <f t="shared" si="5"/>
        <v>0</v>
      </c>
    </row>
    <row r="55" spans="1:7">
      <c r="A55" s="516"/>
      <c r="B55" s="354">
        <f t="shared" si="3"/>
        <v>0</v>
      </c>
      <c r="C55" s="361"/>
      <c r="D55" s="522"/>
      <c r="E55" s="363"/>
      <c r="F55" s="358">
        <f t="shared" si="4"/>
        <v>0</v>
      </c>
      <c r="G55" s="359" t="b">
        <f t="shared" si="5"/>
        <v>0</v>
      </c>
    </row>
    <row r="56" spans="1:7" ht="13.5" thickBot="1">
      <c r="A56" s="523"/>
      <c r="B56" s="354">
        <f t="shared" si="3"/>
        <v>0</v>
      </c>
      <c r="C56" s="365"/>
      <c r="D56" s="524"/>
      <c r="E56" s="367"/>
      <c r="F56" s="358">
        <f t="shared" si="4"/>
        <v>0</v>
      </c>
      <c r="G56" s="359" t="b">
        <f t="shared" si="5"/>
        <v>0</v>
      </c>
    </row>
    <row r="57" spans="1:7" ht="13.5" thickBot="1">
      <c r="A57" s="525"/>
      <c r="B57" s="354">
        <f t="shared" si="3"/>
        <v>0</v>
      </c>
      <c r="C57" s="370"/>
      <c r="D57" s="526"/>
      <c r="E57" s="372"/>
      <c r="F57" s="358">
        <f t="shared" si="4"/>
        <v>0</v>
      </c>
      <c r="G57" s="359" t="b">
        <f t="shared" si="5"/>
        <v>0</v>
      </c>
    </row>
    <row r="58" spans="1:7">
      <c r="A58" s="527"/>
      <c r="B58" s="354">
        <f t="shared" si="3"/>
        <v>0</v>
      </c>
      <c r="C58" s="375"/>
      <c r="D58" s="528"/>
      <c r="E58" s="377"/>
      <c r="F58" s="358">
        <f t="shared" si="4"/>
        <v>0</v>
      </c>
      <c r="G58" s="359" t="b">
        <f t="shared" si="5"/>
        <v>0</v>
      </c>
    </row>
    <row r="59" spans="1:7">
      <c r="A59" s="516"/>
      <c r="B59" s="354">
        <f t="shared" si="3"/>
        <v>0</v>
      </c>
      <c r="C59" s="355"/>
      <c r="D59" s="521"/>
      <c r="E59" s="357"/>
      <c r="F59" s="358">
        <f t="shared" si="4"/>
        <v>0</v>
      </c>
      <c r="G59" s="359" t="b">
        <f t="shared" si="5"/>
        <v>0</v>
      </c>
    </row>
    <row r="60" spans="1:7">
      <c r="A60" s="516"/>
      <c r="B60" s="354">
        <f t="shared" si="3"/>
        <v>0</v>
      </c>
      <c r="C60" s="355"/>
      <c r="D60" s="521"/>
      <c r="E60" s="357"/>
      <c r="F60" s="358">
        <f t="shared" si="4"/>
        <v>0</v>
      </c>
      <c r="G60" s="359" t="b">
        <f t="shared" si="5"/>
        <v>0</v>
      </c>
    </row>
    <row r="61" spans="1:7">
      <c r="A61" s="516"/>
      <c r="B61" s="354">
        <f t="shared" si="3"/>
        <v>0</v>
      </c>
      <c r="C61" s="355"/>
      <c r="D61" s="521"/>
      <c r="E61" s="357"/>
      <c r="F61" s="358">
        <f t="shared" si="4"/>
        <v>0</v>
      </c>
      <c r="G61" s="359" t="b">
        <f t="shared" si="5"/>
        <v>0</v>
      </c>
    </row>
    <row r="62" spans="1:7">
      <c r="A62" s="516"/>
      <c r="B62" s="354">
        <f t="shared" si="3"/>
        <v>0</v>
      </c>
      <c r="C62" s="355"/>
      <c r="D62" s="521"/>
      <c r="E62" s="357"/>
      <c r="F62" s="358">
        <f t="shared" si="4"/>
        <v>0</v>
      </c>
      <c r="G62" s="359" t="b">
        <f t="shared" si="5"/>
        <v>0</v>
      </c>
    </row>
    <row r="63" spans="1:7">
      <c r="A63" s="516"/>
      <c r="B63" s="354">
        <f t="shared" si="3"/>
        <v>0</v>
      </c>
      <c r="C63" s="355"/>
      <c r="D63" s="521"/>
      <c r="E63" s="357"/>
      <c r="F63" s="358">
        <f t="shared" si="4"/>
        <v>0</v>
      </c>
      <c r="G63" s="359" t="b">
        <f t="shared" si="5"/>
        <v>0</v>
      </c>
    </row>
    <row r="64" spans="1:7">
      <c r="A64" s="516"/>
      <c r="B64" s="354">
        <f t="shared" si="3"/>
        <v>0</v>
      </c>
      <c r="C64" s="355"/>
      <c r="D64" s="521"/>
      <c r="E64" s="357"/>
      <c r="F64" s="358">
        <f t="shared" si="4"/>
        <v>0</v>
      </c>
      <c r="G64" s="359" t="b">
        <f t="shared" si="5"/>
        <v>0</v>
      </c>
    </row>
    <row r="65" spans="1:7">
      <c r="A65" s="516"/>
      <c r="B65" s="354">
        <f t="shared" si="3"/>
        <v>0</v>
      </c>
      <c r="C65" s="355"/>
      <c r="D65" s="521"/>
      <c r="E65" s="357"/>
      <c r="F65" s="358">
        <f t="shared" si="4"/>
        <v>0</v>
      </c>
      <c r="G65" s="359" t="b">
        <f t="shared" si="5"/>
        <v>0</v>
      </c>
    </row>
    <row r="66" spans="1:7">
      <c r="A66" s="516"/>
      <c r="B66" s="354">
        <f t="shared" si="3"/>
        <v>0</v>
      </c>
      <c r="C66" s="355"/>
      <c r="D66" s="521"/>
      <c r="E66" s="357"/>
      <c r="F66" s="358">
        <f t="shared" si="4"/>
        <v>0</v>
      </c>
      <c r="G66" s="359" t="b">
        <f t="shared" si="5"/>
        <v>0</v>
      </c>
    </row>
    <row r="67" spans="1:7">
      <c r="A67" s="516"/>
      <c r="B67" s="354">
        <f t="shared" si="3"/>
        <v>0</v>
      </c>
      <c r="C67" s="355"/>
      <c r="D67" s="521"/>
      <c r="E67" s="357"/>
      <c r="F67" s="358">
        <f t="shared" si="4"/>
        <v>0</v>
      </c>
      <c r="G67" s="359" t="b">
        <f t="shared" si="5"/>
        <v>0</v>
      </c>
    </row>
    <row r="68" spans="1:7">
      <c r="A68" s="516"/>
      <c r="B68" s="354">
        <f t="shared" si="3"/>
        <v>0</v>
      </c>
      <c r="C68" s="355"/>
      <c r="D68" s="521"/>
      <c r="E68" s="357"/>
      <c r="F68" s="358">
        <f t="shared" si="4"/>
        <v>0</v>
      </c>
      <c r="G68" s="359" t="b">
        <f t="shared" si="5"/>
        <v>0</v>
      </c>
    </row>
    <row r="69" spans="1:7">
      <c r="A69" s="516"/>
      <c r="B69" s="354">
        <f t="shared" si="3"/>
        <v>0</v>
      </c>
      <c r="C69" s="355"/>
      <c r="D69" s="521"/>
      <c r="E69" s="357"/>
      <c r="F69" s="358">
        <f t="shared" si="4"/>
        <v>0</v>
      </c>
      <c r="G69" s="359" t="b">
        <f t="shared" si="5"/>
        <v>0</v>
      </c>
    </row>
    <row r="70" spans="1:7">
      <c r="A70" s="516"/>
      <c r="B70" s="354">
        <f t="shared" si="3"/>
        <v>0</v>
      </c>
      <c r="C70" s="355"/>
      <c r="D70" s="521"/>
      <c r="E70" s="357"/>
      <c r="F70" s="358">
        <f t="shared" si="4"/>
        <v>0</v>
      </c>
      <c r="G70" s="359" t="b">
        <f t="shared" si="5"/>
        <v>0</v>
      </c>
    </row>
    <row r="71" spans="1:7">
      <c r="A71" s="516"/>
      <c r="B71" s="354">
        <f t="shared" si="3"/>
        <v>0</v>
      </c>
      <c r="C71" s="355"/>
      <c r="D71" s="521"/>
      <c r="E71" s="357"/>
      <c r="F71" s="358">
        <f t="shared" si="4"/>
        <v>0</v>
      </c>
      <c r="G71" s="359" t="b">
        <f t="shared" si="5"/>
        <v>0</v>
      </c>
    </row>
    <row r="72" spans="1:7">
      <c r="A72" s="516"/>
      <c r="B72" s="354">
        <f t="shared" si="3"/>
        <v>0</v>
      </c>
      <c r="C72" s="355"/>
      <c r="D72" s="521"/>
      <c r="E72" s="357"/>
      <c r="F72" s="358">
        <f t="shared" si="4"/>
        <v>0</v>
      </c>
      <c r="G72" s="359" t="b">
        <f t="shared" si="5"/>
        <v>0</v>
      </c>
    </row>
    <row r="73" spans="1:7">
      <c r="A73" s="516"/>
      <c r="B73" s="354">
        <f t="shared" si="3"/>
        <v>0</v>
      </c>
      <c r="C73" s="355"/>
      <c r="D73" s="521"/>
      <c r="E73" s="357"/>
      <c r="F73" s="358">
        <f t="shared" si="4"/>
        <v>0</v>
      </c>
      <c r="G73" s="359" t="b">
        <f t="shared" si="5"/>
        <v>0</v>
      </c>
    </row>
    <row r="74" spans="1:7">
      <c r="A74" s="516"/>
      <c r="B74" s="354">
        <f t="shared" si="3"/>
        <v>0</v>
      </c>
      <c r="C74" s="355"/>
      <c r="D74" s="521"/>
      <c r="E74" s="357"/>
      <c r="F74" s="358">
        <f t="shared" si="4"/>
        <v>0</v>
      </c>
      <c r="G74" s="359" t="b">
        <f t="shared" si="5"/>
        <v>0</v>
      </c>
    </row>
    <row r="75" spans="1:7">
      <c r="A75" s="516"/>
      <c r="B75" s="354">
        <f t="shared" si="3"/>
        <v>0</v>
      </c>
      <c r="C75" s="355"/>
      <c r="D75" s="521"/>
      <c r="E75" s="357"/>
      <c r="F75" s="358">
        <f t="shared" si="4"/>
        <v>0</v>
      </c>
      <c r="G75" s="359" t="b">
        <f t="shared" si="5"/>
        <v>0</v>
      </c>
    </row>
    <row r="76" spans="1:7">
      <c r="A76" s="516"/>
      <c r="B76" s="354">
        <f t="shared" si="3"/>
        <v>0</v>
      </c>
      <c r="C76" s="355"/>
      <c r="D76" s="521"/>
      <c r="E76" s="357"/>
      <c r="F76" s="358">
        <f t="shared" si="4"/>
        <v>0</v>
      </c>
      <c r="G76" s="359" t="b">
        <f t="shared" si="5"/>
        <v>0</v>
      </c>
    </row>
    <row r="77" spans="1:7">
      <c r="A77" s="516"/>
      <c r="B77" s="354">
        <f t="shared" si="3"/>
        <v>0</v>
      </c>
      <c r="C77" s="355"/>
      <c r="D77" s="521"/>
      <c r="E77" s="357"/>
      <c r="F77" s="358">
        <f t="shared" si="4"/>
        <v>0</v>
      </c>
      <c r="G77" s="359" t="b">
        <f t="shared" si="5"/>
        <v>0</v>
      </c>
    </row>
    <row r="78" spans="1:7">
      <c r="A78" s="516"/>
      <c r="B78" s="354">
        <f t="shared" si="3"/>
        <v>0</v>
      </c>
      <c r="C78" s="355"/>
      <c r="D78" s="521"/>
      <c r="E78" s="357"/>
      <c r="F78" s="358">
        <f t="shared" si="4"/>
        <v>0</v>
      </c>
      <c r="G78" s="359" t="b">
        <f t="shared" si="5"/>
        <v>0</v>
      </c>
    </row>
  </sheetData>
  <mergeCells count="6">
    <mergeCell ref="B1:C1"/>
    <mergeCell ref="D1:E1"/>
    <mergeCell ref="F1:G1"/>
    <mergeCell ref="B41:C41"/>
    <mergeCell ref="D41:E41"/>
    <mergeCell ref="F41:G4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P20"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'[16]Projected Maint Practices'!Q7</f>
        <v>4913</v>
      </c>
      <c r="D6" s="264">
        <f>'[16]True Maint Practices'!Q7</f>
        <v>3679</v>
      </c>
    </row>
    <row r="7" spans="1:6" ht="15">
      <c r="B7" s="263">
        <v>2</v>
      </c>
      <c r="C7" s="264">
        <f>'[16]Projected Maint Practices'!Q8</f>
        <v>4913</v>
      </c>
      <c r="D7" s="264">
        <f>'[16]True Maint Practices'!Q8</f>
        <v>5073.5</v>
      </c>
    </row>
    <row r="8" spans="1:6" ht="15">
      <c r="B8" s="263">
        <v>3</v>
      </c>
      <c r="C8" s="264">
        <f>'[16]Projected Maint Practices'!Q9</f>
        <v>4913</v>
      </c>
      <c r="D8" s="264">
        <f>'[16]True Maint Practices'!Q9</f>
        <v>5781</v>
      </c>
    </row>
    <row r="9" spans="1:6" ht="15">
      <c r="B9" s="263">
        <v>4</v>
      </c>
      <c r="C9" s="264">
        <f>'[16]Projected Maint Practices'!Q10</f>
        <v>4913</v>
      </c>
      <c r="D9" s="264">
        <f>'[16]True Maint Practices'!Q10</f>
        <v>11517</v>
      </c>
    </row>
    <row r="10" spans="1:6" ht="15">
      <c r="B10" s="263">
        <v>5</v>
      </c>
      <c r="C10" s="264">
        <f>'[16]Projected Maint Practices'!Q11</f>
        <v>17239.669999999998</v>
      </c>
      <c r="D10" s="264">
        <f>'[16]True Maint Practices'!Q11</f>
        <v>1640.5</v>
      </c>
    </row>
    <row r="11" spans="1:6" ht="15">
      <c r="B11" s="263">
        <v>6</v>
      </c>
      <c r="C11" s="264">
        <f>'[16]Projected Maint Practices'!Q12</f>
        <v>4913</v>
      </c>
      <c r="D11" s="264">
        <f>'[16]True Maint Practices'!Q12</f>
        <v>0</v>
      </c>
    </row>
    <row r="12" spans="1:6" ht="15">
      <c r="B12" s="263">
        <v>7</v>
      </c>
      <c r="C12" s="264">
        <f>'[16]Projected Maint Practices'!Q13</f>
        <v>4913</v>
      </c>
      <c r="D12" s="264">
        <f>'[16]True Maint Practices'!Q13</f>
        <v>0</v>
      </c>
    </row>
    <row r="13" spans="1:6" ht="15">
      <c r="B13" s="263">
        <v>8</v>
      </c>
      <c r="C13" s="264">
        <f>'[16]Projected Maint Practices'!Q14</f>
        <v>4913</v>
      </c>
      <c r="D13" s="264">
        <f>'[16]True Maint Practices'!Q14</f>
        <v>0</v>
      </c>
    </row>
    <row r="14" spans="1:6" ht="15">
      <c r="B14" s="263">
        <v>9</v>
      </c>
      <c r="C14" s="264">
        <f>'[16]Projected Maint Practices'!Q15</f>
        <v>4913</v>
      </c>
      <c r="D14" s="264">
        <f>'[16]True Maint Practices'!Q15</f>
        <v>0</v>
      </c>
    </row>
    <row r="15" spans="1:6" ht="15">
      <c r="B15" s="263">
        <v>10</v>
      </c>
      <c r="C15" s="264">
        <f>'[16]Projected Maint Practices'!Q16</f>
        <v>4913</v>
      </c>
      <c r="D15" s="264">
        <f>'[16]True Maint Practices'!Q16</f>
        <v>0</v>
      </c>
    </row>
    <row r="16" spans="1:6" ht="15">
      <c r="B16" s="263">
        <v>11</v>
      </c>
      <c r="C16" s="264">
        <f>'[16]Projected Maint Practices'!Q17</f>
        <v>4913</v>
      </c>
      <c r="D16" s="264">
        <f>'[16]True Maint Practices'!Q17</f>
        <v>0</v>
      </c>
    </row>
    <row r="17" spans="2:4" ht="15">
      <c r="B17" s="263">
        <v>12</v>
      </c>
      <c r="C17" s="264">
        <f>'[16]Projected Maint Practices'!Q18</f>
        <v>4913</v>
      </c>
      <c r="D17" s="264">
        <f>'[16]True Maint Practices'!Q18</f>
        <v>0</v>
      </c>
    </row>
    <row r="18" spans="2:4" ht="15">
      <c r="B18" s="260" t="s">
        <v>1</v>
      </c>
      <c r="C18" s="264">
        <f>SUM(C6:C17)</f>
        <v>71282.67</v>
      </c>
      <c r="D18" s="264">
        <f>SUM(D6:D17)</f>
        <v>27691</v>
      </c>
    </row>
  </sheetData>
  <printOptions horizontalCentered="1" verticalCentered="1"/>
  <pageMargins left="0.5" right="0.5" top="0.75" bottom="0.75" header="0.5" footer="0.5"/>
  <pageSetup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3"/>
  <sheetViews>
    <sheetView showGridLines="0" topLeftCell="A53" zoomScaleNormal="100" workbookViewId="0">
      <selection activeCell="E57" sqref="A1:XFD1048576"/>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s="1" customFormat="1" ht="16.5" customHeight="1">
      <c r="B1" s="43"/>
      <c r="C1" s="43"/>
      <c r="D1" s="43"/>
      <c r="E1" s="43"/>
      <c r="F1" s="43"/>
      <c r="G1" s="43"/>
      <c r="H1" s="43"/>
      <c r="I1" s="43"/>
      <c r="J1" s="43"/>
      <c r="K1" s="43"/>
      <c r="L1" s="43"/>
      <c r="M1" s="43"/>
      <c r="N1" s="43"/>
      <c r="O1" s="43"/>
      <c r="P1" s="43"/>
    </row>
    <row r="2" spans="2:22" s="1" customFormat="1" ht="31.5" customHeight="1">
      <c r="B2" s="404" t="s">
        <v>1793</v>
      </c>
      <c r="C2" s="43"/>
      <c r="D2" s="43"/>
      <c r="E2" s="43"/>
      <c r="F2" s="43"/>
      <c r="G2" s="43"/>
      <c r="H2" s="43"/>
      <c r="I2" s="43"/>
      <c r="J2" s="43"/>
      <c r="K2" s="43"/>
      <c r="L2" s="43"/>
      <c r="M2" s="43"/>
      <c r="N2" s="43"/>
      <c r="O2" s="43" t="s">
        <v>233</v>
      </c>
      <c r="P2" s="43"/>
    </row>
    <row r="3" spans="2:22" s="1" customFormat="1" ht="16.5" customHeight="1">
      <c r="B3" s="43"/>
      <c r="C3" s="43"/>
      <c r="D3" s="43"/>
      <c r="E3" s="43"/>
      <c r="F3" s="43"/>
      <c r="G3" s="43"/>
      <c r="H3" s="43"/>
      <c r="I3" s="43"/>
      <c r="J3" s="43"/>
      <c r="K3" s="43"/>
      <c r="L3" s="43"/>
      <c r="M3" s="43"/>
      <c r="N3" s="43"/>
      <c r="O3" s="43"/>
      <c r="P3" s="43"/>
    </row>
    <row r="12" spans="2:22" s="1" customFormat="1" ht="16.5" customHeight="1">
      <c r="V12" s="1" t="s">
        <v>32</v>
      </c>
    </row>
    <row r="18" spans="2:16" s="1" customFormat="1"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s="1" customFormat="1" ht="16.5" customHeight="1">
      <c r="B19" s="101" t="s">
        <v>17</v>
      </c>
      <c r="C19" s="8"/>
      <c r="D19" s="8"/>
      <c r="E19" s="8"/>
      <c r="F19" s="8"/>
      <c r="G19" s="8"/>
      <c r="H19" s="8"/>
      <c r="I19" s="8"/>
      <c r="J19" s="8">
        <v>185.17</v>
      </c>
      <c r="K19" s="8">
        <v>255.55</v>
      </c>
      <c r="L19" s="8"/>
      <c r="M19" s="30"/>
      <c r="N19" s="8"/>
      <c r="O19" s="4">
        <f t="shared" ref="O19:O38" si="0">SUM(C19:N19)</f>
        <v>440.72</v>
      </c>
      <c r="P19" s="102"/>
    </row>
    <row r="20" spans="2:16" s="1" customFormat="1" ht="16.5" customHeight="1">
      <c r="B20" s="101" t="s">
        <v>16</v>
      </c>
      <c r="C20" s="8"/>
      <c r="D20" s="8"/>
      <c r="E20" s="8"/>
      <c r="F20" s="8"/>
      <c r="G20" s="8"/>
      <c r="H20" s="8"/>
      <c r="I20" s="8"/>
      <c r="J20" s="8"/>
      <c r="K20" s="8"/>
      <c r="L20" s="8"/>
      <c r="M20" s="30"/>
      <c r="N20" s="8"/>
      <c r="O20" s="4">
        <f t="shared" si="0"/>
        <v>0</v>
      </c>
      <c r="P20" s="102"/>
    </row>
    <row r="21" spans="2:16" s="1" customFormat="1" ht="16.5" customHeight="1">
      <c r="B21" s="101" t="s">
        <v>15</v>
      </c>
      <c r="C21" s="8"/>
      <c r="D21" s="8"/>
      <c r="E21" s="8"/>
      <c r="F21" s="8"/>
      <c r="G21" s="8"/>
      <c r="H21" s="8"/>
      <c r="I21" s="8"/>
      <c r="J21" s="8"/>
      <c r="K21" s="8"/>
      <c r="L21" s="8"/>
      <c r="M21" s="30"/>
      <c r="N21" s="8"/>
      <c r="O21" s="4">
        <f t="shared" si="0"/>
        <v>0</v>
      </c>
      <c r="P21" s="102"/>
    </row>
    <row r="22" spans="2:16" s="1" customFormat="1" ht="16.5" customHeight="1">
      <c r="B22" s="101" t="s">
        <v>14</v>
      </c>
      <c r="C22" s="8"/>
      <c r="D22" s="8"/>
      <c r="E22" s="8"/>
      <c r="F22" s="8"/>
      <c r="G22" s="8"/>
      <c r="H22" s="8"/>
      <c r="I22" s="8"/>
      <c r="J22" s="8"/>
      <c r="K22" s="8"/>
      <c r="L22" s="8"/>
      <c r="M22" s="30"/>
      <c r="N22" s="8"/>
      <c r="O22" s="4">
        <f t="shared" si="0"/>
        <v>0</v>
      </c>
      <c r="P22" s="102"/>
    </row>
    <row r="23" spans="2:16" s="1" customFormat="1" ht="16.5" customHeight="1">
      <c r="B23" s="101" t="s">
        <v>13</v>
      </c>
      <c r="C23" s="8"/>
      <c r="D23" s="8"/>
      <c r="E23" s="8"/>
      <c r="F23" s="8"/>
      <c r="G23" s="8"/>
      <c r="H23" s="8"/>
      <c r="I23" s="8"/>
      <c r="J23" s="8"/>
      <c r="K23" s="8"/>
      <c r="L23" s="8"/>
      <c r="M23" s="30"/>
      <c r="N23" s="8"/>
      <c r="O23" s="4">
        <f t="shared" si="0"/>
        <v>0</v>
      </c>
      <c r="P23" s="102"/>
    </row>
    <row r="24" spans="2:16" s="1" customFormat="1" ht="16.5" customHeight="1">
      <c r="B24" s="103" t="s">
        <v>12</v>
      </c>
      <c r="C24" s="17"/>
      <c r="D24" s="17"/>
      <c r="E24" s="17"/>
      <c r="F24" s="17"/>
      <c r="G24" s="17"/>
      <c r="H24" s="17"/>
      <c r="I24" s="17"/>
      <c r="J24" s="17"/>
      <c r="K24" s="17"/>
      <c r="L24" s="17"/>
      <c r="M24" s="35"/>
      <c r="N24" s="17"/>
      <c r="O24" s="4">
        <f t="shared" si="0"/>
        <v>0</v>
      </c>
      <c r="P24" s="102"/>
    </row>
    <row r="25" spans="2:16" s="1" customFormat="1" ht="16.5" customHeight="1">
      <c r="B25" s="103" t="s">
        <v>11</v>
      </c>
      <c r="C25" s="17"/>
      <c r="D25" s="17"/>
      <c r="E25" s="17"/>
      <c r="F25" s="17"/>
      <c r="G25" s="17"/>
      <c r="H25" s="17"/>
      <c r="I25" s="17"/>
      <c r="J25" s="17"/>
      <c r="K25" s="17"/>
      <c r="L25" s="17"/>
      <c r="M25" s="35"/>
      <c r="N25" s="17"/>
      <c r="O25" s="4">
        <f t="shared" si="0"/>
        <v>0</v>
      </c>
      <c r="P25" s="102"/>
    </row>
    <row r="26" spans="2:16" s="1" customFormat="1" ht="16.5" customHeight="1">
      <c r="B26" s="103" t="s">
        <v>10</v>
      </c>
      <c r="C26" s="17"/>
      <c r="D26" s="17"/>
      <c r="E26" s="17"/>
      <c r="F26" s="17"/>
      <c r="G26" s="17"/>
      <c r="H26" s="17"/>
      <c r="I26" s="17"/>
      <c r="J26" s="17"/>
      <c r="K26" s="17"/>
      <c r="L26" s="17"/>
      <c r="M26" s="35"/>
      <c r="N26" s="17"/>
      <c r="O26" s="4">
        <f t="shared" si="0"/>
        <v>0</v>
      </c>
      <c r="P26" s="102"/>
    </row>
    <row r="27" spans="2:16" s="1" customFormat="1" ht="16.5" customHeight="1">
      <c r="B27" s="103" t="s">
        <v>9</v>
      </c>
      <c r="C27" s="17"/>
      <c r="D27" s="17"/>
      <c r="E27" s="17"/>
      <c r="F27" s="17"/>
      <c r="G27" s="17"/>
      <c r="H27" s="17"/>
      <c r="I27" s="17"/>
      <c r="J27" s="17"/>
      <c r="K27" s="17"/>
      <c r="L27" s="17"/>
      <c r="M27" s="35"/>
      <c r="N27" s="17"/>
      <c r="O27" s="4">
        <f t="shared" si="0"/>
        <v>0</v>
      </c>
      <c r="P27" s="102"/>
    </row>
    <row r="28" spans="2:16" s="1" customFormat="1" ht="16.5" hidden="1" customHeight="1">
      <c r="B28" s="103"/>
      <c r="C28" s="15"/>
      <c r="D28" s="15"/>
      <c r="E28" s="15"/>
      <c r="F28" s="15"/>
      <c r="G28" s="15"/>
      <c r="H28" s="15"/>
      <c r="I28" s="15"/>
      <c r="J28" s="15"/>
      <c r="K28" s="15"/>
      <c r="L28" s="15"/>
      <c r="M28" s="16"/>
      <c r="N28" s="15"/>
      <c r="O28" s="4">
        <f t="shared" si="0"/>
        <v>0</v>
      </c>
      <c r="P28" s="102"/>
    </row>
    <row r="29" spans="2:16" s="1" customFormat="1" ht="16.5" hidden="1" customHeight="1">
      <c r="B29" s="103"/>
      <c r="C29" s="15"/>
      <c r="D29" s="15"/>
      <c r="E29" s="15"/>
      <c r="F29" s="15"/>
      <c r="G29" s="15"/>
      <c r="H29" s="15"/>
      <c r="I29" s="15"/>
      <c r="J29" s="15"/>
      <c r="K29" s="15"/>
      <c r="L29" s="15"/>
      <c r="M29" s="16"/>
      <c r="N29" s="15"/>
      <c r="O29" s="4">
        <f t="shared" si="0"/>
        <v>0</v>
      </c>
      <c r="P29" s="102"/>
    </row>
    <row r="30" spans="2:16" s="1" customFormat="1" ht="16.5" hidden="1" customHeight="1">
      <c r="B30" s="103"/>
      <c r="C30" s="15"/>
      <c r="D30" s="15"/>
      <c r="E30" s="15"/>
      <c r="F30" s="15"/>
      <c r="G30" s="15"/>
      <c r="H30" s="15"/>
      <c r="I30" s="15"/>
      <c r="J30" s="15"/>
      <c r="K30" s="15"/>
      <c r="L30" s="15"/>
      <c r="M30" s="16"/>
      <c r="N30" s="15"/>
      <c r="O30" s="4">
        <f t="shared" si="0"/>
        <v>0</v>
      </c>
      <c r="P30" s="102"/>
    </row>
    <row r="31" spans="2:16" s="1" customFormat="1" ht="16.5" hidden="1" customHeight="1">
      <c r="B31" s="103"/>
      <c r="C31" s="15"/>
      <c r="D31" s="15"/>
      <c r="E31" s="15"/>
      <c r="F31" s="15"/>
      <c r="G31" s="15"/>
      <c r="H31" s="15"/>
      <c r="I31" s="15"/>
      <c r="J31" s="15"/>
      <c r="K31" s="15"/>
      <c r="L31" s="15"/>
      <c r="M31" s="16"/>
      <c r="N31" s="15"/>
      <c r="O31" s="4">
        <f t="shared" si="0"/>
        <v>0</v>
      </c>
      <c r="P31" s="102"/>
    </row>
    <row r="32" spans="2:16" s="1" customFormat="1" ht="16.5" customHeight="1">
      <c r="B32" s="103" t="s">
        <v>8</v>
      </c>
      <c r="C32" s="4"/>
      <c r="D32" s="4"/>
      <c r="E32" s="4"/>
      <c r="F32" s="4"/>
      <c r="G32" s="4"/>
      <c r="H32" s="4"/>
      <c r="I32" s="4"/>
      <c r="J32" s="4"/>
      <c r="K32" s="4"/>
      <c r="L32" s="4"/>
      <c r="M32" s="33"/>
      <c r="N32" s="4"/>
      <c r="O32" s="4">
        <f t="shared" si="0"/>
        <v>0</v>
      </c>
      <c r="P32" s="102"/>
    </row>
    <row r="33" spans="2:18" s="1" customFormat="1" ht="16.5" customHeight="1">
      <c r="B33" s="103" t="s">
        <v>7</v>
      </c>
      <c r="C33" s="12"/>
      <c r="D33" s="12"/>
      <c r="E33" s="12"/>
      <c r="F33" s="12"/>
      <c r="G33" s="12"/>
      <c r="H33" s="12"/>
      <c r="I33" s="12"/>
      <c r="J33" s="12"/>
      <c r="K33" s="12"/>
      <c r="L33" s="12"/>
      <c r="M33" s="32"/>
      <c r="N33" s="12"/>
      <c r="O33" s="4">
        <f t="shared" si="0"/>
        <v>0</v>
      </c>
      <c r="P33" s="102"/>
    </row>
    <row r="34" spans="2:18" s="1" customFormat="1" ht="16.5" customHeight="1">
      <c r="B34" s="103" t="s">
        <v>6</v>
      </c>
      <c r="C34" s="41"/>
      <c r="D34" s="41"/>
      <c r="E34" s="41"/>
      <c r="F34" s="41"/>
      <c r="G34" s="41"/>
      <c r="H34" s="41"/>
      <c r="I34" s="41"/>
      <c r="J34" s="41">
        <v>40</v>
      </c>
      <c r="K34" s="41"/>
      <c r="L34" s="41">
        <v>100</v>
      </c>
      <c r="M34" s="42"/>
      <c r="N34" s="41"/>
      <c r="O34" s="4">
        <f t="shared" si="0"/>
        <v>140</v>
      </c>
      <c r="P34" s="102"/>
    </row>
    <row r="35" spans="2:18" s="1" customFormat="1" ht="16.5" customHeight="1">
      <c r="B35" s="103" t="s">
        <v>5</v>
      </c>
      <c r="C35" s="8"/>
      <c r="D35" s="8"/>
      <c r="E35" s="8"/>
      <c r="F35" s="8"/>
      <c r="G35" s="8"/>
      <c r="H35" s="8"/>
      <c r="I35" s="8"/>
      <c r="J35" s="8">
        <v>7.83</v>
      </c>
      <c r="K35" s="8">
        <v>7.83</v>
      </c>
      <c r="L35" s="8"/>
      <c r="M35" s="30"/>
      <c r="N35" s="8"/>
      <c r="O35" s="4">
        <f t="shared" si="0"/>
        <v>15.66</v>
      </c>
      <c r="P35" s="102"/>
    </row>
    <row r="36" spans="2:18" s="1" customFormat="1" ht="16.5" customHeight="1">
      <c r="B36" s="103" t="s">
        <v>230</v>
      </c>
      <c r="C36" s="8"/>
      <c r="D36" s="8"/>
      <c r="E36" s="8"/>
      <c r="F36" s="8"/>
      <c r="G36" s="8"/>
      <c r="H36" s="8"/>
      <c r="I36" s="8"/>
      <c r="J36" s="8"/>
      <c r="K36" s="8"/>
      <c r="L36" s="8"/>
      <c r="M36" s="30"/>
      <c r="N36" s="8"/>
      <c r="O36" s="4">
        <f t="shared" si="0"/>
        <v>0</v>
      </c>
      <c r="P36" s="102"/>
    </row>
    <row r="37" spans="2:18" s="1" customFormat="1" ht="16.5" customHeight="1">
      <c r="B37" s="103" t="s">
        <v>3</v>
      </c>
      <c r="C37" s="8"/>
      <c r="D37" s="8"/>
      <c r="E37" s="8"/>
      <c r="F37" s="8"/>
      <c r="G37" s="8"/>
      <c r="H37" s="8"/>
      <c r="I37" s="8">
        <v>9.9700000000000006</v>
      </c>
      <c r="J37" s="8">
        <v>210.36</v>
      </c>
      <c r="K37" s="8">
        <v>312.94</v>
      </c>
      <c r="L37" s="8"/>
      <c r="M37" s="30"/>
      <c r="N37" s="8"/>
      <c r="O37" s="4">
        <f t="shared" si="0"/>
        <v>533.27</v>
      </c>
      <c r="P37" s="102"/>
    </row>
    <row r="38" spans="2:18" s="1" customFormat="1" ht="16.5" customHeight="1">
      <c r="B38" s="103" t="s">
        <v>2</v>
      </c>
      <c r="C38" s="5"/>
      <c r="D38" s="5"/>
      <c r="E38" s="5"/>
      <c r="F38" s="5"/>
      <c r="G38" s="5"/>
      <c r="H38" s="5"/>
      <c r="I38" s="5">
        <v>20</v>
      </c>
      <c r="J38" s="5">
        <v>30</v>
      </c>
      <c r="K38" s="5">
        <v>70</v>
      </c>
      <c r="L38" s="5"/>
      <c r="M38" s="29"/>
      <c r="N38" s="5"/>
      <c r="O38" s="4">
        <f t="shared" si="0"/>
        <v>120</v>
      </c>
      <c r="P38" s="102"/>
    </row>
    <row r="39" spans="2:18" s="1" customFormat="1" ht="16.5" customHeight="1">
      <c r="B39" s="101" t="s">
        <v>1</v>
      </c>
      <c r="C39" s="104">
        <f>SUBTOTAL(109,ExpenseSummary136[Jan])</f>
        <v>0</v>
      </c>
      <c r="D39" s="105">
        <f>SUBTOTAL(109,ExpenseSummary136[Feb])</f>
        <v>0</v>
      </c>
      <c r="E39" s="104">
        <f>SUBTOTAL(109,ExpenseSummary136[Mar])</f>
        <v>0</v>
      </c>
      <c r="F39" s="105">
        <f>SUBTOTAL(109,ExpenseSummary136[Apr])</f>
        <v>0</v>
      </c>
      <c r="G39" s="104">
        <f>SUBTOTAL(109,ExpenseSummary136[May])</f>
        <v>0</v>
      </c>
      <c r="H39" s="105">
        <f>SUBTOTAL(109,ExpenseSummary136[Jun])</f>
        <v>0</v>
      </c>
      <c r="I39" s="104">
        <f>SUBTOTAL(109,ExpenseSummary136[Jul])</f>
        <v>29.97</v>
      </c>
      <c r="J39" s="105">
        <f>SUBTOTAL(109,ExpenseSummary136[Aug])</f>
        <v>473.36</v>
      </c>
      <c r="K39" s="104">
        <f>SUBTOTAL(109,ExpenseSummary136[Sep])</f>
        <v>646.31999999999994</v>
      </c>
      <c r="L39" s="105">
        <f>SUBTOTAL(109,ExpenseSummary136[Oct])</f>
        <v>100</v>
      </c>
      <c r="M39" s="267">
        <f>SUBTOTAL(109,ExpenseSummary136[Nov])</f>
        <v>0</v>
      </c>
      <c r="N39" s="105">
        <f>SUBTOTAL(109,ExpenseSummary136[Dec])</f>
        <v>0</v>
      </c>
      <c r="O39" s="106">
        <f>SUBTOTAL(109,ExpenseSummary136[Total])</f>
        <v>1249.6500000000001</v>
      </c>
      <c r="P39" s="102"/>
    </row>
    <row r="40" spans="2:18" s="1" customFormat="1" ht="16.5" customHeight="1">
      <c r="B40" s="28"/>
      <c r="C40" s="28"/>
    </row>
    <row r="41" spans="2:18" s="1" customFormat="1" ht="16.5" customHeight="1">
      <c r="B41" s="54" t="s">
        <v>1088</v>
      </c>
      <c r="C41" s="54"/>
      <c r="D41" s="54"/>
      <c r="E41" s="54"/>
    </row>
    <row r="42" spans="2:18" s="1" customFormat="1" ht="16.5" customHeight="1">
      <c r="B42" s="47"/>
      <c r="C42" s="47"/>
    </row>
    <row r="43" spans="2:18" s="1" customFormat="1" ht="16.5" customHeight="1">
      <c r="B43" s="268"/>
      <c r="C43" s="268"/>
      <c r="D43" s="269"/>
      <c r="E43" s="270" t="s">
        <v>118</v>
      </c>
      <c r="F43" s="270"/>
      <c r="G43" s="270"/>
      <c r="H43" s="270"/>
      <c r="I43" s="270"/>
      <c r="J43" s="270"/>
      <c r="K43" s="270"/>
      <c r="L43" s="270"/>
      <c r="M43" s="270"/>
      <c r="N43" s="270"/>
      <c r="O43" s="270"/>
      <c r="P43" s="270"/>
      <c r="Q43" s="270"/>
      <c r="R43" s="270"/>
    </row>
    <row r="44" spans="2:18" s="1" customFormat="1" ht="16.5" customHeight="1">
      <c r="B44" s="271" t="s">
        <v>1122</v>
      </c>
      <c r="C44" s="272" t="s">
        <v>1123</v>
      </c>
      <c r="D44" s="269"/>
      <c r="E44" s="273" t="s">
        <v>1794</v>
      </c>
      <c r="F44" s="273"/>
      <c r="G44" s="273"/>
      <c r="H44" s="273"/>
      <c r="I44" s="273"/>
      <c r="J44" s="273"/>
      <c r="K44" s="273"/>
      <c r="L44" s="273"/>
      <c r="M44" s="273"/>
      <c r="N44" s="273"/>
      <c r="O44" s="273"/>
      <c r="P44" s="273"/>
      <c r="Q44" s="273"/>
      <c r="R44" s="273"/>
    </row>
    <row r="45" spans="2:18" s="1" customFormat="1" ht="16.5" customHeight="1">
      <c r="B45" s="274" t="s">
        <v>115</v>
      </c>
      <c r="C45" s="275" t="s">
        <v>289</v>
      </c>
      <c r="D45" s="269"/>
      <c r="E45" s="270" t="s">
        <v>113</v>
      </c>
      <c r="F45" s="270"/>
      <c r="G45" s="270"/>
      <c r="H45" s="270"/>
      <c r="I45" s="270"/>
      <c r="J45" s="270"/>
      <c r="K45" s="270"/>
      <c r="L45" s="270"/>
      <c r="M45" s="270"/>
      <c r="N45" s="270"/>
      <c r="O45" s="270"/>
      <c r="P45" s="270"/>
      <c r="Q45" s="270"/>
      <c r="R45" s="270"/>
    </row>
    <row r="46" spans="2:18" s="1" customFormat="1" ht="16.5" customHeight="1" thickBot="1">
      <c r="B46" s="274" t="s">
        <v>112</v>
      </c>
      <c r="C46" s="276">
        <v>93175</v>
      </c>
      <c r="D46" s="268"/>
      <c r="E46" s="273" t="s">
        <v>1124</v>
      </c>
      <c r="F46" s="273"/>
      <c r="G46" s="273"/>
      <c r="H46" s="273"/>
      <c r="I46" s="273"/>
      <c r="J46" s="273"/>
      <c r="K46" s="273"/>
      <c r="L46" s="273"/>
      <c r="M46" s="273"/>
      <c r="N46" s="273"/>
      <c r="O46" s="273"/>
      <c r="P46" s="273"/>
      <c r="Q46" s="273"/>
      <c r="R46" s="273"/>
    </row>
    <row r="47" spans="2:18" s="1" customFormat="1" ht="16.5" customHeight="1">
      <c r="B47" s="274" t="s">
        <v>110</v>
      </c>
      <c r="C47" s="277"/>
      <c r="D47" s="260"/>
      <c r="E47" s="278" t="s">
        <v>109</v>
      </c>
      <c r="F47" s="279" t="s">
        <v>108</v>
      </c>
      <c r="G47" s="280"/>
      <c r="H47" s="279" t="s">
        <v>107</v>
      </c>
      <c r="I47" s="280"/>
      <c r="J47" s="279" t="s">
        <v>106</v>
      </c>
      <c r="K47" s="280"/>
      <c r="L47" s="279" t="s">
        <v>105</v>
      </c>
      <c r="M47" s="280"/>
      <c r="N47" s="279" t="s">
        <v>96</v>
      </c>
      <c r="O47" s="280"/>
      <c r="P47" s="279" t="s">
        <v>104</v>
      </c>
      <c r="Q47" s="280"/>
      <c r="R47" s="281" t="s">
        <v>103</v>
      </c>
    </row>
    <row r="48" spans="2:18" s="1" customFormat="1" ht="16.5" customHeight="1">
      <c r="B48" s="282" t="s">
        <v>102</v>
      </c>
      <c r="C48" s="283">
        <v>283</v>
      </c>
      <c r="D48" s="262"/>
      <c r="E48" s="284"/>
      <c r="F48" s="285" t="s">
        <v>101</v>
      </c>
      <c r="G48" s="286" t="s">
        <v>100</v>
      </c>
      <c r="H48" s="285" t="s">
        <v>101</v>
      </c>
      <c r="I48" s="286" t="s">
        <v>100</v>
      </c>
      <c r="J48" s="285" t="s">
        <v>101</v>
      </c>
      <c r="K48" s="286" t="s">
        <v>100</v>
      </c>
      <c r="L48" s="287" t="s">
        <v>101</v>
      </c>
      <c r="M48" s="405" t="s">
        <v>100</v>
      </c>
      <c r="N48" s="287" t="s">
        <v>101</v>
      </c>
      <c r="O48" s="286" t="s">
        <v>100</v>
      </c>
      <c r="P48" s="287" t="s">
        <v>101</v>
      </c>
      <c r="Q48" s="286" t="s">
        <v>100</v>
      </c>
      <c r="R48" s="284"/>
    </row>
    <row r="49" spans="2:18" s="1" customFormat="1" ht="16.5" customHeight="1">
      <c r="B49" s="274" t="s">
        <v>99</v>
      </c>
      <c r="C49" s="288">
        <v>6867</v>
      </c>
      <c r="D49" s="260"/>
      <c r="E49" s="289" t="s">
        <v>87</v>
      </c>
      <c r="F49" s="290">
        <v>7</v>
      </c>
      <c r="G49" s="291">
        <f t="shared" ref="G49:G55" si="1">SUM($B$6*F49)*C61</f>
        <v>0</v>
      </c>
      <c r="H49" s="292"/>
      <c r="I49" s="291">
        <f>IF(H49&gt;0,($B$7*C61),0)</f>
        <v>0</v>
      </c>
      <c r="J49" s="293"/>
      <c r="K49" s="291">
        <f>IF(J49&gt;0,($B$8*C61),0)</f>
        <v>0</v>
      </c>
      <c r="L49" s="292">
        <v>2</v>
      </c>
      <c r="M49" s="406">
        <f t="shared" ref="M49:M55" si="2">IF(L49&gt;0,($B$9*L49),0)</f>
        <v>0</v>
      </c>
      <c r="N49" s="294">
        <v>2</v>
      </c>
      <c r="O49" s="291">
        <f t="shared" ref="O49:O55" si="3">IF(N49&gt;0,($B$10*N49),0)</f>
        <v>0</v>
      </c>
      <c r="P49" s="295">
        <v>2</v>
      </c>
      <c r="Q49" s="291">
        <f t="shared" ref="Q49:Q55" si="4">SUM(P49*$B$17)*C61</f>
        <v>0</v>
      </c>
      <c r="R49" s="296">
        <f t="shared" ref="R49:R60" si="5">SUM(Q49+O49+M49+K49+I49+G49)</f>
        <v>0</v>
      </c>
    </row>
    <row r="50" spans="2:18" s="1" customFormat="1" ht="16.5" customHeight="1">
      <c r="B50" s="274" t="s">
        <v>98</v>
      </c>
      <c r="C50" s="288">
        <v>5460</v>
      </c>
      <c r="D50" s="260"/>
      <c r="E50" s="289" t="s">
        <v>86</v>
      </c>
      <c r="F50" s="290">
        <v>7</v>
      </c>
      <c r="G50" s="291">
        <f t="shared" si="1"/>
        <v>0</v>
      </c>
      <c r="H50" s="292"/>
      <c r="I50" s="291">
        <f>IF(H50&gt;0,($B$7*C62),0)</f>
        <v>0</v>
      </c>
      <c r="J50" s="293"/>
      <c r="K50" s="291">
        <f>IF(J50&gt;0,($B$8*C62),0)</f>
        <v>0</v>
      </c>
      <c r="L50" s="292">
        <v>2</v>
      </c>
      <c r="M50" s="406">
        <f t="shared" si="2"/>
        <v>0</v>
      </c>
      <c r="N50" s="294">
        <v>2</v>
      </c>
      <c r="O50" s="291">
        <f t="shared" si="3"/>
        <v>0</v>
      </c>
      <c r="P50" s="295">
        <v>2</v>
      </c>
      <c r="Q50" s="291">
        <f t="shared" si="4"/>
        <v>0</v>
      </c>
      <c r="R50" s="296">
        <f t="shared" si="5"/>
        <v>0</v>
      </c>
    </row>
    <row r="51" spans="2:18" s="1" customFormat="1" ht="16.5" customHeight="1">
      <c r="B51" s="407" t="s">
        <v>97</v>
      </c>
      <c r="C51" s="288">
        <v>324</v>
      </c>
      <c r="D51" s="260"/>
      <c r="E51" s="289" t="s">
        <v>84</v>
      </c>
      <c r="F51" s="290">
        <v>7</v>
      </c>
      <c r="G51" s="291">
        <f t="shared" si="1"/>
        <v>0</v>
      </c>
      <c r="H51" s="292"/>
      <c r="I51" s="291">
        <f>IF(H51&gt;0,($B$7*C63),0)</f>
        <v>0</v>
      </c>
      <c r="J51" s="293"/>
      <c r="K51" s="291">
        <f>IF(J51&gt;0,($B$8*C63),0)</f>
        <v>0</v>
      </c>
      <c r="L51" s="292">
        <v>2</v>
      </c>
      <c r="M51" s="406">
        <f t="shared" si="2"/>
        <v>0</v>
      </c>
      <c r="N51" s="294">
        <v>2</v>
      </c>
      <c r="O51" s="291">
        <f t="shared" si="3"/>
        <v>0</v>
      </c>
      <c r="P51" s="295">
        <v>2</v>
      </c>
      <c r="Q51" s="291">
        <f t="shared" si="4"/>
        <v>0</v>
      </c>
      <c r="R51" s="296">
        <f t="shared" si="5"/>
        <v>0</v>
      </c>
    </row>
    <row r="52" spans="2:18" s="1" customFormat="1" ht="16.5" customHeight="1">
      <c r="B52" s="408" t="s">
        <v>96</v>
      </c>
      <c r="C52" s="288">
        <v>1050</v>
      </c>
      <c r="D52" s="260"/>
      <c r="E52" s="289" t="s">
        <v>83</v>
      </c>
      <c r="F52" s="290">
        <v>7</v>
      </c>
      <c r="G52" s="291">
        <f t="shared" si="1"/>
        <v>0</v>
      </c>
      <c r="H52" s="292"/>
      <c r="I52" s="291">
        <f>IF(H52&gt;0,($B$7*C64),0)</f>
        <v>0</v>
      </c>
      <c r="J52" s="293"/>
      <c r="K52" s="291">
        <f>IF(J52&gt;0,($B$8*C64),0)</f>
        <v>0</v>
      </c>
      <c r="L52" s="292">
        <v>2</v>
      </c>
      <c r="M52" s="406">
        <f t="shared" si="2"/>
        <v>0</v>
      </c>
      <c r="N52" s="294">
        <v>2</v>
      </c>
      <c r="O52" s="291">
        <f t="shared" si="3"/>
        <v>0</v>
      </c>
      <c r="P52" s="295">
        <v>2</v>
      </c>
      <c r="Q52" s="291">
        <f t="shared" si="4"/>
        <v>0</v>
      </c>
      <c r="R52" s="296">
        <f t="shared" si="5"/>
        <v>0</v>
      </c>
    </row>
    <row r="53" spans="2:18" s="1" customFormat="1" ht="16.5" customHeight="1">
      <c r="B53" s="274" t="s">
        <v>95</v>
      </c>
      <c r="C53" s="141">
        <v>35000</v>
      </c>
      <c r="D53" s="260"/>
      <c r="E53" s="289" t="s">
        <v>82</v>
      </c>
      <c r="F53" s="290">
        <v>7</v>
      </c>
      <c r="G53" s="291">
        <f t="shared" si="1"/>
        <v>0</v>
      </c>
      <c r="H53" s="292"/>
      <c r="I53" s="291">
        <v>6866.67</v>
      </c>
      <c r="J53" s="293"/>
      <c r="K53" s="291">
        <v>5460</v>
      </c>
      <c r="L53" s="292">
        <v>2</v>
      </c>
      <c r="M53" s="406">
        <f t="shared" si="2"/>
        <v>0</v>
      </c>
      <c r="N53" s="294">
        <v>2</v>
      </c>
      <c r="O53" s="291">
        <f t="shared" si="3"/>
        <v>0</v>
      </c>
      <c r="P53" s="295">
        <v>2</v>
      </c>
      <c r="Q53" s="291">
        <f t="shared" si="4"/>
        <v>0</v>
      </c>
      <c r="R53" s="296">
        <f t="shared" si="5"/>
        <v>12326.67</v>
      </c>
    </row>
    <row r="54" spans="2:18" s="1" customFormat="1" ht="16.5" customHeight="1">
      <c r="B54" s="274" t="s">
        <v>94</v>
      </c>
      <c r="C54" s="141">
        <v>5000</v>
      </c>
      <c r="D54" s="260"/>
      <c r="E54" s="289" t="s">
        <v>80</v>
      </c>
      <c r="F54" s="290">
        <v>7</v>
      </c>
      <c r="G54" s="291">
        <f t="shared" si="1"/>
        <v>0</v>
      </c>
      <c r="H54" s="292"/>
      <c r="I54" s="291">
        <f t="shared" ref="I54:I55" si="6">IF(H54&gt;0,($B$7*C66),0)</f>
        <v>0</v>
      </c>
      <c r="J54" s="293"/>
      <c r="K54" s="291">
        <f t="shared" ref="K54:K55" si="7">IF(J54&gt;0,($B$8*C66),0)</f>
        <v>0</v>
      </c>
      <c r="L54" s="292">
        <v>2</v>
      </c>
      <c r="M54" s="406">
        <f t="shared" si="2"/>
        <v>0</v>
      </c>
      <c r="N54" s="294">
        <v>2</v>
      </c>
      <c r="O54" s="291">
        <f t="shared" si="3"/>
        <v>0</v>
      </c>
      <c r="P54" s="295">
        <v>2</v>
      </c>
      <c r="Q54" s="291">
        <f t="shared" si="4"/>
        <v>0</v>
      </c>
      <c r="R54" s="296">
        <f t="shared" si="5"/>
        <v>0</v>
      </c>
    </row>
    <row r="55" spans="2:18" s="1" customFormat="1" ht="16.5" customHeight="1">
      <c r="B55" s="274" t="s">
        <v>93</v>
      </c>
      <c r="C55" s="141">
        <v>175000</v>
      </c>
      <c r="D55" s="260"/>
      <c r="E55" s="289" t="s">
        <v>79</v>
      </c>
      <c r="F55" s="290">
        <v>7</v>
      </c>
      <c r="G55" s="291">
        <f t="shared" si="1"/>
        <v>0</v>
      </c>
      <c r="H55" s="292"/>
      <c r="I55" s="291">
        <f t="shared" si="6"/>
        <v>0</v>
      </c>
      <c r="J55" s="293"/>
      <c r="K55" s="291">
        <f t="shared" si="7"/>
        <v>0</v>
      </c>
      <c r="L55" s="292">
        <v>2</v>
      </c>
      <c r="M55" s="406">
        <f t="shared" si="2"/>
        <v>0</v>
      </c>
      <c r="N55" s="294">
        <v>2</v>
      </c>
      <c r="O55" s="291">
        <f t="shared" si="3"/>
        <v>0</v>
      </c>
      <c r="P55" s="295">
        <v>2</v>
      </c>
      <c r="Q55" s="291">
        <f t="shared" si="4"/>
        <v>0</v>
      </c>
      <c r="R55" s="296">
        <f t="shared" si="5"/>
        <v>0</v>
      </c>
    </row>
    <row r="56" spans="2:18" s="1" customFormat="1" ht="16.5" customHeight="1">
      <c r="B56" s="274" t="s">
        <v>92</v>
      </c>
      <c r="C56" s="141">
        <v>175000</v>
      </c>
      <c r="D56" s="260"/>
      <c r="E56" s="289"/>
      <c r="F56" s="290"/>
      <c r="G56" s="291"/>
      <c r="H56" s="292"/>
      <c r="I56" s="291"/>
      <c r="J56" s="293"/>
      <c r="K56" s="291"/>
      <c r="L56" s="292"/>
      <c r="M56" s="406"/>
      <c r="N56" s="294"/>
      <c r="O56" s="291"/>
      <c r="P56" s="295"/>
      <c r="Q56" s="291"/>
      <c r="R56" s="296">
        <f t="shared" si="5"/>
        <v>0</v>
      </c>
    </row>
    <row r="57" spans="2:18" s="1" customFormat="1" ht="16.5" customHeight="1">
      <c r="B57" s="274" t="s">
        <v>91</v>
      </c>
      <c r="C57" s="141">
        <v>12000</v>
      </c>
      <c r="D57" s="260"/>
      <c r="E57" s="289"/>
      <c r="F57" s="290"/>
      <c r="G57" s="291"/>
      <c r="H57" s="292"/>
      <c r="I57" s="291"/>
      <c r="J57" s="293"/>
      <c r="K57" s="291"/>
      <c r="L57" s="292"/>
      <c r="M57" s="406"/>
      <c r="N57" s="294"/>
      <c r="O57" s="291"/>
      <c r="P57" s="295"/>
      <c r="Q57" s="291"/>
      <c r="R57" s="296">
        <f t="shared" si="5"/>
        <v>0</v>
      </c>
    </row>
    <row r="58" spans="2:18" s="1" customFormat="1" ht="16.5" customHeight="1">
      <c r="B58" s="274" t="s">
        <v>90</v>
      </c>
      <c r="C58" s="141">
        <v>25000</v>
      </c>
      <c r="D58" s="260"/>
      <c r="E58" s="289"/>
      <c r="F58" s="290"/>
      <c r="G58" s="291"/>
      <c r="H58" s="292"/>
      <c r="I58" s="291"/>
      <c r="J58" s="293"/>
      <c r="K58" s="291"/>
      <c r="L58" s="292"/>
      <c r="M58" s="406"/>
      <c r="N58" s="294"/>
      <c r="O58" s="291"/>
      <c r="P58" s="295"/>
      <c r="Q58" s="291"/>
      <c r="R58" s="296">
        <f t="shared" si="5"/>
        <v>0</v>
      </c>
    </row>
    <row r="59" spans="2:18" s="1" customFormat="1" ht="16.5" customHeight="1">
      <c r="B59" s="297" t="s">
        <v>89</v>
      </c>
      <c r="C59" s="298">
        <v>92</v>
      </c>
      <c r="D59" s="260"/>
      <c r="E59" s="289"/>
      <c r="F59" s="290"/>
      <c r="G59" s="291"/>
      <c r="H59" s="292"/>
      <c r="I59" s="291"/>
      <c r="J59" s="293"/>
      <c r="K59" s="291"/>
      <c r="L59" s="292"/>
      <c r="M59" s="406"/>
      <c r="N59" s="294"/>
      <c r="O59" s="291"/>
      <c r="P59" s="295"/>
      <c r="Q59" s="291"/>
      <c r="R59" s="296">
        <f t="shared" si="5"/>
        <v>0</v>
      </c>
    </row>
    <row r="60" spans="2:18" s="1" customFormat="1" ht="16.5" customHeight="1">
      <c r="B60" s="299" t="s">
        <v>88</v>
      </c>
      <c r="C60" s="300"/>
      <c r="D60" s="260"/>
      <c r="E60" s="289"/>
      <c r="F60" s="290"/>
      <c r="G60" s="291"/>
      <c r="H60" s="292"/>
      <c r="I60" s="291"/>
      <c r="J60" s="293"/>
      <c r="K60" s="291"/>
      <c r="L60" s="292"/>
      <c r="M60" s="406"/>
      <c r="N60" s="294"/>
      <c r="O60" s="291"/>
      <c r="P60" s="295"/>
      <c r="Q60" s="291"/>
      <c r="R60" s="296">
        <f t="shared" si="5"/>
        <v>0</v>
      </c>
    </row>
    <row r="61" spans="2:18" s="1" customFormat="1" ht="16.5" customHeight="1">
      <c r="B61" s="513" t="s">
        <v>87</v>
      </c>
      <c r="C61" s="514">
        <v>1</v>
      </c>
      <c r="D61" s="260"/>
      <c r="E61" s="303"/>
      <c r="F61" s="304"/>
      <c r="G61" s="305"/>
      <c r="H61" s="306"/>
      <c r="I61" s="307"/>
      <c r="J61" s="308"/>
      <c r="K61" s="307"/>
      <c r="L61" s="306"/>
      <c r="M61" s="409"/>
      <c r="N61" s="304"/>
      <c r="O61" s="305"/>
      <c r="P61" s="306"/>
      <c r="Q61" s="307"/>
      <c r="R61" s="309"/>
    </row>
    <row r="62" spans="2:18" s="1" customFormat="1" ht="16.5" customHeight="1" thickBot="1">
      <c r="B62" s="513" t="s">
        <v>86</v>
      </c>
      <c r="C62" s="513">
        <f t="shared" ref="C62:C72" si="8">SUM(C61+(C61*$B$5))</f>
        <v>1</v>
      </c>
      <c r="D62" s="260"/>
      <c r="E62" s="310" t="s">
        <v>85</v>
      </c>
      <c r="F62" s="311"/>
      <c r="G62" s="312">
        <f>SUM(G49:G60)</f>
        <v>0</v>
      </c>
      <c r="H62" s="313"/>
      <c r="I62" s="312">
        <f>SUM(I49:I60)</f>
        <v>6866.67</v>
      </c>
      <c r="J62" s="314"/>
      <c r="K62" s="312">
        <f>SUM(K49:K60)</f>
        <v>5460</v>
      </c>
      <c r="L62" s="313"/>
      <c r="M62" s="410">
        <f>SUM(M49:M60)</f>
        <v>0</v>
      </c>
      <c r="N62" s="315"/>
      <c r="O62" s="312">
        <f>SUM(O49:O60)</f>
        <v>0</v>
      </c>
      <c r="P62" s="313"/>
      <c r="Q62" s="312">
        <f>SUM(Q49:Q60)</f>
        <v>0</v>
      </c>
      <c r="R62" s="316">
        <f>SUM(R49:R60)</f>
        <v>12326.67</v>
      </c>
    </row>
    <row r="63" spans="2:18" s="1" customFormat="1" ht="16.5" customHeight="1" thickTop="1" thickBot="1">
      <c r="B63" s="513" t="s">
        <v>84</v>
      </c>
      <c r="C63" s="513">
        <f t="shared" si="8"/>
        <v>1</v>
      </c>
      <c r="D63" s="269"/>
      <c r="E63" s="317"/>
      <c r="F63" s="318"/>
      <c r="G63" s="319"/>
      <c r="H63" s="320"/>
      <c r="I63" s="319"/>
      <c r="J63" s="321"/>
      <c r="K63" s="319"/>
      <c r="L63" s="320"/>
      <c r="M63" s="411"/>
      <c r="N63" s="318"/>
      <c r="O63" s="322"/>
      <c r="P63" s="320"/>
      <c r="Q63" s="319"/>
      <c r="R63" s="323"/>
    </row>
    <row r="64" spans="2:18" s="1" customFormat="1" ht="16.5" customHeight="1">
      <c r="B64" s="513" t="s">
        <v>83</v>
      </c>
      <c r="C64" s="515">
        <f t="shared" si="8"/>
        <v>1</v>
      </c>
      <c r="D64" s="269"/>
      <c r="E64" s="269"/>
      <c r="F64" s="325"/>
      <c r="G64" s="269"/>
      <c r="H64" s="326"/>
      <c r="I64" s="269"/>
      <c r="J64" s="327"/>
      <c r="K64" s="269"/>
      <c r="L64" s="326"/>
      <c r="M64" s="412"/>
      <c r="N64" s="325"/>
      <c r="O64" s="269"/>
      <c r="P64" s="326"/>
      <c r="Q64" s="269"/>
      <c r="R64" s="269"/>
    </row>
    <row r="65" spans="2:18" s="1" customFormat="1" ht="16.5" customHeight="1">
      <c r="B65" s="513" t="s">
        <v>82</v>
      </c>
      <c r="C65" s="515">
        <f t="shared" si="8"/>
        <v>1</v>
      </c>
      <c r="D65" s="269"/>
      <c r="E65" s="269" t="s">
        <v>81</v>
      </c>
      <c r="F65" s="325"/>
      <c r="G65" s="269"/>
      <c r="H65" s="326"/>
      <c r="I65" s="269"/>
      <c r="J65" s="327"/>
      <c r="K65" s="269"/>
      <c r="L65" s="326"/>
      <c r="M65" s="412"/>
      <c r="N65" s="325"/>
      <c r="O65" s="269"/>
      <c r="P65" s="326"/>
      <c r="Q65" s="269"/>
      <c r="R65" s="269"/>
    </row>
    <row r="66" spans="2:18" s="1" customFormat="1" ht="16.5" customHeight="1">
      <c r="B66" s="513" t="s">
        <v>80</v>
      </c>
      <c r="C66" s="515">
        <f t="shared" si="8"/>
        <v>1</v>
      </c>
      <c r="D66" s="269"/>
      <c r="E66" s="269"/>
      <c r="F66" s="325"/>
      <c r="G66" s="269"/>
      <c r="H66" s="326"/>
      <c r="I66" s="269"/>
      <c r="J66" s="327"/>
      <c r="K66" s="269"/>
      <c r="L66" s="326"/>
      <c r="M66" s="412"/>
      <c r="N66" s="325"/>
      <c r="O66" s="269"/>
      <c r="P66" s="326"/>
      <c r="Q66" s="269"/>
      <c r="R66" s="269"/>
    </row>
    <row r="67" spans="2:18" s="1" customFormat="1" ht="16.5" customHeight="1">
      <c r="B67" s="513" t="s">
        <v>79</v>
      </c>
      <c r="C67" s="515">
        <f t="shared" si="8"/>
        <v>1</v>
      </c>
      <c r="D67" s="269"/>
      <c r="E67" s="413" t="s">
        <v>291</v>
      </c>
      <c r="F67" s="414"/>
      <c r="G67" s="415"/>
      <c r="H67" s="416"/>
      <c r="I67" s="413"/>
      <c r="J67" s="417"/>
      <c r="K67" s="413"/>
      <c r="L67" s="417"/>
      <c r="M67" s="413"/>
      <c r="N67" s="417"/>
      <c r="O67" s="413"/>
      <c r="P67" s="326"/>
      <c r="Q67" s="269"/>
      <c r="R67" s="269"/>
    </row>
    <row r="68" spans="2:18" s="1" customFormat="1" ht="16.5" customHeight="1">
      <c r="B68" s="513" t="s">
        <v>78</v>
      </c>
      <c r="C68" s="515">
        <f t="shared" si="8"/>
        <v>1</v>
      </c>
      <c r="D68" s="269"/>
      <c r="E68" s="418" t="s">
        <v>292</v>
      </c>
      <c r="F68" s="419"/>
      <c r="G68" s="418"/>
      <c r="H68" s="420"/>
      <c r="I68" s="269"/>
      <c r="J68" s="326"/>
      <c r="K68" s="269"/>
      <c r="L68" s="326"/>
      <c r="M68" s="269"/>
      <c r="N68" s="326"/>
      <c r="O68" s="269"/>
      <c r="P68" s="326"/>
      <c r="Q68" s="269"/>
      <c r="R68" s="269"/>
    </row>
    <row r="69" spans="2:18" s="1" customFormat="1" ht="16.5" customHeight="1">
      <c r="B69" s="513" t="s">
        <v>77</v>
      </c>
      <c r="C69" s="515">
        <f t="shared" si="8"/>
        <v>1</v>
      </c>
      <c r="D69" s="269"/>
      <c r="E69" s="269"/>
      <c r="F69" s="325"/>
      <c r="G69" s="269"/>
      <c r="H69" s="326"/>
      <c r="I69" s="269"/>
      <c r="J69" s="327"/>
      <c r="K69" s="269"/>
      <c r="L69" s="326"/>
      <c r="M69" s="412"/>
      <c r="N69" s="325"/>
      <c r="O69" s="269"/>
      <c r="P69" s="326"/>
      <c r="Q69" s="269"/>
      <c r="R69" s="269"/>
    </row>
    <row r="70" spans="2:18" s="1" customFormat="1" ht="16.5" customHeight="1">
      <c r="B70" s="513" t="s">
        <v>76</v>
      </c>
      <c r="C70" s="515">
        <f t="shared" si="8"/>
        <v>1</v>
      </c>
      <c r="D70" s="269"/>
      <c r="E70" s="269"/>
      <c r="F70" s="325"/>
      <c r="G70" s="269"/>
      <c r="H70" s="326"/>
      <c r="I70" s="269"/>
      <c r="J70" s="327"/>
      <c r="K70" s="269"/>
      <c r="L70" s="326"/>
      <c r="M70" s="412"/>
      <c r="N70" s="325"/>
      <c r="O70" s="269"/>
      <c r="P70" s="326"/>
      <c r="Q70" s="269"/>
      <c r="R70" s="269"/>
    </row>
    <row r="71" spans="2:18" s="1" customFormat="1" ht="16.5" customHeight="1">
      <c r="B71" s="513" t="s">
        <v>75</v>
      </c>
      <c r="C71" s="515">
        <f t="shared" si="8"/>
        <v>1</v>
      </c>
      <c r="D71" s="269"/>
      <c r="E71" s="269"/>
      <c r="F71" s="325"/>
      <c r="G71" s="269"/>
      <c r="H71" s="326"/>
      <c r="I71" s="269"/>
      <c r="J71" s="327"/>
      <c r="K71" s="269"/>
      <c r="L71" s="326"/>
      <c r="M71" s="412"/>
      <c r="N71" s="325"/>
      <c r="O71" s="269"/>
      <c r="P71" s="326"/>
      <c r="Q71" s="269"/>
      <c r="R71" s="269"/>
    </row>
    <row r="72" spans="2:18" s="1" customFormat="1" ht="16.5" customHeight="1">
      <c r="B72" s="513" t="s">
        <v>74</v>
      </c>
      <c r="C72" s="515">
        <f t="shared" si="8"/>
        <v>1</v>
      </c>
      <c r="D72" s="269"/>
      <c r="E72" s="269"/>
      <c r="F72" s="325"/>
      <c r="G72" s="269"/>
      <c r="H72" s="326"/>
      <c r="I72" s="269"/>
      <c r="J72" s="327"/>
      <c r="K72" s="269"/>
      <c r="L72" s="326"/>
      <c r="M72" s="412"/>
      <c r="N72" s="325"/>
      <c r="O72" s="269"/>
      <c r="P72" s="326"/>
      <c r="Q72" s="269"/>
      <c r="R72" s="269"/>
    </row>
    <row r="74" spans="2:18" s="1" customFormat="1" ht="16.5" customHeight="1">
      <c r="B74" s="268"/>
      <c r="C74" s="268"/>
      <c r="D74" s="269"/>
      <c r="E74" s="270" t="s">
        <v>118</v>
      </c>
      <c r="F74" s="270"/>
      <c r="G74" s="270"/>
      <c r="H74" s="270"/>
      <c r="I74" s="270"/>
      <c r="J74" s="270"/>
      <c r="K74" s="270"/>
      <c r="L74" s="270"/>
      <c r="M74" s="270"/>
      <c r="N74" s="270"/>
      <c r="O74" s="270"/>
      <c r="P74" s="270"/>
      <c r="Q74" s="270"/>
      <c r="R74" s="270"/>
    </row>
    <row r="75" spans="2:18" s="1" customFormat="1" ht="16.5" customHeight="1">
      <c r="B75" s="271" t="s">
        <v>1122</v>
      </c>
      <c r="C75" s="272" t="s">
        <v>1123</v>
      </c>
      <c r="D75" s="269"/>
      <c r="E75" s="273" t="s">
        <v>1795</v>
      </c>
      <c r="F75" s="273"/>
      <c r="G75" s="273"/>
      <c r="H75" s="273"/>
      <c r="I75" s="273"/>
      <c r="J75" s="273"/>
      <c r="K75" s="273"/>
      <c r="L75" s="273"/>
      <c r="M75" s="273"/>
      <c r="N75" s="273"/>
      <c r="O75" s="273"/>
      <c r="P75" s="273"/>
      <c r="Q75" s="273"/>
      <c r="R75" s="273"/>
    </row>
    <row r="76" spans="2:18" s="1" customFormat="1" ht="16.5" customHeight="1">
      <c r="B76" s="274" t="s">
        <v>115</v>
      </c>
      <c r="C76" s="275" t="s">
        <v>289</v>
      </c>
      <c r="D76" s="269"/>
      <c r="E76" s="270" t="s">
        <v>119</v>
      </c>
      <c r="F76" s="270"/>
      <c r="G76" s="270"/>
      <c r="H76" s="270"/>
      <c r="I76" s="270"/>
      <c r="J76" s="270"/>
      <c r="K76" s="270"/>
      <c r="L76" s="270"/>
      <c r="M76" s="270"/>
      <c r="N76" s="270"/>
      <c r="O76" s="270"/>
      <c r="P76" s="270"/>
      <c r="Q76" s="270"/>
      <c r="R76" s="270"/>
    </row>
    <row r="77" spans="2:18" s="1" customFormat="1" ht="16.5" customHeight="1" thickBot="1">
      <c r="B77" s="274" t="s">
        <v>112</v>
      </c>
      <c r="C77" s="276">
        <v>93175</v>
      </c>
      <c r="D77" s="268"/>
      <c r="E77" s="330" t="s">
        <v>1125</v>
      </c>
      <c r="F77" s="330"/>
      <c r="G77" s="330"/>
      <c r="H77" s="330"/>
      <c r="I77" s="330"/>
      <c r="J77" s="330"/>
      <c r="K77" s="330"/>
      <c r="L77" s="330"/>
      <c r="M77" s="330"/>
      <c r="N77" s="330"/>
      <c r="O77" s="330"/>
      <c r="P77" s="330"/>
      <c r="Q77" s="330"/>
      <c r="R77" s="330"/>
    </row>
    <row r="78" spans="2:18" s="1" customFormat="1" ht="16.5" customHeight="1">
      <c r="B78" s="274" t="s">
        <v>110</v>
      </c>
      <c r="C78" s="277"/>
      <c r="D78" s="260"/>
      <c r="E78" s="278" t="s">
        <v>109</v>
      </c>
      <c r="F78" s="279" t="s">
        <v>108</v>
      </c>
      <c r="G78" s="280"/>
      <c r="H78" s="279" t="s">
        <v>107</v>
      </c>
      <c r="I78" s="280"/>
      <c r="J78" s="279" t="s">
        <v>106</v>
      </c>
      <c r="K78" s="280"/>
      <c r="L78" s="279" t="s">
        <v>105</v>
      </c>
      <c r="M78" s="280"/>
      <c r="N78" s="279" t="s">
        <v>96</v>
      </c>
      <c r="O78" s="280"/>
      <c r="P78" s="279" t="s">
        <v>104</v>
      </c>
      <c r="Q78" s="280"/>
      <c r="R78" s="281" t="s">
        <v>103</v>
      </c>
    </row>
    <row r="79" spans="2:18" s="1" customFormat="1" ht="16.5" customHeight="1">
      <c r="B79" s="274" t="s">
        <v>102</v>
      </c>
      <c r="C79" s="283">
        <v>283</v>
      </c>
      <c r="D79" s="260"/>
      <c r="E79" s="289"/>
      <c r="F79" s="285" t="s">
        <v>101</v>
      </c>
      <c r="G79" s="331" t="s">
        <v>100</v>
      </c>
      <c r="H79" s="285" t="s">
        <v>101</v>
      </c>
      <c r="I79" s="331" t="s">
        <v>100</v>
      </c>
      <c r="J79" s="285" t="s">
        <v>101</v>
      </c>
      <c r="K79" s="331" t="s">
        <v>100</v>
      </c>
      <c r="L79" s="285" t="s">
        <v>101</v>
      </c>
      <c r="M79" s="331" t="s">
        <v>100</v>
      </c>
      <c r="N79" s="285" t="s">
        <v>101</v>
      </c>
      <c r="O79" s="331" t="s">
        <v>100</v>
      </c>
      <c r="P79" s="287" t="s">
        <v>101</v>
      </c>
      <c r="Q79" s="331" t="s">
        <v>100</v>
      </c>
      <c r="R79" s="289"/>
    </row>
    <row r="80" spans="2:18" s="1" customFormat="1" ht="16.5" customHeight="1">
      <c r="B80" s="274" t="s">
        <v>107</v>
      </c>
      <c r="C80" s="288">
        <v>6867</v>
      </c>
      <c r="D80" s="260"/>
      <c r="E80" s="289" t="s">
        <v>87</v>
      </c>
      <c r="F80" s="290">
        <v>8</v>
      </c>
      <c r="G80" s="291">
        <f t="shared" ref="G80:G91" si="9">SUM($B$6*F80)*C92</f>
        <v>0</v>
      </c>
      <c r="H80" s="292"/>
      <c r="I80" s="291">
        <f t="shared" ref="I80:I91" si="10">IF(H80&gt;0,($B$7*C92),0)</f>
        <v>0</v>
      </c>
      <c r="J80" s="293"/>
      <c r="K80" s="291">
        <f t="shared" ref="K80:K91" si="11">IF(J80&gt;0,($B$8*C92),0)</f>
        <v>0</v>
      </c>
      <c r="L80" s="332">
        <v>3</v>
      </c>
      <c r="M80" s="406">
        <f t="shared" ref="M80:M91" si="12">IF(L80&gt;0,($B$9*L80),0)</f>
        <v>0</v>
      </c>
      <c r="N80" s="294">
        <v>0.5</v>
      </c>
      <c r="O80" s="291">
        <f t="shared" ref="O80:O91" si="13">IF(N80&gt;0,($B$10*N80),0)</f>
        <v>0</v>
      </c>
      <c r="P80" s="295"/>
      <c r="Q80" s="291">
        <f t="shared" ref="Q80:Q91" si="14">SUM(P80*$B$17)*C92</f>
        <v>0</v>
      </c>
      <c r="R80" s="296">
        <f t="shared" ref="R80:R91" si="15">SUM(Q80+O80+M80+K80+I80+G80)</f>
        <v>0</v>
      </c>
    </row>
    <row r="81" spans="2:18" s="1" customFormat="1" ht="16.5" customHeight="1">
      <c r="B81" s="274" t="s">
        <v>121</v>
      </c>
      <c r="C81" s="288">
        <v>5460</v>
      </c>
      <c r="D81" s="260"/>
      <c r="E81" s="289" t="s">
        <v>86</v>
      </c>
      <c r="F81" s="290">
        <v>6</v>
      </c>
      <c r="G81" s="291">
        <f t="shared" si="9"/>
        <v>0</v>
      </c>
      <c r="H81" s="292"/>
      <c r="I81" s="291">
        <f t="shared" si="10"/>
        <v>0</v>
      </c>
      <c r="J81" s="293"/>
      <c r="K81" s="291">
        <f t="shared" si="11"/>
        <v>0</v>
      </c>
      <c r="L81" s="332">
        <v>2</v>
      </c>
      <c r="M81" s="406">
        <f t="shared" si="12"/>
        <v>0</v>
      </c>
      <c r="N81" s="294">
        <v>2</v>
      </c>
      <c r="O81" s="291">
        <f t="shared" si="13"/>
        <v>0</v>
      </c>
      <c r="P81" s="295">
        <v>1</v>
      </c>
      <c r="Q81" s="291">
        <f t="shared" si="14"/>
        <v>0</v>
      </c>
      <c r="R81" s="296">
        <f t="shared" si="15"/>
        <v>0</v>
      </c>
    </row>
    <row r="82" spans="2:18" s="1" customFormat="1" ht="16.5" customHeight="1">
      <c r="B82" s="407" t="s">
        <v>122</v>
      </c>
      <c r="C82" s="288">
        <v>324</v>
      </c>
      <c r="D82" s="260"/>
      <c r="E82" s="289" t="s">
        <v>84</v>
      </c>
      <c r="F82" s="290">
        <v>8</v>
      </c>
      <c r="G82" s="291">
        <f t="shared" si="9"/>
        <v>0</v>
      </c>
      <c r="H82" s="292"/>
      <c r="I82" s="291">
        <f t="shared" si="10"/>
        <v>0</v>
      </c>
      <c r="J82" s="293"/>
      <c r="K82" s="291">
        <f t="shared" si="11"/>
        <v>0</v>
      </c>
      <c r="L82" s="332">
        <v>4.5</v>
      </c>
      <c r="M82" s="406">
        <f t="shared" si="12"/>
        <v>0</v>
      </c>
      <c r="N82" s="294">
        <v>3</v>
      </c>
      <c r="O82" s="291">
        <f t="shared" si="13"/>
        <v>0</v>
      </c>
      <c r="P82" s="295"/>
      <c r="Q82" s="291">
        <f t="shared" si="14"/>
        <v>0</v>
      </c>
      <c r="R82" s="296">
        <f t="shared" si="15"/>
        <v>0</v>
      </c>
    </row>
    <row r="83" spans="2:18" s="1" customFormat="1" ht="16.5" customHeight="1">
      <c r="B83" s="408" t="s">
        <v>123</v>
      </c>
      <c r="C83" s="288">
        <v>1050</v>
      </c>
      <c r="D83" s="260"/>
      <c r="E83" s="289" t="s">
        <v>83</v>
      </c>
      <c r="F83" s="290">
        <v>8</v>
      </c>
      <c r="G83" s="291">
        <f t="shared" si="9"/>
        <v>0</v>
      </c>
      <c r="H83" s="292"/>
      <c r="I83" s="291">
        <f t="shared" si="10"/>
        <v>0</v>
      </c>
      <c r="J83" s="293"/>
      <c r="K83" s="291">
        <f t="shared" si="11"/>
        <v>0</v>
      </c>
      <c r="L83" s="332">
        <v>2.5</v>
      </c>
      <c r="M83" s="406">
        <f t="shared" si="12"/>
        <v>0</v>
      </c>
      <c r="N83" s="294">
        <v>1</v>
      </c>
      <c r="O83" s="291">
        <f t="shared" si="13"/>
        <v>0</v>
      </c>
      <c r="P83" s="295"/>
      <c r="Q83" s="291">
        <f t="shared" si="14"/>
        <v>0</v>
      </c>
      <c r="R83" s="296">
        <f t="shared" si="15"/>
        <v>0</v>
      </c>
    </row>
    <row r="84" spans="2:18" s="1" customFormat="1" ht="16.5" customHeight="1">
      <c r="B84" s="274" t="s">
        <v>95</v>
      </c>
      <c r="C84" s="141">
        <v>35000</v>
      </c>
      <c r="D84" s="260"/>
      <c r="E84" s="289" t="s">
        <v>82</v>
      </c>
      <c r="F84" s="290">
        <v>6</v>
      </c>
      <c r="G84" s="291">
        <f t="shared" si="9"/>
        <v>0</v>
      </c>
      <c r="H84" s="292"/>
      <c r="I84" s="291">
        <f t="shared" si="10"/>
        <v>0</v>
      </c>
      <c r="J84" s="293"/>
      <c r="K84" s="291">
        <f t="shared" si="11"/>
        <v>0</v>
      </c>
      <c r="L84" s="332">
        <v>2.5</v>
      </c>
      <c r="M84" s="406">
        <f t="shared" si="12"/>
        <v>0</v>
      </c>
      <c r="N84" s="294">
        <v>0.3</v>
      </c>
      <c r="O84" s="291">
        <f t="shared" si="13"/>
        <v>0</v>
      </c>
      <c r="P84" s="295">
        <v>1</v>
      </c>
      <c r="Q84" s="291">
        <f t="shared" si="14"/>
        <v>0</v>
      </c>
      <c r="R84" s="296">
        <f t="shared" si="15"/>
        <v>0</v>
      </c>
    </row>
    <row r="85" spans="2:18" s="1" customFormat="1" ht="16.5" customHeight="1">
      <c r="B85" s="274" t="s">
        <v>94</v>
      </c>
      <c r="C85" s="141">
        <v>5000</v>
      </c>
      <c r="D85" s="260"/>
      <c r="E85" s="289" t="s">
        <v>80</v>
      </c>
      <c r="F85" s="290"/>
      <c r="G85" s="291">
        <f t="shared" si="9"/>
        <v>0</v>
      </c>
      <c r="H85" s="292"/>
      <c r="I85" s="291">
        <f t="shared" si="10"/>
        <v>0</v>
      </c>
      <c r="J85" s="293"/>
      <c r="K85" s="291">
        <f t="shared" si="11"/>
        <v>0</v>
      </c>
      <c r="L85" s="332"/>
      <c r="M85" s="406">
        <f t="shared" si="12"/>
        <v>0</v>
      </c>
      <c r="N85" s="294"/>
      <c r="O85" s="291">
        <f t="shared" si="13"/>
        <v>0</v>
      </c>
      <c r="P85" s="295"/>
      <c r="Q85" s="291">
        <f t="shared" si="14"/>
        <v>0</v>
      </c>
      <c r="R85" s="296">
        <f t="shared" si="15"/>
        <v>0</v>
      </c>
    </row>
    <row r="86" spans="2:18" s="1" customFormat="1" ht="16.5" customHeight="1">
      <c r="B86" s="274" t="s">
        <v>93</v>
      </c>
      <c r="C86" s="141">
        <v>175000</v>
      </c>
      <c r="D86" s="260"/>
      <c r="E86" s="289" t="s">
        <v>79</v>
      </c>
      <c r="F86" s="290"/>
      <c r="G86" s="291">
        <f t="shared" si="9"/>
        <v>0</v>
      </c>
      <c r="H86" s="292"/>
      <c r="I86" s="291">
        <f t="shared" si="10"/>
        <v>0</v>
      </c>
      <c r="J86" s="293"/>
      <c r="K86" s="291">
        <f t="shared" si="11"/>
        <v>0</v>
      </c>
      <c r="L86" s="332"/>
      <c r="M86" s="406">
        <f t="shared" si="12"/>
        <v>0</v>
      </c>
      <c r="N86" s="294"/>
      <c r="O86" s="291">
        <f t="shared" si="13"/>
        <v>0</v>
      </c>
      <c r="P86" s="295"/>
      <c r="Q86" s="291">
        <f t="shared" si="14"/>
        <v>0</v>
      </c>
      <c r="R86" s="296">
        <f t="shared" si="15"/>
        <v>0</v>
      </c>
    </row>
    <row r="87" spans="2:18" s="1" customFormat="1" ht="16.5" customHeight="1">
      <c r="B87" s="274" t="s">
        <v>92</v>
      </c>
      <c r="C87" s="141">
        <v>175000</v>
      </c>
      <c r="D87" s="260"/>
      <c r="E87" s="289" t="s">
        <v>78</v>
      </c>
      <c r="F87" s="290"/>
      <c r="G87" s="291">
        <f t="shared" si="9"/>
        <v>0</v>
      </c>
      <c r="H87" s="292"/>
      <c r="I87" s="291">
        <f t="shared" si="10"/>
        <v>0</v>
      </c>
      <c r="J87" s="293"/>
      <c r="K87" s="291">
        <f t="shared" si="11"/>
        <v>0</v>
      </c>
      <c r="L87" s="332"/>
      <c r="M87" s="406">
        <f t="shared" si="12"/>
        <v>0</v>
      </c>
      <c r="N87" s="294"/>
      <c r="O87" s="291">
        <f t="shared" si="13"/>
        <v>0</v>
      </c>
      <c r="P87" s="295"/>
      <c r="Q87" s="291">
        <f t="shared" si="14"/>
        <v>0</v>
      </c>
      <c r="R87" s="296">
        <f t="shared" si="15"/>
        <v>0</v>
      </c>
    </row>
    <row r="88" spans="2:18" s="1" customFormat="1" ht="16.5" customHeight="1">
      <c r="B88" s="274" t="s">
        <v>91</v>
      </c>
      <c r="C88" s="141">
        <v>12000</v>
      </c>
      <c r="D88" s="260"/>
      <c r="E88" s="289" t="s">
        <v>77</v>
      </c>
      <c r="F88" s="290"/>
      <c r="G88" s="291">
        <f t="shared" si="9"/>
        <v>0</v>
      </c>
      <c r="H88" s="292"/>
      <c r="I88" s="291">
        <f t="shared" si="10"/>
        <v>0</v>
      </c>
      <c r="J88" s="293"/>
      <c r="K88" s="291">
        <f t="shared" si="11"/>
        <v>0</v>
      </c>
      <c r="L88" s="332"/>
      <c r="M88" s="406">
        <f t="shared" si="12"/>
        <v>0</v>
      </c>
      <c r="N88" s="294"/>
      <c r="O88" s="291">
        <f t="shared" si="13"/>
        <v>0</v>
      </c>
      <c r="P88" s="295"/>
      <c r="Q88" s="291">
        <f t="shared" si="14"/>
        <v>0</v>
      </c>
      <c r="R88" s="296">
        <f t="shared" si="15"/>
        <v>0</v>
      </c>
    </row>
    <row r="89" spans="2:18" s="1" customFormat="1" ht="16.5" customHeight="1">
      <c r="B89" s="274" t="s">
        <v>90</v>
      </c>
      <c r="C89" s="141">
        <v>25000</v>
      </c>
      <c r="D89" s="260"/>
      <c r="E89" s="289" t="s">
        <v>76</v>
      </c>
      <c r="F89" s="290"/>
      <c r="G89" s="291">
        <f t="shared" si="9"/>
        <v>0</v>
      </c>
      <c r="H89" s="292"/>
      <c r="I89" s="291">
        <f t="shared" si="10"/>
        <v>0</v>
      </c>
      <c r="J89" s="293"/>
      <c r="K89" s="291">
        <f t="shared" si="11"/>
        <v>0</v>
      </c>
      <c r="L89" s="332"/>
      <c r="M89" s="406">
        <f t="shared" si="12"/>
        <v>0</v>
      </c>
      <c r="N89" s="294"/>
      <c r="O89" s="291">
        <f t="shared" si="13"/>
        <v>0</v>
      </c>
      <c r="P89" s="295"/>
      <c r="Q89" s="291">
        <f t="shared" si="14"/>
        <v>0</v>
      </c>
      <c r="R89" s="296">
        <f t="shared" si="15"/>
        <v>0</v>
      </c>
    </row>
    <row r="90" spans="2:18" s="1" customFormat="1" ht="16.5" customHeight="1">
      <c r="B90" s="297" t="s">
        <v>89</v>
      </c>
      <c r="C90" s="298">
        <v>92</v>
      </c>
      <c r="D90" s="260"/>
      <c r="E90" s="289" t="s">
        <v>75</v>
      </c>
      <c r="F90" s="290"/>
      <c r="G90" s="291">
        <f t="shared" si="9"/>
        <v>0</v>
      </c>
      <c r="H90" s="292"/>
      <c r="I90" s="291">
        <f t="shared" si="10"/>
        <v>0</v>
      </c>
      <c r="J90" s="293"/>
      <c r="K90" s="291">
        <f t="shared" si="11"/>
        <v>0</v>
      </c>
      <c r="L90" s="332"/>
      <c r="M90" s="406">
        <f t="shared" si="12"/>
        <v>0</v>
      </c>
      <c r="N90" s="294"/>
      <c r="O90" s="291">
        <f t="shared" si="13"/>
        <v>0</v>
      </c>
      <c r="P90" s="295"/>
      <c r="Q90" s="291">
        <f t="shared" si="14"/>
        <v>0</v>
      </c>
      <c r="R90" s="296">
        <f t="shared" si="15"/>
        <v>0</v>
      </c>
    </row>
    <row r="91" spans="2:18" s="1" customFormat="1" ht="16.5" customHeight="1">
      <c r="B91" s="299" t="s">
        <v>88</v>
      </c>
      <c r="C91" s="300"/>
      <c r="D91" s="260"/>
      <c r="E91" s="289" t="s">
        <v>74</v>
      </c>
      <c r="F91" s="290"/>
      <c r="G91" s="291">
        <f t="shared" si="9"/>
        <v>0</v>
      </c>
      <c r="H91" s="292"/>
      <c r="I91" s="291">
        <f t="shared" si="10"/>
        <v>0</v>
      </c>
      <c r="J91" s="293"/>
      <c r="K91" s="291">
        <f t="shared" si="11"/>
        <v>0</v>
      </c>
      <c r="L91" s="332"/>
      <c r="M91" s="406">
        <f t="shared" si="12"/>
        <v>0</v>
      </c>
      <c r="N91" s="294"/>
      <c r="O91" s="291">
        <f t="shared" si="13"/>
        <v>0</v>
      </c>
      <c r="P91" s="295"/>
      <c r="Q91" s="291">
        <f t="shared" si="14"/>
        <v>0</v>
      </c>
      <c r="R91" s="296">
        <f t="shared" si="15"/>
        <v>0</v>
      </c>
    </row>
    <row r="92" spans="2:18" s="1" customFormat="1" ht="16.5" customHeight="1">
      <c r="B92" s="421" t="s">
        <v>87</v>
      </c>
      <c r="C92" s="422">
        <v>1</v>
      </c>
      <c r="D92" s="260"/>
      <c r="E92" s="303"/>
      <c r="F92" s="304"/>
      <c r="G92" s="305"/>
      <c r="H92" s="306"/>
      <c r="I92" s="307"/>
      <c r="J92" s="308"/>
      <c r="K92" s="307"/>
      <c r="L92" s="306"/>
      <c r="M92" s="307"/>
      <c r="N92" s="304"/>
      <c r="O92" s="307"/>
      <c r="P92" s="306"/>
      <c r="Q92" s="307"/>
      <c r="R92" s="309"/>
    </row>
    <row r="93" spans="2:18" s="1" customFormat="1" ht="16.5" customHeight="1" thickBot="1">
      <c r="B93" s="421" t="s">
        <v>86</v>
      </c>
      <c r="C93" s="421">
        <f t="shared" ref="C93:C103" si="16">SUM(C92+(C92*$B$5))</f>
        <v>1</v>
      </c>
      <c r="D93" s="260"/>
      <c r="E93" s="310" t="s">
        <v>85</v>
      </c>
      <c r="F93" s="311"/>
      <c r="G93" s="312">
        <f>SUM(G80:G91)</f>
        <v>0</v>
      </c>
      <c r="H93" s="313"/>
      <c r="I93" s="312">
        <f>SUM(I80:I91)</f>
        <v>0</v>
      </c>
      <c r="J93" s="314"/>
      <c r="K93" s="312">
        <f>SUM(K80:K91)</f>
        <v>0</v>
      </c>
      <c r="L93" s="313"/>
      <c r="M93" s="312">
        <f>SUM(M80:M91)</f>
        <v>0</v>
      </c>
      <c r="N93" s="315"/>
      <c r="O93" s="312">
        <f>SUM(O80:O91)</f>
        <v>0</v>
      </c>
      <c r="P93" s="313"/>
      <c r="Q93" s="312">
        <f>SUM(Q80:Q91)</f>
        <v>0</v>
      </c>
      <c r="R93" s="316">
        <f>SUM(R80:R91)</f>
        <v>0</v>
      </c>
    </row>
    <row r="94" spans="2:18" s="1" customFormat="1" ht="16.5" customHeight="1" thickTop="1" thickBot="1">
      <c r="B94" s="421" t="s">
        <v>84</v>
      </c>
      <c r="C94" s="421">
        <f t="shared" si="16"/>
        <v>1</v>
      </c>
      <c r="D94" s="269"/>
      <c r="E94" s="317"/>
      <c r="F94" s="318"/>
      <c r="G94" s="319"/>
      <c r="H94" s="320"/>
      <c r="I94" s="319"/>
      <c r="J94" s="321"/>
      <c r="K94" s="319"/>
      <c r="L94" s="320"/>
      <c r="M94" s="319"/>
      <c r="N94" s="318"/>
      <c r="O94" s="319"/>
      <c r="P94" s="320"/>
      <c r="Q94" s="319"/>
      <c r="R94" s="323"/>
    </row>
    <row r="95" spans="2:18" s="1" customFormat="1" ht="16.5" customHeight="1">
      <c r="B95" s="421" t="s">
        <v>83</v>
      </c>
      <c r="C95" s="423">
        <f t="shared" si="16"/>
        <v>1</v>
      </c>
      <c r="D95" s="269"/>
      <c r="E95" s="269"/>
      <c r="F95" s="335"/>
      <c r="G95" s="269"/>
      <c r="H95" s="326"/>
      <c r="I95" s="269"/>
      <c r="J95" s="326"/>
      <c r="K95" s="269"/>
      <c r="L95" s="326"/>
      <c r="M95" s="269"/>
      <c r="N95" s="326"/>
      <c r="O95" s="269"/>
      <c r="P95" s="326"/>
      <c r="Q95" s="269"/>
      <c r="R95" s="269"/>
    </row>
    <row r="96" spans="2:18" s="1" customFormat="1" ht="16.5" customHeight="1">
      <c r="B96" s="421" t="s">
        <v>82</v>
      </c>
      <c r="C96" s="423">
        <f t="shared" si="16"/>
        <v>1</v>
      </c>
      <c r="D96" s="269"/>
      <c r="E96" s="269" t="s">
        <v>124</v>
      </c>
      <c r="F96" s="335"/>
      <c r="G96" s="269"/>
      <c r="H96" s="326"/>
      <c r="I96" s="269"/>
      <c r="J96" s="326"/>
      <c r="K96" s="269"/>
      <c r="L96" s="326"/>
      <c r="M96" s="269"/>
      <c r="N96" s="326"/>
      <c r="O96" s="269"/>
      <c r="P96" s="326"/>
      <c r="Q96" s="269"/>
      <c r="R96" s="269"/>
    </row>
    <row r="97" spans="2:18" s="1" customFormat="1" ht="16.5" customHeight="1">
      <c r="B97" s="421" t="s">
        <v>80</v>
      </c>
      <c r="C97" s="423">
        <f t="shared" si="16"/>
        <v>1</v>
      </c>
      <c r="D97" s="269"/>
      <c r="E97" s="269"/>
      <c r="F97" s="335"/>
      <c r="G97" s="269"/>
      <c r="H97" s="326"/>
      <c r="I97" s="269"/>
      <c r="J97" s="326"/>
      <c r="K97" s="269"/>
      <c r="L97" s="326"/>
      <c r="M97" s="269"/>
      <c r="N97" s="326"/>
      <c r="O97" s="269"/>
      <c r="P97" s="326"/>
      <c r="Q97" s="269"/>
      <c r="R97" s="269"/>
    </row>
    <row r="98" spans="2:18" s="1" customFormat="1" ht="16.5" customHeight="1">
      <c r="B98" s="421" t="s">
        <v>79</v>
      </c>
      <c r="C98" s="423">
        <f t="shared" si="16"/>
        <v>1</v>
      </c>
      <c r="D98" s="269"/>
      <c r="E98" s="413" t="s">
        <v>291</v>
      </c>
      <c r="F98" s="414"/>
      <c r="G98" s="415"/>
      <c r="H98" s="416"/>
      <c r="I98" s="413"/>
      <c r="J98" s="417"/>
      <c r="K98" s="413"/>
      <c r="L98" s="417"/>
      <c r="M98" s="413"/>
      <c r="N98" s="417"/>
      <c r="O98" s="413"/>
      <c r="P98" s="326"/>
      <c r="Q98" s="269"/>
      <c r="R98" s="269"/>
    </row>
    <row r="99" spans="2:18" s="1" customFormat="1" ht="16.5" customHeight="1">
      <c r="B99" s="421" t="s">
        <v>78</v>
      </c>
      <c r="C99" s="423">
        <f t="shared" si="16"/>
        <v>1</v>
      </c>
      <c r="D99" s="269"/>
      <c r="E99" s="418" t="s">
        <v>292</v>
      </c>
      <c r="F99" s="419"/>
      <c r="G99" s="418"/>
      <c r="H99" s="420"/>
      <c r="I99" s="269"/>
      <c r="J99" s="326"/>
      <c r="K99" s="269"/>
      <c r="L99" s="326"/>
      <c r="M99" s="269"/>
      <c r="N99" s="326"/>
      <c r="O99" s="269"/>
      <c r="P99" s="326"/>
      <c r="Q99" s="269"/>
      <c r="R99" s="269"/>
    </row>
    <row r="100" spans="2:18" s="1" customFormat="1" ht="16.5" customHeight="1">
      <c r="B100" s="421" t="s">
        <v>77</v>
      </c>
      <c r="C100" s="423">
        <f t="shared" si="16"/>
        <v>1</v>
      </c>
      <c r="D100" s="269"/>
      <c r="E100" s="269"/>
      <c r="F100" s="335"/>
      <c r="G100" s="269"/>
      <c r="H100" s="326"/>
      <c r="I100" s="269"/>
      <c r="J100" s="326"/>
      <c r="K100" s="269"/>
      <c r="L100" s="326"/>
      <c r="M100" s="269"/>
      <c r="N100" s="326"/>
      <c r="O100" s="269"/>
      <c r="P100" s="326"/>
      <c r="Q100" s="269"/>
      <c r="R100" s="269"/>
    </row>
    <row r="101" spans="2:18" s="1" customFormat="1" ht="16.5" customHeight="1">
      <c r="B101" s="421" t="s">
        <v>76</v>
      </c>
      <c r="C101" s="423">
        <f t="shared" si="16"/>
        <v>1</v>
      </c>
      <c r="D101" s="269"/>
      <c r="E101" s="424" t="s">
        <v>1126</v>
      </c>
      <c r="F101" s="381"/>
      <c r="G101" s="380"/>
      <c r="H101" s="384"/>
      <c r="I101" s="380"/>
      <c r="J101" s="384"/>
      <c r="K101" s="380"/>
      <c r="L101" s="326"/>
      <c r="M101" s="269"/>
      <c r="N101" s="326"/>
      <c r="O101" s="269"/>
      <c r="P101" s="326"/>
      <c r="Q101" s="269"/>
      <c r="R101" s="269"/>
    </row>
    <row r="102" spans="2:18" s="1" customFormat="1" ht="16.5" customHeight="1">
      <c r="B102" s="421" t="s">
        <v>75</v>
      </c>
      <c r="C102" s="423">
        <f t="shared" si="16"/>
        <v>1</v>
      </c>
      <c r="D102" s="269"/>
      <c r="E102" s="529" t="s">
        <v>1796</v>
      </c>
      <c r="F102" s="530"/>
      <c r="G102" s="531"/>
      <c r="H102" s="532"/>
      <c r="I102" s="531"/>
      <c r="J102" s="532"/>
      <c r="K102" s="531"/>
      <c r="L102" s="326"/>
      <c r="M102" s="269"/>
      <c r="N102" s="326"/>
      <c r="O102" s="269"/>
      <c r="P102" s="326"/>
      <c r="Q102" s="269"/>
      <c r="R102" s="269"/>
    </row>
    <row r="103" spans="2:18" s="1" customFormat="1" ht="16.5" customHeight="1">
      <c r="B103" s="421" t="s">
        <v>74</v>
      </c>
      <c r="C103" s="423">
        <f t="shared" si="16"/>
        <v>1</v>
      </c>
      <c r="D103" s="269"/>
      <c r="E103" s="533" t="s">
        <v>1127</v>
      </c>
      <c r="F103" s="534"/>
      <c r="G103" s="533"/>
      <c r="H103" s="535"/>
      <c r="I103" s="533"/>
      <c r="J103" s="535"/>
      <c r="K103" s="418"/>
      <c r="L103" s="326"/>
      <c r="M103" s="269"/>
      <c r="N103" s="326"/>
      <c r="O103" s="269"/>
      <c r="P103" s="326"/>
      <c r="Q103" s="269"/>
      <c r="R103" s="269"/>
    </row>
  </sheetData>
  <mergeCells count="20">
    <mergeCell ref="E74:R74"/>
    <mergeCell ref="E75:R75"/>
    <mergeCell ref="E76:R76"/>
    <mergeCell ref="E77:R77"/>
    <mergeCell ref="F78:G78"/>
    <mergeCell ref="H78:I78"/>
    <mergeCell ref="J78:K78"/>
    <mergeCell ref="L78:M78"/>
    <mergeCell ref="N78:O78"/>
    <mergeCell ref="P78:Q78"/>
    <mergeCell ref="E43:R43"/>
    <mergeCell ref="E44:R44"/>
    <mergeCell ref="E45:R45"/>
    <mergeCell ref="E46:R46"/>
    <mergeCell ref="F47:G47"/>
    <mergeCell ref="H47:I47"/>
    <mergeCell ref="J47:K47"/>
    <mergeCell ref="L47:M47"/>
    <mergeCell ref="N47:O47"/>
    <mergeCell ref="P47:Q47"/>
  </mergeCells>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markers="1" last="1">
          <x14:colorSeries rgb="FF323232"/>
          <x14:colorNegative rgb="FFD00000"/>
          <x14:colorAxis rgb="FF000000"/>
          <x14:colorMarkers rgb="FFD00000"/>
          <x14:colorFirst rgb="FFD00000"/>
          <x14:colorLast rgb="FFD00000"/>
          <x14:colorHigh rgb="FFD00000"/>
          <x14:colorLow rgb="FFD00000"/>
          <x14:sparklines>
            <x14:sparkline>
              <xm:f>'Bus 309 summary'!C19:N19</xm:f>
              <xm:sqref>P19</xm:sqref>
            </x14:sparkline>
            <x14:sparkline>
              <xm:f>'Bus 309 summary'!C20:N20</xm:f>
              <xm:sqref>P20</xm:sqref>
            </x14:sparkline>
            <x14:sparkline>
              <xm:f>'Bus 309 summary'!C21:N21</xm:f>
              <xm:sqref>P21</xm:sqref>
            </x14:sparkline>
            <x14:sparkline>
              <xm:f>'Bus 309 summary'!C22:N22</xm:f>
              <xm:sqref>P22</xm:sqref>
            </x14:sparkline>
            <x14:sparkline>
              <xm:f>'Bus 309 summary'!C23:N23</xm:f>
              <xm:sqref>P23</xm:sqref>
            </x14:sparkline>
            <x14:sparkline>
              <xm:f>'Bus 309 summary'!C24:N24</xm:f>
              <xm:sqref>P24</xm:sqref>
            </x14:sparkline>
            <x14:sparkline>
              <xm:f>'Bus 309 summary'!C25:N25</xm:f>
              <xm:sqref>P25</xm:sqref>
            </x14:sparkline>
            <x14:sparkline>
              <xm:f>'Bus 309 summary'!C26:N26</xm:f>
              <xm:sqref>P26</xm:sqref>
            </x14:sparkline>
            <x14:sparkline>
              <xm:f>'Bus 309 summary'!C27:N27</xm:f>
              <xm:sqref>P27</xm:sqref>
            </x14:sparkline>
            <x14:sparkline>
              <xm:f>'Bus 309 summary'!C28:N28</xm:f>
              <xm:sqref>P28</xm:sqref>
            </x14:sparkline>
            <x14:sparkline>
              <xm:f>'Bus 309 summary'!C29:N29</xm:f>
              <xm:sqref>P29</xm:sqref>
            </x14:sparkline>
            <x14:sparkline>
              <xm:f>'Bus 309 summary'!C30:N30</xm:f>
              <xm:sqref>P30</xm:sqref>
            </x14:sparkline>
            <x14:sparkline>
              <xm:f>'Bus 309 summary'!C31:N31</xm:f>
              <xm:sqref>P31</xm:sqref>
            </x14:sparkline>
            <x14:sparkline>
              <xm:f>'Bus 309 summary'!C32:N32</xm:f>
              <xm:sqref>P32</xm:sqref>
            </x14:sparkline>
            <x14:sparkline>
              <xm:f>'Bus 309 summary'!C33:N33</xm:f>
              <xm:sqref>P33</xm:sqref>
            </x14:sparkline>
            <x14:sparkline>
              <xm:f>'Bus 309 summary'!C34:N34</xm:f>
              <xm:sqref>P34</xm:sqref>
            </x14:sparkline>
            <x14:sparkline>
              <xm:f>'Bus 309 summary'!C35:N35</xm:f>
              <xm:sqref>P35</xm:sqref>
            </x14:sparkline>
            <x14:sparkline>
              <xm:f>'Bus 309 summary'!C36:N36</xm:f>
              <xm:sqref>P36</xm:sqref>
            </x14:sparkline>
            <x14:sparkline>
              <xm:f>'Bus 309 summary'!C37:N37</xm:f>
              <xm:sqref>P37</xm:sqref>
            </x14:sparkline>
            <x14:sparkline>
              <xm:f>'Bus 309 summary'!C38:N38</xm:f>
              <xm:sqref>P38</xm:sqref>
            </x14:sparkline>
          </x14:sparklines>
        </x14:sparklineGroup>
        <x14:sparklineGroup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309 summary'!C39:N39</xm:f>
              <xm:sqref>P39</xm:sqref>
            </x14:sparkline>
          </x14:sparklines>
        </x14:sparklineGroup>
      </x14:sparklineGroup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181"/>
  <sheetViews>
    <sheetView showGridLines="0" topLeftCell="A35" zoomScale="115" zoomScaleNormal="115" workbookViewId="0">
      <selection activeCell="F45" sqref="A1:XFD1048576"/>
    </sheetView>
  </sheetViews>
  <sheetFormatPr defaultColWidth="9.140625" defaultRowHeight="16.5" customHeight="1"/>
  <cols>
    <col min="1" max="1" width="3.140625" style="1" customWidth="1"/>
    <col min="2" max="4" width="12.28515625" style="1" customWidth="1"/>
    <col min="5" max="5" width="15.7109375" style="1" customWidth="1"/>
    <col min="6" max="6" width="42.42578125"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660</v>
      </c>
      <c r="G4" s="185" t="s">
        <v>45</v>
      </c>
    </row>
    <row r="5" spans="2:8" s="1" customFormat="1" ht="16.5" customHeight="1">
      <c r="B5" s="189">
        <v>42945</v>
      </c>
      <c r="C5" s="190">
        <v>10669</v>
      </c>
      <c r="D5" s="52">
        <v>6.06</v>
      </c>
      <c r="E5" s="190" t="s">
        <v>3</v>
      </c>
      <c r="F5" s="190" t="s">
        <v>1092</v>
      </c>
      <c r="G5" s="191" t="s">
        <v>1091</v>
      </c>
    </row>
    <row r="6" spans="2:8" s="1" customFormat="1" ht="16.5" customHeight="1">
      <c r="B6" s="189">
        <v>42945</v>
      </c>
      <c r="C6" s="190">
        <v>10669</v>
      </c>
      <c r="D6" s="52">
        <v>3.91</v>
      </c>
      <c r="E6" s="190" t="s">
        <v>3</v>
      </c>
      <c r="F6" s="190" t="s">
        <v>1090</v>
      </c>
      <c r="G6" s="191" t="s">
        <v>1089</v>
      </c>
    </row>
    <row r="7" spans="2:8" s="1" customFormat="1" ht="16.5" customHeight="1">
      <c r="B7" s="189">
        <v>42945</v>
      </c>
      <c r="C7" s="190">
        <v>10669</v>
      </c>
      <c r="D7" s="52">
        <v>20</v>
      </c>
      <c r="E7" s="190" t="s">
        <v>2</v>
      </c>
      <c r="F7" s="190" t="s">
        <v>399</v>
      </c>
      <c r="G7" s="191"/>
    </row>
    <row r="8" spans="2:8" s="1" customFormat="1" ht="16.5" customHeight="1">
      <c r="B8" s="189"/>
      <c r="C8" s="190"/>
      <c r="D8" s="52"/>
      <c r="E8" s="190"/>
      <c r="F8" s="190"/>
      <c r="G8" s="191"/>
    </row>
    <row r="9" spans="2:8" s="1" customFormat="1" ht="16.5" customHeight="1">
      <c r="B9" s="189"/>
      <c r="C9" s="190"/>
      <c r="D9" s="52"/>
      <c r="E9" s="190"/>
      <c r="F9" s="190"/>
      <c r="G9" s="191"/>
    </row>
    <row r="10" spans="2:8" s="1" customFormat="1" ht="16.5" customHeight="1">
      <c r="B10" s="189"/>
      <c r="C10" s="190"/>
      <c r="D10" s="52"/>
      <c r="E10" s="190"/>
      <c r="F10" s="190"/>
      <c r="G10" s="191"/>
    </row>
    <row r="11" spans="2:8" s="1" customFormat="1" ht="16.5" customHeight="1">
      <c r="B11" s="189"/>
      <c r="C11" s="190"/>
      <c r="D11" s="52"/>
      <c r="E11" s="190"/>
      <c r="F11" s="190"/>
      <c r="G11" s="191"/>
    </row>
    <row r="12" spans="2:8" s="1" customFormat="1" ht="16.5" customHeight="1">
      <c r="B12" s="192" t="s">
        <v>1</v>
      </c>
      <c r="C12" s="193"/>
      <c r="D12" s="194">
        <f>SUBTOTAL(109,ExpJul137[Amount])</f>
        <v>29.97</v>
      </c>
      <c r="E12" s="193"/>
      <c r="F12" s="193"/>
      <c r="G12" s="192"/>
    </row>
    <row r="13" spans="2:8" s="1" customFormat="1" ht="16.5" customHeight="1">
      <c r="B13" s="195"/>
      <c r="C13" s="196"/>
      <c r="D13" s="197"/>
      <c r="E13" s="196"/>
      <c r="F13" s="196"/>
      <c r="G13" s="196"/>
    </row>
    <row r="14" spans="2:8" s="1" customFormat="1" ht="27.75" customHeight="1">
      <c r="B14" s="205" t="s">
        <v>52</v>
      </c>
      <c r="C14" s="36"/>
      <c r="D14" s="36"/>
      <c r="E14" s="36"/>
      <c r="F14" s="36"/>
      <c r="G14" s="36"/>
    </row>
    <row r="15" spans="2:8" s="1" customFormat="1" ht="16.5" customHeight="1">
      <c r="B15" s="36"/>
      <c r="C15" s="36"/>
      <c r="D15" s="36"/>
      <c r="E15" s="36"/>
      <c r="F15" s="36"/>
      <c r="G15" s="36"/>
    </row>
    <row r="16" spans="2:8" s="1" customFormat="1" ht="16.5" customHeight="1">
      <c r="B16" s="206" t="s">
        <v>50</v>
      </c>
      <c r="C16" s="207" t="s">
        <v>1129</v>
      </c>
      <c r="D16" s="206" t="s">
        <v>48</v>
      </c>
      <c r="E16" s="207" t="s">
        <v>47</v>
      </c>
      <c r="F16" s="207" t="s">
        <v>660</v>
      </c>
      <c r="G16" s="206" t="s">
        <v>45</v>
      </c>
    </row>
    <row r="17" spans="2:7" s="1" customFormat="1" ht="16.5" customHeight="1">
      <c r="B17" s="478">
        <v>42949</v>
      </c>
      <c r="C17" s="479" t="s">
        <v>1130</v>
      </c>
      <c r="D17" s="480">
        <v>40</v>
      </c>
      <c r="E17" s="479" t="s">
        <v>6</v>
      </c>
      <c r="F17" s="479" t="s">
        <v>1131</v>
      </c>
      <c r="G17" s="479" t="s">
        <v>1132</v>
      </c>
    </row>
    <row r="18" spans="2:7" s="1" customFormat="1" ht="16.5" customHeight="1">
      <c r="B18" s="208">
        <v>42955</v>
      </c>
      <c r="C18" s="209">
        <v>10698</v>
      </c>
      <c r="D18" s="210">
        <v>11.3</v>
      </c>
      <c r="E18" s="209" t="s">
        <v>17</v>
      </c>
      <c r="F18" s="209" t="s">
        <v>1133</v>
      </c>
      <c r="G18" s="209" t="s">
        <v>1134</v>
      </c>
    </row>
    <row r="19" spans="2:7" s="1" customFormat="1" ht="16.5" customHeight="1">
      <c r="B19" s="208">
        <v>42955</v>
      </c>
      <c r="C19" s="209">
        <v>10698</v>
      </c>
      <c r="D19" s="210">
        <v>2.87</v>
      </c>
      <c r="E19" s="209" t="s">
        <v>17</v>
      </c>
      <c r="F19" s="209" t="s">
        <v>257</v>
      </c>
      <c r="G19" s="209" t="s">
        <v>1135</v>
      </c>
    </row>
    <row r="20" spans="2:7" s="1" customFormat="1" ht="16.5" customHeight="1">
      <c r="B20" s="208">
        <v>42955</v>
      </c>
      <c r="C20" s="209">
        <v>10698</v>
      </c>
      <c r="D20" s="210">
        <v>17</v>
      </c>
      <c r="E20" s="209" t="s">
        <v>17</v>
      </c>
      <c r="F20" s="209" t="s">
        <v>1136</v>
      </c>
      <c r="G20" s="209" t="s">
        <v>1137</v>
      </c>
    </row>
    <row r="21" spans="2:7" s="1" customFormat="1" ht="16.5" customHeight="1">
      <c r="B21" s="208">
        <v>42955</v>
      </c>
      <c r="C21" s="209">
        <v>10698</v>
      </c>
      <c r="D21" s="210">
        <v>14</v>
      </c>
      <c r="E21" s="209" t="s">
        <v>17</v>
      </c>
      <c r="F21" s="209" t="s">
        <v>1138</v>
      </c>
      <c r="G21" s="209" t="s">
        <v>1139</v>
      </c>
    </row>
    <row r="22" spans="2:7" s="1" customFormat="1" ht="16.5" customHeight="1">
      <c r="B22" s="208">
        <v>42955</v>
      </c>
      <c r="C22" s="209">
        <v>10698</v>
      </c>
      <c r="D22" s="210">
        <v>140</v>
      </c>
      <c r="E22" s="209" t="s">
        <v>17</v>
      </c>
      <c r="F22" s="209" t="s">
        <v>36</v>
      </c>
      <c r="G22" s="209"/>
    </row>
    <row r="23" spans="2:7" s="1" customFormat="1" ht="16.5" customHeight="1">
      <c r="B23" s="25">
        <v>42956</v>
      </c>
      <c r="C23" s="51">
        <v>10700</v>
      </c>
      <c r="D23" s="211">
        <v>210.36</v>
      </c>
      <c r="E23" s="51" t="s">
        <v>3</v>
      </c>
      <c r="F23" s="51" t="s">
        <v>1140</v>
      </c>
      <c r="G23" s="27" t="s">
        <v>1141</v>
      </c>
    </row>
    <row r="24" spans="2:7" s="1" customFormat="1" ht="16.5" customHeight="1">
      <c r="B24" s="25">
        <v>42956</v>
      </c>
      <c r="C24" s="51">
        <v>10700</v>
      </c>
      <c r="D24" s="211">
        <v>20</v>
      </c>
      <c r="E24" s="51" t="s">
        <v>2</v>
      </c>
      <c r="F24" s="51" t="s">
        <v>1142</v>
      </c>
      <c r="G24" s="27"/>
    </row>
    <row r="25" spans="2:7" s="1" customFormat="1" ht="16.5" customHeight="1">
      <c r="B25" s="25">
        <v>42968</v>
      </c>
      <c r="C25" s="51">
        <v>10725</v>
      </c>
      <c r="D25" s="211">
        <v>7.83</v>
      </c>
      <c r="E25" s="51" t="s">
        <v>5</v>
      </c>
      <c r="F25" s="51" t="s">
        <v>1143</v>
      </c>
      <c r="G25" s="27" t="s">
        <v>1144</v>
      </c>
    </row>
    <row r="26" spans="2:7" s="1" customFormat="1" ht="16.5" customHeight="1">
      <c r="B26" s="25">
        <v>42968</v>
      </c>
      <c r="C26" s="51">
        <v>10725</v>
      </c>
      <c r="D26" s="211">
        <v>10</v>
      </c>
      <c r="E26" s="51" t="s">
        <v>2</v>
      </c>
      <c r="F26" s="51" t="s">
        <v>555</v>
      </c>
      <c r="G26" s="27"/>
    </row>
    <row r="27" spans="2:7" s="1" customFormat="1" ht="16.5" customHeight="1">
      <c r="B27" s="25"/>
      <c r="C27" s="51"/>
      <c r="D27" s="211"/>
      <c r="E27" s="51" t="s">
        <v>17</v>
      </c>
      <c r="F27" s="51"/>
      <c r="G27" s="27"/>
    </row>
    <row r="28" spans="2:7" s="1" customFormat="1" ht="16.5" customHeight="1">
      <c r="B28" s="212" t="s">
        <v>1</v>
      </c>
      <c r="C28" s="213"/>
      <c r="D28" s="214">
        <f>SUBTOTAL(109,ExpAug138[Amount])</f>
        <v>473.35999999999996</v>
      </c>
      <c r="E28" s="213"/>
      <c r="F28" s="213"/>
      <c r="G28" s="212"/>
    </row>
    <row r="30" spans="2:7" s="1" customFormat="1" ht="27" customHeight="1">
      <c r="B30" s="205" t="s">
        <v>56</v>
      </c>
      <c r="C30" s="117"/>
      <c r="D30" s="117"/>
      <c r="E30" s="117"/>
      <c r="F30" s="117"/>
      <c r="G30" s="117"/>
    </row>
    <row r="31" spans="2:7" s="1" customFormat="1" ht="16.5" customHeight="1">
      <c r="B31" s="117"/>
      <c r="C31" s="117"/>
      <c r="D31" s="117"/>
      <c r="E31" s="117"/>
      <c r="F31" s="117"/>
      <c r="G31" s="117"/>
    </row>
    <row r="32" spans="2:7" s="1" customFormat="1" ht="16.5" customHeight="1">
      <c r="B32" s="206" t="s">
        <v>50</v>
      </c>
      <c r="C32" s="207" t="s">
        <v>1145</v>
      </c>
      <c r="D32" s="206" t="s">
        <v>48</v>
      </c>
      <c r="E32" s="207" t="s">
        <v>47</v>
      </c>
      <c r="F32" s="207" t="s">
        <v>660</v>
      </c>
      <c r="G32" s="206" t="s">
        <v>45</v>
      </c>
    </row>
    <row r="33" spans="2:7" s="1" customFormat="1" ht="16.5" customHeight="1">
      <c r="B33" s="208">
        <v>43000</v>
      </c>
      <c r="C33" s="209">
        <v>10810</v>
      </c>
      <c r="D33" s="210">
        <v>2.87</v>
      </c>
      <c r="E33" s="209" t="s">
        <v>17</v>
      </c>
      <c r="F33" s="209" t="s">
        <v>1146</v>
      </c>
      <c r="G33" s="209" t="s">
        <v>1147</v>
      </c>
    </row>
    <row r="34" spans="2:7" s="1" customFormat="1" ht="16.5" customHeight="1">
      <c r="B34" s="208">
        <v>43000</v>
      </c>
      <c r="C34" s="209">
        <v>10810</v>
      </c>
      <c r="D34" s="210">
        <v>96.18</v>
      </c>
      <c r="E34" s="209" t="s">
        <v>17</v>
      </c>
      <c r="F34" s="209" t="s">
        <v>1148</v>
      </c>
      <c r="G34" s="209" t="s">
        <v>996</v>
      </c>
    </row>
    <row r="35" spans="2:7" s="1" customFormat="1" ht="16.5" customHeight="1">
      <c r="B35" s="208">
        <v>43000</v>
      </c>
      <c r="C35" s="209">
        <v>10810</v>
      </c>
      <c r="D35" s="210">
        <v>2.5</v>
      </c>
      <c r="E35" s="209" t="s">
        <v>17</v>
      </c>
      <c r="F35" s="209" t="s">
        <v>1149</v>
      </c>
      <c r="G35" s="209" t="s">
        <v>1150</v>
      </c>
    </row>
    <row r="36" spans="2:7" s="1" customFormat="1" ht="16.5" customHeight="1">
      <c r="B36" s="208">
        <v>43000</v>
      </c>
      <c r="C36" s="209">
        <v>10810</v>
      </c>
      <c r="D36" s="210">
        <v>14</v>
      </c>
      <c r="E36" s="209" t="s">
        <v>17</v>
      </c>
      <c r="F36" s="209" t="s">
        <v>737</v>
      </c>
      <c r="G36" s="209" t="s">
        <v>1151</v>
      </c>
    </row>
    <row r="37" spans="2:7" s="1" customFormat="1" ht="16.5" customHeight="1">
      <c r="B37" s="208">
        <v>43000</v>
      </c>
      <c r="C37" s="209">
        <v>10810</v>
      </c>
      <c r="D37" s="210">
        <v>140</v>
      </c>
      <c r="E37" s="209" t="s">
        <v>17</v>
      </c>
      <c r="F37" s="209" t="s">
        <v>1152</v>
      </c>
      <c r="G37" s="209"/>
    </row>
    <row r="38" spans="2:7" s="1" customFormat="1" ht="16.5" customHeight="1">
      <c r="B38" s="25">
        <v>43006</v>
      </c>
      <c r="C38" s="51">
        <v>10834</v>
      </c>
      <c r="D38" s="211">
        <v>312.94</v>
      </c>
      <c r="E38" s="51" t="s">
        <v>3</v>
      </c>
      <c r="F38" s="51" t="s">
        <v>1153</v>
      </c>
      <c r="G38" s="27" t="s">
        <v>1154</v>
      </c>
    </row>
    <row r="39" spans="2:7" s="1" customFormat="1" ht="16.5" customHeight="1">
      <c r="B39" s="25">
        <v>43006</v>
      </c>
      <c r="C39" s="51">
        <v>10834</v>
      </c>
      <c r="D39" s="211">
        <v>60</v>
      </c>
      <c r="E39" s="51" t="s">
        <v>2</v>
      </c>
      <c r="F39" s="51" t="s">
        <v>1155</v>
      </c>
      <c r="G39" s="27"/>
    </row>
    <row r="40" spans="2:7" s="1" customFormat="1" ht="16.5" customHeight="1">
      <c r="B40" s="25">
        <v>43006</v>
      </c>
      <c r="C40" s="51">
        <v>10836</v>
      </c>
      <c r="D40" s="211">
        <v>7.83</v>
      </c>
      <c r="E40" s="51" t="s">
        <v>5</v>
      </c>
      <c r="F40" s="51" t="s">
        <v>1156</v>
      </c>
      <c r="G40" s="27" t="s">
        <v>1157</v>
      </c>
    </row>
    <row r="41" spans="2:7" s="1" customFormat="1" ht="16.5" customHeight="1">
      <c r="B41" s="25">
        <v>43006</v>
      </c>
      <c r="C41" s="51">
        <v>10836</v>
      </c>
      <c r="D41" s="211">
        <v>10</v>
      </c>
      <c r="E41" s="51" t="s">
        <v>2</v>
      </c>
      <c r="F41" s="51" t="s">
        <v>772</v>
      </c>
      <c r="G41" s="27"/>
    </row>
    <row r="42" spans="2:7" s="1" customFormat="1" ht="16.5" customHeight="1">
      <c r="B42" s="337"/>
      <c r="C42" s="338"/>
      <c r="D42" s="339"/>
      <c r="E42" s="338"/>
      <c r="F42" s="338"/>
      <c r="G42" s="340"/>
    </row>
    <row r="43" spans="2:7" s="1" customFormat="1" ht="16.5" customHeight="1">
      <c r="B43" s="212" t="s">
        <v>1</v>
      </c>
      <c r="C43" s="213"/>
      <c r="D43" s="214">
        <f>SUBTOTAL(109,ExpSep139[Amount])</f>
        <v>646.32000000000005</v>
      </c>
      <c r="E43" s="213"/>
      <c r="F43" s="213"/>
      <c r="G43" s="212"/>
    </row>
    <row r="45" spans="2:7" s="1" customFormat="1" ht="28.5" customHeight="1">
      <c r="B45" s="205" t="s">
        <v>70</v>
      </c>
      <c r="C45" s="117"/>
      <c r="D45" s="117"/>
      <c r="E45" s="117"/>
      <c r="F45" s="117"/>
      <c r="G45" s="117"/>
    </row>
    <row r="46" spans="2:7" s="1" customFormat="1" ht="16.5" customHeight="1">
      <c r="B46" s="117"/>
      <c r="C46" s="117"/>
      <c r="D46" s="117"/>
      <c r="E46" s="117"/>
      <c r="F46" s="117"/>
      <c r="G46" s="117"/>
    </row>
    <row r="47" spans="2:7" s="1" customFormat="1" ht="16.5" customHeight="1">
      <c r="B47" s="206" t="s">
        <v>50</v>
      </c>
      <c r="C47" s="207" t="s">
        <v>71</v>
      </c>
      <c r="D47" s="206" t="s">
        <v>48</v>
      </c>
      <c r="E47" s="207" t="s">
        <v>47</v>
      </c>
      <c r="F47" s="207" t="s">
        <v>660</v>
      </c>
      <c r="G47" s="206" t="s">
        <v>45</v>
      </c>
    </row>
    <row r="48" spans="2:7" s="1" customFormat="1" ht="16.5" customHeight="1">
      <c r="B48" s="478">
        <v>43018</v>
      </c>
      <c r="C48" s="479" t="s">
        <v>1158</v>
      </c>
      <c r="D48" s="480">
        <v>100</v>
      </c>
      <c r="E48" s="478" t="s">
        <v>6</v>
      </c>
      <c r="F48" s="478" t="s">
        <v>1159</v>
      </c>
      <c r="G48" s="479" t="s">
        <v>1160</v>
      </c>
    </row>
    <row r="49" spans="2:7" s="1" customFormat="1" ht="16.5" customHeight="1">
      <c r="B49" s="25">
        <v>43020</v>
      </c>
      <c r="C49" s="51" t="s">
        <v>1682</v>
      </c>
      <c r="D49" s="211">
        <v>12</v>
      </c>
      <c r="E49" s="51" t="s">
        <v>1683</v>
      </c>
      <c r="F49" s="51" t="s">
        <v>1684</v>
      </c>
      <c r="G49" s="27" t="s">
        <v>1685</v>
      </c>
    </row>
    <row r="50" spans="2:7" s="1" customFormat="1" ht="16.5" customHeight="1">
      <c r="B50" s="25">
        <v>43022</v>
      </c>
      <c r="C50" s="51">
        <v>10870</v>
      </c>
      <c r="D50" s="211">
        <v>3.91</v>
      </c>
      <c r="E50" s="51" t="s">
        <v>3</v>
      </c>
      <c r="F50" s="51" t="s">
        <v>1715</v>
      </c>
      <c r="G50" s="27" t="s">
        <v>1716</v>
      </c>
    </row>
    <row r="51" spans="2:7" s="1" customFormat="1" ht="16.5" customHeight="1">
      <c r="B51" s="25">
        <v>43022</v>
      </c>
      <c r="C51" s="51">
        <v>10870</v>
      </c>
      <c r="D51" s="211">
        <v>20</v>
      </c>
      <c r="E51" s="51" t="s">
        <v>2</v>
      </c>
      <c r="F51" s="51" t="s">
        <v>399</v>
      </c>
      <c r="G51" s="27"/>
    </row>
    <row r="52" spans="2:7" s="1" customFormat="1" ht="16.5" customHeight="1">
      <c r="B52" s="25"/>
      <c r="C52" s="51"/>
      <c r="D52" s="211"/>
      <c r="E52" s="51"/>
      <c r="F52" s="51"/>
      <c r="G52" s="27"/>
    </row>
    <row r="53" spans="2:7" s="1" customFormat="1" ht="16.5" customHeight="1">
      <c r="B53" s="25"/>
      <c r="C53" s="51"/>
      <c r="D53" s="211"/>
      <c r="E53" s="51"/>
      <c r="F53" s="51"/>
      <c r="G53" s="27"/>
    </row>
    <row r="54" spans="2:7" s="1" customFormat="1" ht="16.5" customHeight="1">
      <c r="B54" s="25"/>
      <c r="C54" s="51"/>
      <c r="D54" s="211"/>
      <c r="E54" s="51"/>
      <c r="F54" s="51"/>
      <c r="G54" s="27"/>
    </row>
    <row r="55" spans="2:7" s="1" customFormat="1" ht="16.5" customHeight="1">
      <c r="B55" s="25"/>
      <c r="C55" s="51"/>
      <c r="D55" s="211"/>
      <c r="E55" s="51"/>
      <c r="F55" s="51"/>
      <c r="G55" s="27"/>
    </row>
    <row r="56" spans="2:7" s="1" customFormat="1" ht="16.5" customHeight="1">
      <c r="B56" s="25"/>
      <c r="C56" s="51"/>
      <c r="D56" s="211"/>
      <c r="E56" s="51"/>
      <c r="F56" s="51"/>
      <c r="G56" s="27"/>
    </row>
    <row r="57" spans="2:7" s="1" customFormat="1" ht="16.5" customHeight="1">
      <c r="B57" s="25"/>
      <c r="C57" s="51"/>
      <c r="D57" s="211"/>
      <c r="E57" s="51"/>
      <c r="F57" s="51"/>
      <c r="G57" s="27"/>
    </row>
    <row r="58" spans="2:7" s="1" customFormat="1" ht="16.5" customHeight="1">
      <c r="B58" s="25"/>
      <c r="C58" s="51"/>
      <c r="D58" s="211"/>
      <c r="E58" s="51"/>
      <c r="F58" s="51"/>
      <c r="G58" s="27"/>
    </row>
    <row r="59" spans="2:7" s="1" customFormat="1" ht="16.5" customHeight="1">
      <c r="B59" s="212" t="s">
        <v>1</v>
      </c>
      <c r="C59" s="213"/>
      <c r="D59" s="214">
        <f>SUBTOTAL(109,ExpOct140[Amount])</f>
        <v>135.91</v>
      </c>
      <c r="E59" s="213"/>
      <c r="F59" s="213"/>
      <c r="G59" s="212"/>
    </row>
    <row r="60" spans="2:7" s="1" customFormat="1" ht="16.5" customHeight="1">
      <c r="B60" s="213"/>
      <c r="C60" s="213"/>
      <c r="D60" s="536"/>
      <c r="E60" s="213"/>
      <c r="F60" s="213"/>
      <c r="G60" s="213"/>
    </row>
    <row r="61" spans="2:7" s="1" customFormat="1" ht="25.5" customHeight="1">
      <c r="B61" s="205" t="s">
        <v>159</v>
      </c>
      <c r="C61" s="117"/>
      <c r="D61" s="117"/>
      <c r="E61" s="117"/>
      <c r="F61" s="117"/>
      <c r="G61" s="117"/>
    </row>
    <row r="62" spans="2:7" s="1" customFormat="1" ht="16.5" customHeight="1">
      <c r="B62" s="117"/>
      <c r="C62" s="117"/>
      <c r="D62" s="117"/>
      <c r="E62" s="117"/>
      <c r="F62" s="117"/>
      <c r="G62" s="117"/>
    </row>
    <row r="63" spans="2:7" s="1" customFormat="1" ht="16.5" customHeight="1">
      <c r="B63" s="206" t="s">
        <v>50</v>
      </c>
      <c r="C63" s="207" t="s">
        <v>71</v>
      </c>
      <c r="D63" s="206" t="s">
        <v>48</v>
      </c>
      <c r="E63" s="207" t="s">
        <v>47</v>
      </c>
      <c r="F63" s="207" t="s">
        <v>161</v>
      </c>
      <c r="G63" s="206" t="s">
        <v>160</v>
      </c>
    </row>
    <row r="64" spans="2:7" s="1" customFormat="1" ht="16.5" customHeight="1">
      <c r="B64" s="25"/>
      <c r="C64" s="51"/>
      <c r="D64" s="211"/>
      <c r="E64" s="51"/>
      <c r="F64" s="51"/>
      <c r="G64" s="27"/>
    </row>
    <row r="65" spans="2:7" s="1" customFormat="1" ht="16.5" customHeight="1">
      <c r="B65" s="25"/>
      <c r="C65" s="51"/>
      <c r="D65" s="211"/>
      <c r="E65" s="51"/>
      <c r="F65" s="51"/>
      <c r="G65" s="27"/>
    </row>
    <row r="66" spans="2:7" s="1" customFormat="1" ht="16.5" customHeight="1">
      <c r="B66" s="25"/>
      <c r="C66" s="51"/>
      <c r="D66" s="211"/>
      <c r="E66" s="51"/>
      <c r="F66" s="51"/>
      <c r="G66" s="27"/>
    </row>
    <row r="67" spans="2:7" s="1" customFormat="1" ht="16.5" customHeight="1">
      <c r="B67" s="25"/>
      <c r="C67" s="51"/>
      <c r="D67" s="211"/>
      <c r="E67" s="51"/>
      <c r="F67" s="51"/>
      <c r="G67" s="27"/>
    </row>
    <row r="68" spans="2:7" s="1" customFormat="1" ht="16.5" customHeight="1">
      <c r="B68" s="25"/>
      <c r="C68" s="51"/>
      <c r="D68" s="211"/>
      <c r="E68" s="51"/>
      <c r="F68" s="51"/>
      <c r="G68" s="27"/>
    </row>
    <row r="69" spans="2:7" s="1" customFormat="1" ht="16.5" customHeight="1">
      <c r="B69" s="25"/>
      <c r="C69" s="51"/>
      <c r="D69" s="211"/>
      <c r="E69" s="51"/>
      <c r="F69" s="51"/>
      <c r="G69" s="27"/>
    </row>
    <row r="70" spans="2:7" s="1" customFormat="1" ht="16.5" customHeight="1">
      <c r="B70" s="25"/>
      <c r="C70" s="51"/>
      <c r="D70" s="211"/>
      <c r="E70" s="51"/>
      <c r="F70" s="51"/>
      <c r="G70" s="27"/>
    </row>
    <row r="71" spans="2:7" s="1" customFormat="1" ht="16.5" customHeight="1">
      <c r="B71" s="25"/>
      <c r="C71" s="51"/>
      <c r="D71" s="211"/>
      <c r="E71" s="51"/>
      <c r="F71" s="51"/>
      <c r="G71" s="27"/>
    </row>
    <row r="72" spans="2:7" s="1" customFormat="1" ht="16.5" customHeight="1">
      <c r="B72" s="25"/>
      <c r="C72" s="51"/>
      <c r="D72" s="211"/>
      <c r="E72" s="51"/>
      <c r="F72" s="51"/>
      <c r="G72" s="27"/>
    </row>
    <row r="73" spans="2:7" s="1" customFormat="1" ht="16.5" customHeight="1">
      <c r="B73" s="25"/>
      <c r="C73" s="51"/>
      <c r="D73" s="211"/>
      <c r="E73" s="51"/>
      <c r="F73" s="51"/>
      <c r="G73" s="27"/>
    </row>
    <row r="74" spans="2:7" s="1" customFormat="1" ht="16.5" customHeight="1">
      <c r="B74" s="212" t="s">
        <v>1</v>
      </c>
      <c r="C74" s="213"/>
      <c r="D74" s="214">
        <f>SUBTOTAL(109,ExpNov128141[Amount])</f>
        <v>0</v>
      </c>
      <c r="E74" s="213"/>
      <c r="F74" s="213"/>
      <c r="G74" s="212"/>
    </row>
    <row r="76" spans="2:7" s="1" customFormat="1" ht="24" customHeight="1">
      <c r="B76" s="205" t="s">
        <v>162</v>
      </c>
      <c r="C76" s="117"/>
      <c r="D76" s="117"/>
      <c r="E76" s="117"/>
      <c r="F76" s="117"/>
      <c r="G76" s="117"/>
    </row>
    <row r="77" spans="2:7" s="1" customFormat="1" ht="16.5" customHeight="1">
      <c r="B77" s="117"/>
      <c r="C77" s="117"/>
      <c r="D77" s="117"/>
      <c r="E77" s="117"/>
      <c r="F77" s="117"/>
      <c r="G77" s="117"/>
    </row>
    <row r="78" spans="2:7" s="1" customFormat="1" ht="16.5" customHeight="1">
      <c r="B78" s="206" t="s">
        <v>50</v>
      </c>
      <c r="C78" s="207" t="s">
        <v>71</v>
      </c>
      <c r="D78" s="206" t="s">
        <v>48</v>
      </c>
      <c r="E78" s="207" t="s">
        <v>47</v>
      </c>
      <c r="F78" s="207" t="s">
        <v>161</v>
      </c>
      <c r="G78" s="206" t="s">
        <v>160</v>
      </c>
    </row>
    <row r="79" spans="2:7" s="1" customFormat="1" ht="16.5" customHeight="1">
      <c r="B79" s="25"/>
      <c r="C79" s="51"/>
      <c r="D79" s="211"/>
      <c r="E79" s="51"/>
      <c r="F79" s="51"/>
      <c r="G79" s="27"/>
    </row>
    <row r="80" spans="2:7" s="1" customFormat="1" ht="16.5" customHeight="1">
      <c r="B80" s="25"/>
      <c r="C80" s="51"/>
      <c r="D80" s="211"/>
      <c r="E80" s="51"/>
      <c r="F80" s="51"/>
      <c r="G80" s="27"/>
    </row>
    <row r="81" spans="2:7" s="1" customFormat="1" ht="16.5" customHeight="1">
      <c r="B81" s="25"/>
      <c r="C81" s="51"/>
      <c r="D81" s="211"/>
      <c r="E81" s="51"/>
      <c r="F81" s="51"/>
      <c r="G81" s="27"/>
    </row>
    <row r="82" spans="2:7" s="1" customFormat="1" ht="16.5" customHeight="1">
      <c r="B82" s="25"/>
      <c r="C82" s="51"/>
      <c r="D82" s="211"/>
      <c r="E82" s="51"/>
      <c r="F82" s="51"/>
      <c r="G82" s="27"/>
    </row>
    <row r="83" spans="2:7" s="1" customFormat="1" ht="16.5" customHeight="1">
      <c r="B83" s="25"/>
      <c r="C83" s="51"/>
      <c r="D83" s="211"/>
      <c r="E83" s="51"/>
      <c r="F83" s="51"/>
      <c r="G83" s="27"/>
    </row>
    <row r="84" spans="2:7" s="1" customFormat="1" ht="16.5" customHeight="1">
      <c r="B84" s="25"/>
      <c r="C84" s="51"/>
      <c r="D84" s="211"/>
      <c r="E84" s="51"/>
      <c r="F84" s="51"/>
      <c r="G84" s="27"/>
    </row>
    <row r="85" spans="2:7" s="1" customFormat="1" ht="16.5" customHeight="1">
      <c r="B85" s="212" t="s">
        <v>1</v>
      </c>
      <c r="C85" s="213"/>
      <c r="D85" s="214">
        <f>SUBTOTAL(109,ExpDec129142[Amount])</f>
        <v>0</v>
      </c>
      <c r="E85" s="213"/>
      <c r="F85" s="213"/>
      <c r="G85" s="212"/>
    </row>
    <row r="87" spans="2:7" s="1" customFormat="1" ht="28.5" customHeight="1">
      <c r="B87" s="205" t="s">
        <v>163</v>
      </c>
      <c r="C87" s="117"/>
      <c r="D87" s="117"/>
      <c r="E87" s="117"/>
      <c r="F87" s="117"/>
      <c r="G87" s="117"/>
    </row>
    <row r="88" spans="2:7" s="1" customFormat="1" ht="16.5" customHeight="1">
      <c r="B88" s="117"/>
      <c r="C88" s="117"/>
      <c r="D88" s="117"/>
      <c r="E88" s="117"/>
      <c r="F88" s="117"/>
      <c r="G88" s="117"/>
    </row>
    <row r="89" spans="2:7" s="1" customFormat="1" ht="16.5" customHeight="1">
      <c r="B89" s="206" t="s">
        <v>50</v>
      </c>
      <c r="C89" s="207" t="s">
        <v>164</v>
      </c>
      <c r="D89" s="206" t="s">
        <v>48</v>
      </c>
      <c r="E89" s="207" t="s">
        <v>47</v>
      </c>
      <c r="F89" s="207" t="s">
        <v>161</v>
      </c>
      <c r="G89" s="206" t="s">
        <v>160</v>
      </c>
    </row>
    <row r="90" spans="2:7" s="1" customFormat="1" ht="16.5" customHeight="1">
      <c r="B90" s="25"/>
      <c r="C90" s="51"/>
      <c r="D90" s="211"/>
      <c r="E90" s="51"/>
      <c r="F90" s="51"/>
      <c r="G90" s="27"/>
    </row>
    <row r="91" spans="2:7" s="1" customFormat="1" ht="16.5" customHeight="1">
      <c r="B91" s="25"/>
      <c r="C91" s="51"/>
      <c r="D91" s="211"/>
      <c r="E91" s="51"/>
      <c r="F91" s="51"/>
      <c r="G91" s="27"/>
    </row>
    <row r="92" spans="2:7" s="1" customFormat="1" ht="16.5" customHeight="1">
      <c r="B92" s="25"/>
      <c r="C92" s="51"/>
      <c r="D92" s="211"/>
      <c r="E92" s="51"/>
      <c r="F92" s="51"/>
      <c r="G92" s="27"/>
    </row>
    <row r="93" spans="2:7" s="1" customFormat="1" ht="16.5" customHeight="1">
      <c r="B93" s="27"/>
      <c r="C93" s="26"/>
      <c r="D93" s="211"/>
      <c r="E93" s="26"/>
      <c r="F93" s="26"/>
      <c r="G93" s="27"/>
    </row>
    <row r="94" spans="2:7" s="1" customFormat="1" ht="16.5" customHeight="1">
      <c r="B94" s="27"/>
      <c r="C94" s="26"/>
      <c r="D94" s="211"/>
      <c r="E94" s="26"/>
      <c r="F94" s="26"/>
      <c r="G94" s="27"/>
    </row>
    <row r="95" spans="2:7" s="1" customFormat="1" ht="16.5" customHeight="1">
      <c r="B95" s="27"/>
      <c r="C95" s="26"/>
      <c r="D95" s="211"/>
      <c r="E95" s="26"/>
      <c r="F95" s="26"/>
      <c r="G95" s="27"/>
    </row>
    <row r="96" spans="2:7" s="1" customFormat="1" ht="16.5" customHeight="1">
      <c r="B96" s="27"/>
      <c r="C96" s="26"/>
      <c r="D96" s="211"/>
      <c r="E96" s="26"/>
      <c r="F96" s="26"/>
      <c r="G96" s="27"/>
    </row>
    <row r="97" spans="2:7" s="1" customFormat="1" ht="16.5" customHeight="1">
      <c r="B97" s="27"/>
      <c r="C97" s="26"/>
      <c r="D97" s="211"/>
      <c r="E97" s="26"/>
      <c r="F97" s="26"/>
      <c r="G97" s="27"/>
    </row>
    <row r="98" spans="2:7" s="1" customFormat="1" ht="16.5" customHeight="1">
      <c r="B98" s="212" t="s">
        <v>1</v>
      </c>
      <c r="C98" s="213"/>
      <c r="D98" s="214">
        <f>SUBTOTAL(109,ExpJan130143[Amount])</f>
        <v>0</v>
      </c>
      <c r="E98" s="213"/>
      <c r="F98" s="213"/>
      <c r="G98" s="212"/>
    </row>
    <row r="100" spans="2:7" s="1" customFormat="1" ht="26.25" customHeight="1">
      <c r="B100" s="205" t="s">
        <v>165</v>
      </c>
      <c r="C100" s="117"/>
      <c r="D100" s="117"/>
      <c r="E100" s="117"/>
      <c r="F100" s="117"/>
      <c r="G100" s="117"/>
    </row>
    <row r="101" spans="2:7" s="1" customFormat="1" ht="16.5" customHeight="1">
      <c r="B101" s="117"/>
      <c r="C101" s="117"/>
      <c r="D101" s="117"/>
      <c r="E101" s="117"/>
      <c r="F101" s="117"/>
      <c r="G101" s="117"/>
    </row>
    <row r="102" spans="2:7" s="1" customFormat="1" ht="16.5" customHeight="1">
      <c r="B102" s="206" t="s">
        <v>50</v>
      </c>
      <c r="C102" s="207" t="s">
        <v>71</v>
      </c>
      <c r="D102" s="206" t="s">
        <v>48</v>
      </c>
      <c r="E102" s="207" t="s">
        <v>47</v>
      </c>
      <c r="F102" s="206" t="s">
        <v>660</v>
      </c>
      <c r="G102" s="206" t="s">
        <v>45</v>
      </c>
    </row>
    <row r="103" spans="2:7" s="1" customFormat="1" ht="16.5" customHeight="1">
      <c r="B103" s="25"/>
      <c r="C103" s="51"/>
      <c r="D103" s="211"/>
      <c r="E103" s="51"/>
      <c r="F103" s="27"/>
      <c r="G103" s="27"/>
    </row>
    <row r="104" spans="2:7" s="1" customFormat="1" ht="16.5" customHeight="1">
      <c r="B104" s="25"/>
      <c r="C104" s="51"/>
      <c r="D104" s="211"/>
      <c r="E104" s="51"/>
      <c r="F104" s="27"/>
      <c r="G104" s="27"/>
    </row>
    <row r="105" spans="2:7" s="1" customFormat="1" ht="16.5" customHeight="1">
      <c r="B105" s="25"/>
      <c r="C105" s="51"/>
      <c r="D105" s="211"/>
      <c r="E105" s="51"/>
      <c r="F105" s="27"/>
      <c r="G105" s="27"/>
    </row>
    <row r="106" spans="2:7" s="1" customFormat="1" ht="16.5" customHeight="1">
      <c r="B106" s="25"/>
      <c r="C106" s="51"/>
      <c r="D106" s="211"/>
      <c r="E106" s="51"/>
      <c r="F106" s="27"/>
      <c r="G106" s="27"/>
    </row>
    <row r="107" spans="2:7" s="1" customFormat="1" ht="16.5" customHeight="1">
      <c r="B107" s="25"/>
      <c r="C107" s="51"/>
      <c r="D107" s="211"/>
      <c r="E107" s="51"/>
      <c r="F107" s="27"/>
      <c r="G107" s="27"/>
    </row>
    <row r="108" spans="2:7" s="1" customFormat="1" ht="16.5" customHeight="1">
      <c r="B108" s="25"/>
      <c r="C108" s="51"/>
      <c r="D108" s="211"/>
      <c r="E108" s="51"/>
      <c r="F108" s="27"/>
      <c r="G108" s="27"/>
    </row>
    <row r="109" spans="2:7" s="1" customFormat="1" ht="16.5" customHeight="1">
      <c r="B109" s="337"/>
      <c r="C109" s="338"/>
      <c r="D109" s="339"/>
      <c r="E109" s="338"/>
      <c r="F109" s="340"/>
      <c r="G109" s="340"/>
    </row>
    <row r="110" spans="2:7" s="1" customFormat="1" ht="16.5" customHeight="1">
      <c r="B110" s="337"/>
      <c r="C110" s="338"/>
      <c r="D110" s="339"/>
      <c r="E110" s="338"/>
      <c r="F110" s="340"/>
      <c r="G110" s="340"/>
    </row>
    <row r="111" spans="2:7" s="1" customFormat="1" ht="16.5" customHeight="1">
      <c r="B111" s="337"/>
      <c r="C111" s="338"/>
      <c r="D111" s="339"/>
      <c r="E111" s="338"/>
      <c r="F111" s="340"/>
      <c r="G111" s="340"/>
    </row>
    <row r="112" spans="2:7" s="1" customFormat="1" ht="16.5" customHeight="1">
      <c r="B112" s="337"/>
      <c r="C112" s="338"/>
      <c r="D112" s="339"/>
      <c r="E112" s="338"/>
      <c r="F112" s="340"/>
      <c r="G112" s="340"/>
    </row>
    <row r="113" spans="2:7" s="1" customFormat="1" ht="16.5" customHeight="1">
      <c r="B113" s="337"/>
      <c r="C113" s="338"/>
      <c r="D113" s="339"/>
      <c r="E113" s="338"/>
      <c r="F113" s="340"/>
      <c r="G113" s="340"/>
    </row>
    <row r="114" spans="2:7" s="1" customFormat="1" ht="16.5" customHeight="1">
      <c r="B114" s="224" t="s">
        <v>1</v>
      </c>
      <c r="C114" s="225"/>
      <c r="D114" s="226">
        <f>SUBTOTAL(109,ExpFeb131144[Amount])</f>
        <v>0</v>
      </c>
      <c r="E114" s="225"/>
      <c r="F114" s="224"/>
      <c r="G114" s="395"/>
    </row>
    <row r="116" spans="2:7" s="1" customFormat="1" ht="27" customHeight="1">
      <c r="B116" s="205" t="s">
        <v>166</v>
      </c>
      <c r="C116" s="117"/>
      <c r="D116" s="117"/>
      <c r="E116" s="117"/>
      <c r="F116" s="117"/>
      <c r="G116" s="117"/>
    </row>
    <row r="117" spans="2:7" s="1" customFormat="1" ht="16.5" customHeight="1">
      <c r="B117" s="117"/>
      <c r="C117" s="117"/>
      <c r="D117" s="117"/>
      <c r="E117" s="117"/>
      <c r="F117" s="117"/>
      <c r="G117" s="117"/>
    </row>
    <row r="118" spans="2:7" s="1" customFormat="1" ht="16.5" customHeight="1">
      <c r="B118" s="206" t="s">
        <v>50</v>
      </c>
      <c r="C118" s="207" t="s">
        <v>71</v>
      </c>
      <c r="D118" s="206" t="s">
        <v>48</v>
      </c>
      <c r="E118" s="207" t="s">
        <v>47</v>
      </c>
      <c r="F118" s="207" t="s">
        <v>660</v>
      </c>
      <c r="G118" s="206" t="s">
        <v>45</v>
      </c>
    </row>
    <row r="119" spans="2:7" s="1" customFormat="1" ht="16.5" customHeight="1">
      <c r="B119" s="25"/>
      <c r="C119" s="51"/>
      <c r="D119" s="211"/>
      <c r="E119" s="51"/>
      <c r="F119" s="51"/>
      <c r="G119" s="27"/>
    </row>
    <row r="120" spans="2:7" s="1" customFormat="1" ht="16.5" customHeight="1">
      <c r="B120" s="25"/>
      <c r="C120" s="51"/>
      <c r="D120" s="211"/>
      <c r="E120" s="51"/>
      <c r="F120" s="51"/>
      <c r="G120" s="27"/>
    </row>
    <row r="121" spans="2:7" s="1" customFormat="1" ht="16.5" customHeight="1">
      <c r="B121" s="25"/>
      <c r="C121" s="51"/>
      <c r="D121" s="211"/>
      <c r="E121" s="51"/>
      <c r="F121" s="51"/>
      <c r="G121" s="27"/>
    </row>
    <row r="122" spans="2:7" s="1" customFormat="1" ht="16.5" customHeight="1">
      <c r="B122" s="25"/>
      <c r="C122" s="51"/>
      <c r="D122" s="211"/>
      <c r="E122" s="51"/>
      <c r="F122" s="51"/>
      <c r="G122" s="27"/>
    </row>
    <row r="123" spans="2:7" s="1" customFormat="1" ht="16.5" customHeight="1">
      <c r="B123" s="25"/>
      <c r="C123" s="51"/>
      <c r="D123" s="211"/>
      <c r="E123" s="51"/>
      <c r="F123" s="51"/>
      <c r="G123" s="27"/>
    </row>
    <row r="124" spans="2:7" s="1" customFormat="1" ht="16.5" customHeight="1">
      <c r="B124" s="25"/>
      <c r="C124" s="51"/>
      <c r="D124" s="211"/>
      <c r="E124" s="51"/>
      <c r="F124" s="51"/>
      <c r="G124" s="27"/>
    </row>
    <row r="125" spans="2:7" s="1" customFormat="1" ht="16.5" customHeight="1">
      <c r="B125" s="25"/>
      <c r="C125" s="51"/>
      <c r="D125" s="211"/>
      <c r="E125" s="51"/>
      <c r="F125" s="51"/>
      <c r="G125" s="27"/>
    </row>
    <row r="126" spans="2:7" s="1" customFormat="1" ht="16.5" customHeight="1">
      <c r="B126" s="25"/>
      <c r="C126" s="51"/>
      <c r="D126" s="211"/>
      <c r="E126" s="51"/>
      <c r="F126" s="51"/>
      <c r="G126" s="27"/>
    </row>
    <row r="127" spans="2:7" s="1" customFormat="1" ht="16.5" customHeight="1">
      <c r="B127" s="25"/>
      <c r="C127" s="51"/>
      <c r="D127" s="211"/>
      <c r="E127" s="51"/>
      <c r="F127" s="51"/>
      <c r="G127" s="27"/>
    </row>
    <row r="128" spans="2:7" s="1" customFormat="1" ht="16.5" customHeight="1">
      <c r="B128" s="25"/>
      <c r="C128" s="51"/>
      <c r="D128" s="211"/>
      <c r="E128" s="51"/>
      <c r="F128" s="51"/>
      <c r="G128" s="27"/>
    </row>
    <row r="129" spans="2:7" s="1" customFormat="1" ht="16.5" customHeight="1">
      <c r="B129" s="25"/>
      <c r="C129" s="51"/>
      <c r="D129" s="211"/>
      <c r="E129" s="51"/>
      <c r="F129" s="51"/>
      <c r="G129" s="27"/>
    </row>
    <row r="130" spans="2:7" s="1" customFormat="1" ht="16.5" customHeight="1">
      <c r="B130" s="25"/>
      <c r="C130" s="51"/>
      <c r="D130" s="211"/>
      <c r="E130" s="51"/>
      <c r="F130" s="51"/>
      <c r="G130" s="27"/>
    </row>
    <row r="131" spans="2:7" s="1" customFormat="1" ht="16.5" customHeight="1">
      <c r="B131" s="25"/>
      <c r="C131" s="51"/>
      <c r="D131" s="211"/>
      <c r="E131" s="51"/>
      <c r="F131" s="51"/>
      <c r="G131" s="27"/>
    </row>
    <row r="132" spans="2:7" s="1" customFormat="1" ht="16.5" customHeight="1">
      <c r="B132" s="212" t="s">
        <v>1</v>
      </c>
      <c r="C132" s="213"/>
      <c r="D132" s="214">
        <f>SUBTOTAL(109,ExpMar132145[Amount])</f>
        <v>0</v>
      </c>
      <c r="E132" s="213"/>
      <c r="F132" s="213"/>
      <c r="G132" s="212"/>
    </row>
    <row r="134" spans="2:7" s="1" customFormat="1" ht="27" customHeight="1">
      <c r="B134" s="205" t="s">
        <v>167</v>
      </c>
      <c r="C134" s="117"/>
      <c r="D134" s="117"/>
      <c r="E134" s="117"/>
      <c r="F134" s="117"/>
      <c r="G134" s="117"/>
    </row>
    <row r="135" spans="2:7" s="1" customFormat="1" ht="16.5" customHeight="1">
      <c r="B135" s="117"/>
      <c r="C135" s="117"/>
      <c r="D135" s="117"/>
      <c r="E135" s="117"/>
      <c r="F135" s="117"/>
      <c r="G135" s="117"/>
    </row>
    <row r="136" spans="2:7" s="1" customFormat="1" ht="16.5" customHeight="1">
      <c r="B136" s="206" t="s">
        <v>50</v>
      </c>
      <c r="C136" s="207" t="s">
        <v>168</v>
      </c>
      <c r="D136" s="206" t="s">
        <v>48</v>
      </c>
      <c r="E136" s="207" t="s">
        <v>47</v>
      </c>
      <c r="F136" s="207" t="s">
        <v>660</v>
      </c>
      <c r="G136" s="206" t="s">
        <v>45</v>
      </c>
    </row>
    <row r="137" spans="2:7" s="1" customFormat="1" ht="16.5" customHeight="1">
      <c r="B137" s="215"/>
      <c r="C137" s="51"/>
      <c r="D137" s="216"/>
      <c r="E137" s="51"/>
      <c r="F137" s="51"/>
      <c r="G137" s="51"/>
    </row>
    <row r="138" spans="2:7" s="1" customFormat="1" ht="16.5" customHeight="1">
      <c r="B138" s="215"/>
      <c r="C138" s="51"/>
      <c r="D138" s="216"/>
      <c r="E138" s="51"/>
      <c r="F138" s="51"/>
      <c r="G138" s="51"/>
    </row>
    <row r="139" spans="2:7" s="1" customFormat="1" ht="16.5" customHeight="1">
      <c r="B139" s="215"/>
      <c r="C139" s="51"/>
      <c r="D139" s="216"/>
      <c r="E139" s="51"/>
      <c r="F139" s="51"/>
      <c r="G139" s="51"/>
    </row>
    <row r="140" spans="2:7" s="1" customFormat="1" ht="16.5" customHeight="1">
      <c r="B140" s="215"/>
      <c r="C140" s="51"/>
      <c r="D140" s="216"/>
      <c r="E140" s="51"/>
      <c r="F140" s="51"/>
      <c r="G140" s="51"/>
    </row>
    <row r="141" spans="2:7" s="1" customFormat="1" ht="16.5" customHeight="1">
      <c r="B141" s="215"/>
      <c r="C141" s="51"/>
      <c r="D141" s="216"/>
      <c r="E141" s="51"/>
      <c r="F141" s="51"/>
      <c r="G141" s="51"/>
    </row>
    <row r="142" spans="2:7" s="1" customFormat="1" ht="16.5" customHeight="1">
      <c r="B142" s="215"/>
      <c r="C142" s="51"/>
      <c r="D142" s="216"/>
      <c r="E142" s="51"/>
      <c r="F142" s="51"/>
      <c r="G142" s="51"/>
    </row>
    <row r="143" spans="2:7" s="1" customFormat="1" ht="16.5" customHeight="1">
      <c r="B143" s="215"/>
      <c r="C143" s="51"/>
      <c r="D143" s="216"/>
      <c r="E143" s="51"/>
      <c r="F143" s="51"/>
      <c r="G143" s="51"/>
    </row>
    <row r="144" spans="2:7" s="1" customFormat="1" ht="16.5" customHeight="1">
      <c r="B144" s="215"/>
      <c r="C144" s="51"/>
      <c r="D144" s="216"/>
      <c r="E144" s="51"/>
      <c r="F144" s="51"/>
      <c r="G144" s="51"/>
    </row>
    <row r="145" spans="2:7" s="1" customFormat="1" ht="16.5" customHeight="1">
      <c r="B145" s="215"/>
      <c r="C145" s="51"/>
      <c r="D145" s="216"/>
      <c r="E145" s="51"/>
      <c r="F145" s="51"/>
      <c r="G145" s="51"/>
    </row>
    <row r="146" spans="2:7" s="1" customFormat="1" ht="16.5" customHeight="1">
      <c r="B146" s="215"/>
      <c r="C146" s="51"/>
      <c r="D146" s="216"/>
      <c r="E146" s="51"/>
      <c r="F146" s="51"/>
      <c r="G146" s="51"/>
    </row>
    <row r="147" spans="2:7" s="1" customFormat="1" ht="16.5" customHeight="1">
      <c r="B147" s="215"/>
      <c r="C147" s="51"/>
      <c r="D147" s="216"/>
      <c r="E147" s="51"/>
      <c r="F147" s="51"/>
      <c r="G147" s="51"/>
    </row>
    <row r="148" spans="2:7" s="1" customFormat="1" ht="16.5" customHeight="1">
      <c r="B148" s="212" t="s">
        <v>1</v>
      </c>
      <c r="C148" s="213"/>
      <c r="D148" s="214">
        <f>SUBTOTAL(109,ExpApr133146[Amount])</f>
        <v>0</v>
      </c>
      <c r="E148" s="213"/>
      <c r="F148" s="213"/>
      <c r="G148" s="212"/>
    </row>
    <row r="150" spans="2:7" s="1" customFormat="1" ht="28.5" customHeight="1">
      <c r="B150" s="205" t="s">
        <v>169</v>
      </c>
      <c r="C150" s="117"/>
      <c r="D150" s="117"/>
      <c r="E150" s="117"/>
      <c r="F150" s="117"/>
      <c r="G150" s="117"/>
    </row>
    <row r="151" spans="2:7" s="1" customFormat="1" ht="16.5" customHeight="1">
      <c r="B151" s="117"/>
      <c r="C151" s="117"/>
      <c r="D151" s="117"/>
      <c r="E151" s="117"/>
      <c r="F151" s="117"/>
      <c r="G151" s="117"/>
    </row>
    <row r="152" spans="2:7" s="1" customFormat="1" ht="16.5" customHeight="1">
      <c r="B152" s="206" t="s">
        <v>50</v>
      </c>
      <c r="C152" s="207" t="s">
        <v>71</v>
      </c>
      <c r="D152" s="206" t="s">
        <v>48</v>
      </c>
      <c r="E152" s="207" t="s">
        <v>47</v>
      </c>
      <c r="F152" s="207" t="s">
        <v>660</v>
      </c>
      <c r="G152" s="206" t="s">
        <v>45</v>
      </c>
    </row>
    <row r="153" spans="2:7" s="1" customFormat="1" ht="16.5" customHeight="1">
      <c r="B153" s="25"/>
      <c r="C153" s="51"/>
      <c r="D153" s="211"/>
      <c r="E153" s="51"/>
      <c r="F153" s="51"/>
      <c r="G153" s="27"/>
    </row>
    <row r="154" spans="2:7" s="1" customFormat="1" ht="16.5" customHeight="1">
      <c r="B154" s="25"/>
      <c r="C154" s="51"/>
      <c r="D154" s="211"/>
      <c r="E154" s="51"/>
      <c r="F154" s="51"/>
      <c r="G154" s="27"/>
    </row>
    <row r="155" spans="2:7" s="1" customFormat="1" ht="16.5" customHeight="1">
      <c r="B155" s="25"/>
      <c r="C155" s="51"/>
      <c r="D155" s="211"/>
      <c r="E155" s="51"/>
      <c r="F155" s="51"/>
      <c r="G155" s="27"/>
    </row>
    <row r="156" spans="2:7" s="1" customFormat="1" ht="16.5" customHeight="1">
      <c r="B156" s="25"/>
      <c r="C156" s="51"/>
      <c r="D156" s="211"/>
      <c r="E156" s="51"/>
      <c r="F156" s="51"/>
      <c r="G156" s="27"/>
    </row>
    <row r="157" spans="2:7" s="1" customFormat="1" ht="16.5" customHeight="1">
      <c r="B157" s="25"/>
      <c r="C157" s="51"/>
      <c r="D157" s="211"/>
      <c r="E157" s="51"/>
      <c r="F157" s="51"/>
      <c r="G157" s="27"/>
    </row>
    <row r="158" spans="2:7" s="1" customFormat="1" ht="16.5" customHeight="1">
      <c r="B158" s="25"/>
      <c r="C158" s="51"/>
      <c r="D158" s="211"/>
      <c r="E158" s="51"/>
      <c r="F158" s="51"/>
      <c r="G158" s="27"/>
    </row>
    <row r="159" spans="2:7" s="1" customFormat="1" ht="16.5" customHeight="1">
      <c r="B159" s="25"/>
      <c r="C159" s="51"/>
      <c r="D159" s="211"/>
      <c r="E159" s="51"/>
      <c r="F159" s="51"/>
      <c r="G159" s="27"/>
    </row>
    <row r="160" spans="2:7" s="1" customFormat="1" ht="16.5" customHeight="1">
      <c r="B160" s="25"/>
      <c r="C160" s="51"/>
      <c r="D160" s="211"/>
      <c r="E160" s="51"/>
      <c r="F160" s="51"/>
      <c r="G160" s="27"/>
    </row>
    <row r="161" spans="2:7" s="1" customFormat="1" ht="16.5" customHeight="1">
      <c r="B161" s="25"/>
      <c r="C161" s="51"/>
      <c r="D161" s="211"/>
      <c r="E161" s="51"/>
      <c r="F161" s="51"/>
      <c r="G161" s="27"/>
    </row>
    <row r="162" spans="2:7" s="1" customFormat="1" ht="16.5" customHeight="1">
      <c r="B162" s="25"/>
      <c r="C162" s="51"/>
      <c r="D162" s="211"/>
      <c r="E162" s="51"/>
      <c r="F162" s="51"/>
      <c r="G162" s="27"/>
    </row>
    <row r="163" spans="2:7" s="1" customFormat="1" ht="16.5" customHeight="1">
      <c r="B163" s="25"/>
      <c r="C163" s="51"/>
      <c r="D163" s="211"/>
      <c r="E163" s="51"/>
      <c r="F163" s="51"/>
      <c r="G163" s="27"/>
    </row>
    <row r="164" spans="2:7" s="1" customFormat="1" ht="16.5" customHeight="1">
      <c r="B164" s="25"/>
      <c r="C164" s="51"/>
      <c r="D164" s="211"/>
      <c r="E164" s="51"/>
      <c r="F164" s="51"/>
      <c r="G164" s="27"/>
    </row>
    <row r="165" spans="2:7" s="1" customFormat="1" ht="16.5" customHeight="1">
      <c r="B165" s="224" t="s">
        <v>1</v>
      </c>
      <c r="C165" s="225"/>
      <c r="D165" s="226">
        <f>SUBTOTAL(109,ExpMay134147[Amount])</f>
        <v>0</v>
      </c>
      <c r="E165" s="225"/>
      <c r="F165" s="225"/>
      <c r="G165" s="224"/>
    </row>
    <row r="167" spans="2:7" s="1" customFormat="1" ht="26.25" customHeight="1">
      <c r="B167" s="205" t="s">
        <v>170</v>
      </c>
      <c r="C167" s="117"/>
      <c r="D167" s="117"/>
      <c r="E167" s="117"/>
      <c r="F167" s="117"/>
      <c r="G167" s="117"/>
    </row>
    <row r="168" spans="2:7" s="1" customFormat="1" ht="16.5" customHeight="1">
      <c r="B168" s="117"/>
      <c r="C168" s="117"/>
      <c r="D168" s="117"/>
      <c r="E168" s="117"/>
      <c r="F168" s="117"/>
      <c r="G168" s="117"/>
    </row>
    <row r="169" spans="2:7" s="1" customFormat="1" ht="16.5" customHeight="1">
      <c r="B169" s="206" t="s">
        <v>50</v>
      </c>
      <c r="C169" s="207" t="s">
        <v>155</v>
      </c>
      <c r="D169" s="206" t="s">
        <v>48</v>
      </c>
      <c r="E169" s="207" t="s">
        <v>47</v>
      </c>
      <c r="F169" s="207" t="s">
        <v>660</v>
      </c>
      <c r="G169" s="206" t="s">
        <v>45</v>
      </c>
    </row>
    <row r="170" spans="2:7" s="1" customFormat="1" ht="16.5" customHeight="1">
      <c r="B170" s="215"/>
      <c r="C170" s="51"/>
      <c r="D170" s="216"/>
      <c r="E170" s="51"/>
      <c r="F170" s="51"/>
      <c r="G170" s="51"/>
    </row>
    <row r="171" spans="2:7" s="1" customFormat="1" ht="16.5" customHeight="1">
      <c r="B171" s="215"/>
      <c r="C171" s="51"/>
      <c r="D171" s="216"/>
      <c r="E171" s="51"/>
      <c r="F171" s="51"/>
      <c r="G171" s="51"/>
    </row>
    <row r="172" spans="2:7" s="1" customFormat="1" ht="16.5" customHeight="1">
      <c r="B172" s="215"/>
      <c r="C172" s="51"/>
      <c r="D172" s="216"/>
      <c r="E172" s="51"/>
      <c r="F172" s="51"/>
      <c r="G172" s="51"/>
    </row>
    <row r="173" spans="2:7" s="1" customFormat="1" ht="16.5" customHeight="1">
      <c r="B173" s="215"/>
      <c r="C173" s="51"/>
      <c r="D173" s="216"/>
      <c r="E173" s="51"/>
      <c r="F173" s="51"/>
      <c r="G173" s="51"/>
    </row>
    <row r="174" spans="2:7" s="1" customFormat="1" ht="16.5" customHeight="1">
      <c r="B174" s="215"/>
      <c r="C174" s="51"/>
      <c r="D174" s="216"/>
      <c r="E174" s="51"/>
      <c r="F174" s="51"/>
      <c r="G174" s="51"/>
    </row>
    <row r="175" spans="2:7" s="1" customFormat="1" ht="16.5" customHeight="1">
      <c r="B175" s="215"/>
      <c r="C175" s="51"/>
      <c r="D175" s="216"/>
      <c r="E175" s="51"/>
      <c r="F175" s="51"/>
      <c r="G175" s="51"/>
    </row>
    <row r="176" spans="2:7" s="1" customFormat="1" ht="16.5" customHeight="1">
      <c r="B176" s="215"/>
      <c r="C176" s="51"/>
      <c r="D176" s="216"/>
      <c r="E176" s="51"/>
      <c r="F176" s="51"/>
      <c r="G176" s="51"/>
    </row>
    <row r="177" spans="2:7" s="1" customFormat="1" ht="16.5" customHeight="1">
      <c r="B177" s="215"/>
      <c r="C177" s="51"/>
      <c r="D177" s="216"/>
      <c r="E177" s="51"/>
      <c r="F177" s="51"/>
      <c r="G177" s="51"/>
    </row>
    <row r="178" spans="2:7" s="1" customFormat="1" ht="16.5" customHeight="1">
      <c r="B178" s="215"/>
      <c r="C178" s="51"/>
      <c r="D178" s="216"/>
      <c r="E178" s="51"/>
      <c r="F178" s="51"/>
      <c r="G178" s="51"/>
    </row>
    <row r="179" spans="2:7" s="1" customFormat="1" ht="16.5" customHeight="1">
      <c r="B179" s="215"/>
      <c r="C179" s="51"/>
      <c r="D179" s="216"/>
      <c r="E179" s="51"/>
      <c r="F179" s="51"/>
      <c r="G179" s="51"/>
    </row>
    <row r="180" spans="2:7" s="1" customFormat="1" ht="16.5" customHeight="1">
      <c r="B180" s="215"/>
      <c r="C180" s="51"/>
      <c r="D180" s="216"/>
      <c r="E180" s="51"/>
      <c r="F180" s="51"/>
      <c r="G180" s="51"/>
    </row>
    <row r="181" spans="2:7" s="1" customFormat="1" ht="16.5" customHeight="1">
      <c r="B181" s="224" t="s">
        <v>1</v>
      </c>
      <c r="C181" s="225"/>
      <c r="D181" s="226">
        <f>SUBTOTAL(109,ExpJun135148[Amount])</f>
        <v>0</v>
      </c>
      <c r="E181" s="225"/>
      <c r="F181" s="225"/>
      <c r="G181" s="224"/>
    </row>
  </sheetData>
  <dataValidations count="14">
    <dataValidation type="custom" errorStyle="warning" allowBlank="1" showInputMessage="1" showErrorMessage="1" errorTitle="Amount Validation" error="Amount should be a number." sqref="D5:D11 D13 D17:D27 D33:D42 D48:D58 D64:D73 D79:D84 D90:D97 D103:D113 D119:D131 D137:D147 D153:D164 D170:D180">
      <formula1>ISNUMBER($D5)</formula1>
    </dataValidation>
    <dataValidation type="custom" errorStyle="warning" allowBlank="1" showInputMessage="1" showErrorMessage="1" errorTitle="Date Validation" error="A date in July needs be entered  in order for this expense to be added to the Summary sheet." sqref="B5:B11 B13">
      <formula1>MONTH($B5)=7</formula1>
    </dataValidation>
    <dataValidation type="list" errorStyle="warning" allowBlank="1" showInputMessage="1" showErrorMessage="1" errorTitle="Unknown Category" error="An expense from the drop down should be selected in order for it to be included on the Summary sheet." sqref="E5:F11 E13:F13 E17:F27 E33:F42 E48:F58 E64:F73 E79:F84 E90:F97 E103:E113 E119:F131 E137:F147 E153:F164 E170:F180">
      <formula1>ExpenseCategories</formula1>
    </dataValidation>
    <dataValidation type="custom" errorStyle="warning" allowBlank="1" showInputMessage="1" showErrorMessage="1" errorTitle="Date Validation" error="A date in August needs be entered  in order for this expense to be added to the Summary sheet." sqref="B17:B27">
      <formula1>MONTH($B17)=8</formula1>
    </dataValidation>
    <dataValidation type="custom" errorStyle="warning" allowBlank="1" showInputMessage="1" showErrorMessage="1" errorTitle="Date Validation" error="A date in September needs be entered  in order for this expense to be added to the Summary sheet." sqref="B33:B42">
      <formula1>MONTH($B33)=9</formula1>
    </dataValidation>
    <dataValidation type="custom" errorStyle="warning" allowBlank="1" showInputMessage="1" showErrorMessage="1" errorTitle="Date Validation" error="A date in October needs be entered  in order for this expense to be added to the Summary sheet." sqref="B48:B58">
      <formula1>MONTH($B48)=10</formula1>
    </dataValidation>
    <dataValidation type="custom" errorStyle="warning" allowBlank="1" showInputMessage="1" showErrorMessage="1" errorTitle="Date Validation" error="A date in June needs be entered  in order for this expense to be added to the Summary sheet." sqref="B170:B180">
      <formula1>MONTH($B170)=6</formula1>
    </dataValidation>
    <dataValidation type="custom" errorStyle="warning" allowBlank="1" showInputMessage="1" showErrorMessage="1" errorTitle="Date Validation" error="A date in May needs be entered  in order for this expense to be added to the Summary sheet." sqref="B153:B164">
      <formula1>MONTH($B153)=5</formula1>
    </dataValidation>
    <dataValidation type="custom" errorStyle="warning" allowBlank="1" showInputMessage="1" showErrorMessage="1" errorTitle="Date Validation" error="A date in April needs be entered  in order for this expense to be added to the Summary sheet." sqref="B137:B147">
      <formula1>MONTH($B137)=4</formula1>
    </dataValidation>
    <dataValidation type="custom" errorStyle="warning" allowBlank="1" showInputMessage="1" showErrorMessage="1" errorTitle="Date Validation" error="A date in March needs be entered in order for this expense to be added to the Summary sheet." sqref="B119:B131">
      <formula1>MONTH($B119)=3</formula1>
    </dataValidation>
    <dataValidation type="custom" errorStyle="warning" allowBlank="1" showInputMessage="1" showErrorMessage="1" errorTitle="Date Validation" error="A date in February needs be entered in order for this expense to be added to the Summary sheet." sqref="B103:B113">
      <formula1>MONTH($B103)=2</formula1>
    </dataValidation>
    <dataValidation type="custom" errorStyle="warning" allowBlank="1" showInputMessage="1" showErrorMessage="1" errorTitle="Date Validation" error="A date in January needs be entered in order for this expense to be added to the Summary sheet." sqref="B90:B97">
      <formula1>MONTH($B90)=1</formula1>
    </dataValidation>
    <dataValidation type="custom" errorStyle="warning" allowBlank="1" showInputMessage="1" showErrorMessage="1" errorTitle="Date Validation" error="A date in December needs be entered  in order for this expense to be added to the Summary sheet." sqref="B79:B84">
      <formula1>MONTH($B79)=12</formula1>
    </dataValidation>
    <dataValidation type="custom" errorStyle="warning" allowBlank="1" showInputMessage="1" showErrorMessage="1" errorTitle="Date Validation" error="A date in November needs be entered  in order for this expense to be added to the Summary sheet." sqref="B64:B73">
      <formula1>MONTH($B64)=11</formula1>
    </dataValidation>
  </dataValidations>
  <printOptions horizontalCentered="1"/>
  <pageMargins left="0.25" right="0.25" top="0.75" bottom="0.75" header="0.3" footer="0.3"/>
  <pageSetup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78"/>
  <sheetViews>
    <sheetView topLeftCell="A16" workbookViewId="0">
      <selection activeCell="J34" sqref="J34"/>
    </sheetView>
  </sheetViews>
  <sheetFormatPr defaultColWidth="9.140625" defaultRowHeight="12.75"/>
  <cols>
    <col min="1" max="1" width="16.140625" style="260" customWidth="1"/>
    <col min="2" max="2" width="13.42578125" style="260" customWidth="1"/>
    <col min="3" max="3" width="11.42578125" style="260" customWidth="1"/>
    <col min="4" max="4" width="14" style="260" customWidth="1"/>
    <col min="5" max="5" width="14.140625" style="260" customWidth="1"/>
    <col min="6" max="6" width="12.7109375" style="260" customWidth="1"/>
    <col min="7" max="7" width="13.28515625" style="260" customWidth="1"/>
    <col min="8" max="16384" width="9.140625" style="260"/>
  </cols>
  <sheetData>
    <row r="1" spans="1:7" ht="13.5" customHeight="1">
      <c r="A1" s="278" t="s">
        <v>155</v>
      </c>
      <c r="B1" s="279" t="s">
        <v>154</v>
      </c>
      <c r="C1" s="280"/>
      <c r="D1" s="279" t="s">
        <v>153</v>
      </c>
      <c r="E1" s="280"/>
      <c r="F1" s="279" t="s">
        <v>152</v>
      </c>
      <c r="G1" s="280"/>
    </row>
    <row r="2" spans="1:7">
      <c r="A2" s="516"/>
      <c r="B2" s="517"/>
      <c r="C2" s="361"/>
      <c r="D2" s="518" t="s">
        <v>1121</v>
      </c>
      <c r="E2" s="352">
        <v>5207</v>
      </c>
      <c r="F2" s="519"/>
      <c r="G2" s="520"/>
    </row>
    <row r="3" spans="1:7">
      <c r="A3" s="516">
        <v>7458</v>
      </c>
      <c r="B3" s="354" t="str">
        <f t="shared" ref="B3:B38" si="0">D2</f>
        <v>2.4.13</v>
      </c>
      <c r="C3" s="355">
        <v>5207</v>
      </c>
      <c r="D3" s="521" t="s">
        <v>1120</v>
      </c>
      <c r="E3" s="357">
        <v>10507</v>
      </c>
      <c r="F3" s="358">
        <f t="shared" ref="F3:F38" si="1">SUM(E3-E2)</f>
        <v>5300</v>
      </c>
      <c r="G3" s="360" t="str">
        <f t="shared" ref="G3:G11" si="2">IF(F3&gt;5250,"OVER")</f>
        <v>OVER</v>
      </c>
    </row>
    <row r="4" spans="1:7">
      <c r="A4" s="516">
        <v>7519</v>
      </c>
      <c r="B4" s="354" t="str">
        <f t="shared" si="0"/>
        <v>3.25.13</v>
      </c>
      <c r="C4" s="355">
        <v>10507</v>
      </c>
      <c r="D4" s="521" t="s">
        <v>1119</v>
      </c>
      <c r="E4" s="357">
        <v>15430</v>
      </c>
      <c r="F4" s="358">
        <f t="shared" si="1"/>
        <v>4923</v>
      </c>
      <c r="G4" s="359" t="b">
        <f t="shared" si="2"/>
        <v>0</v>
      </c>
    </row>
    <row r="5" spans="1:7">
      <c r="A5" s="516">
        <v>7558</v>
      </c>
      <c r="B5" s="354" t="str">
        <f t="shared" si="0"/>
        <v>4.30.13</v>
      </c>
      <c r="C5" s="355">
        <v>15430</v>
      </c>
      <c r="D5" s="521" t="s">
        <v>956</v>
      </c>
      <c r="E5" s="357">
        <v>20388</v>
      </c>
      <c r="F5" s="358">
        <f t="shared" si="1"/>
        <v>4958</v>
      </c>
      <c r="G5" s="359" t="b">
        <f t="shared" si="2"/>
        <v>0</v>
      </c>
    </row>
    <row r="6" spans="1:7">
      <c r="A6" s="516">
        <v>7626</v>
      </c>
      <c r="B6" s="354" t="str">
        <f t="shared" si="0"/>
        <v>6.11.13</v>
      </c>
      <c r="C6" s="355">
        <v>20388</v>
      </c>
      <c r="D6" s="521" t="s">
        <v>1118</v>
      </c>
      <c r="E6" s="357">
        <v>25302</v>
      </c>
      <c r="F6" s="358">
        <f t="shared" si="1"/>
        <v>4914</v>
      </c>
      <c r="G6" s="359" t="b">
        <f t="shared" si="2"/>
        <v>0</v>
      </c>
    </row>
    <row r="7" spans="1:7">
      <c r="A7" s="516">
        <v>7708</v>
      </c>
      <c r="B7" s="354" t="str">
        <f t="shared" si="0"/>
        <v>7.22.13</v>
      </c>
      <c r="C7" s="355">
        <v>25302</v>
      </c>
      <c r="D7" s="521" t="s">
        <v>1117</v>
      </c>
      <c r="E7" s="357">
        <v>30006</v>
      </c>
      <c r="F7" s="358">
        <f t="shared" si="1"/>
        <v>4704</v>
      </c>
      <c r="G7" s="359" t="b">
        <f t="shared" si="2"/>
        <v>0</v>
      </c>
    </row>
    <row r="8" spans="1:7">
      <c r="A8" s="516">
        <v>7775</v>
      </c>
      <c r="B8" s="354" t="str">
        <f t="shared" si="0"/>
        <v>8.27.13</v>
      </c>
      <c r="C8" s="355">
        <v>30006</v>
      </c>
      <c r="D8" s="521" t="s">
        <v>1116</v>
      </c>
      <c r="E8" s="357">
        <v>34925</v>
      </c>
      <c r="F8" s="358">
        <f t="shared" si="1"/>
        <v>4919</v>
      </c>
      <c r="G8" s="359" t="b">
        <f t="shared" si="2"/>
        <v>0</v>
      </c>
    </row>
    <row r="9" spans="1:7">
      <c r="A9" s="516">
        <v>7872</v>
      </c>
      <c r="B9" s="354" t="str">
        <f t="shared" si="0"/>
        <v>10.10.13</v>
      </c>
      <c r="C9" s="355">
        <v>34925</v>
      </c>
      <c r="D9" s="521" t="s">
        <v>350</v>
      </c>
      <c r="E9" s="357">
        <v>40076</v>
      </c>
      <c r="F9" s="358">
        <f t="shared" si="1"/>
        <v>5151</v>
      </c>
      <c r="G9" s="359" t="b">
        <f t="shared" si="2"/>
        <v>0</v>
      </c>
    </row>
    <row r="10" spans="1:7">
      <c r="A10" s="516">
        <v>7978</v>
      </c>
      <c r="B10" s="354" t="str">
        <f t="shared" si="0"/>
        <v>11.27.13</v>
      </c>
      <c r="C10" s="355">
        <v>40076</v>
      </c>
      <c r="D10" s="521" t="s">
        <v>951</v>
      </c>
      <c r="E10" s="357">
        <v>45093</v>
      </c>
      <c r="F10" s="358">
        <f t="shared" si="1"/>
        <v>5017</v>
      </c>
      <c r="G10" s="359" t="b">
        <f t="shared" si="2"/>
        <v>0</v>
      </c>
    </row>
    <row r="11" spans="1:7">
      <c r="A11" s="516">
        <v>8091</v>
      </c>
      <c r="B11" s="354" t="str">
        <f t="shared" si="0"/>
        <v>1.20.14</v>
      </c>
      <c r="C11" s="355">
        <v>45093</v>
      </c>
      <c r="D11" s="521" t="s">
        <v>1115</v>
      </c>
      <c r="E11" s="357">
        <v>49992</v>
      </c>
      <c r="F11" s="358">
        <f t="shared" si="1"/>
        <v>4899</v>
      </c>
      <c r="G11" s="359" t="b">
        <f t="shared" si="2"/>
        <v>0</v>
      </c>
    </row>
    <row r="12" spans="1:7">
      <c r="A12" s="516">
        <v>8194</v>
      </c>
      <c r="B12" s="354" t="str">
        <f t="shared" si="0"/>
        <v>3.7.14</v>
      </c>
      <c r="C12" s="355">
        <v>49992</v>
      </c>
      <c r="D12" s="521" t="s">
        <v>622</v>
      </c>
      <c r="E12" s="357">
        <v>55003</v>
      </c>
      <c r="F12" s="358">
        <f t="shared" si="1"/>
        <v>5011</v>
      </c>
      <c r="G12" s="359" t="b">
        <v>0</v>
      </c>
    </row>
    <row r="13" spans="1:7">
      <c r="A13" s="516">
        <v>8320</v>
      </c>
      <c r="B13" s="354" t="str">
        <f t="shared" si="0"/>
        <v>4.28.14</v>
      </c>
      <c r="C13" s="355">
        <v>55003</v>
      </c>
      <c r="D13" s="521" t="s">
        <v>1114</v>
      </c>
      <c r="E13" s="357">
        <v>60001</v>
      </c>
      <c r="F13" s="358">
        <f t="shared" si="1"/>
        <v>4998</v>
      </c>
      <c r="G13" s="359" t="b">
        <v>0</v>
      </c>
    </row>
    <row r="14" spans="1:7">
      <c r="A14" s="516">
        <v>8427</v>
      </c>
      <c r="B14" s="354" t="str">
        <f t="shared" si="0"/>
        <v>6.19.14</v>
      </c>
      <c r="C14" s="355">
        <v>60001</v>
      </c>
      <c r="D14" s="521" t="s">
        <v>1113</v>
      </c>
      <c r="E14" s="537">
        <v>64918</v>
      </c>
      <c r="F14" s="358">
        <f t="shared" si="1"/>
        <v>4917</v>
      </c>
      <c r="G14" s="359" t="b">
        <v>0</v>
      </c>
    </row>
    <row r="15" spans="1:7">
      <c r="A15" s="516">
        <v>8657</v>
      </c>
      <c r="B15" s="354" t="str">
        <f t="shared" si="0"/>
        <v>10.8.14</v>
      </c>
      <c r="C15" s="361">
        <v>64918</v>
      </c>
      <c r="D15" s="522" t="s">
        <v>1112</v>
      </c>
      <c r="E15" s="363">
        <v>70019</v>
      </c>
      <c r="F15" s="358">
        <f t="shared" si="1"/>
        <v>5101</v>
      </c>
      <c r="G15" s="359" t="b">
        <v>0</v>
      </c>
    </row>
    <row r="16" spans="1:7" ht="13.5" thickBot="1">
      <c r="A16" s="523">
        <v>8761</v>
      </c>
      <c r="B16" s="354" t="str">
        <f t="shared" si="0"/>
        <v>11.22.14</v>
      </c>
      <c r="C16" s="365">
        <v>70019</v>
      </c>
      <c r="D16" s="524" t="s">
        <v>1111</v>
      </c>
      <c r="E16" s="367">
        <v>74930</v>
      </c>
      <c r="F16" s="358">
        <f t="shared" si="1"/>
        <v>4911</v>
      </c>
      <c r="G16" s="359" t="b">
        <v>0</v>
      </c>
    </row>
    <row r="17" spans="1:7" ht="13.5" thickBot="1">
      <c r="A17" s="525">
        <v>8892</v>
      </c>
      <c r="B17" s="354" t="str">
        <f t="shared" si="0"/>
        <v>1.20.15</v>
      </c>
      <c r="C17" s="370">
        <v>74930</v>
      </c>
      <c r="D17" s="526" t="s">
        <v>276</v>
      </c>
      <c r="E17" s="372">
        <v>79962</v>
      </c>
      <c r="F17" s="358">
        <f t="shared" si="1"/>
        <v>5032</v>
      </c>
      <c r="G17" s="359" t="b">
        <v>0</v>
      </c>
    </row>
    <row r="18" spans="1:7">
      <c r="A18" s="527">
        <v>9030</v>
      </c>
      <c r="B18" s="354" t="str">
        <f t="shared" si="0"/>
        <v>3.25.15</v>
      </c>
      <c r="C18" s="375">
        <v>79962</v>
      </c>
      <c r="D18" s="528" t="s">
        <v>1110</v>
      </c>
      <c r="E18" s="377">
        <v>85004</v>
      </c>
      <c r="F18" s="358">
        <f t="shared" si="1"/>
        <v>5042</v>
      </c>
      <c r="G18" s="359" t="b">
        <v>0</v>
      </c>
    </row>
    <row r="19" spans="1:7">
      <c r="A19" s="516">
        <v>9113</v>
      </c>
      <c r="B19" s="354" t="str">
        <f t="shared" si="0"/>
        <v>5.9.15</v>
      </c>
      <c r="C19" s="355">
        <v>85004</v>
      </c>
      <c r="D19" s="521" t="s">
        <v>1109</v>
      </c>
      <c r="E19" s="357">
        <v>90225</v>
      </c>
      <c r="F19" s="358">
        <f t="shared" si="1"/>
        <v>5221</v>
      </c>
      <c r="G19" s="359" t="b">
        <v>0</v>
      </c>
    </row>
    <row r="20" spans="1:7">
      <c r="A20" s="516">
        <v>9175</v>
      </c>
      <c r="B20" s="354" t="str">
        <f t="shared" si="0"/>
        <v>6.16.15</v>
      </c>
      <c r="C20" s="355">
        <v>90255</v>
      </c>
      <c r="D20" s="521" t="s">
        <v>1108</v>
      </c>
      <c r="E20" s="357">
        <v>95096</v>
      </c>
      <c r="F20" s="358">
        <f t="shared" si="1"/>
        <v>4871</v>
      </c>
      <c r="G20" s="359" t="b">
        <v>0</v>
      </c>
    </row>
    <row r="21" spans="1:7">
      <c r="A21" s="516">
        <v>9257</v>
      </c>
      <c r="B21" s="354" t="str">
        <f t="shared" si="0"/>
        <v>7.24.15</v>
      </c>
      <c r="C21" s="355">
        <v>95096</v>
      </c>
      <c r="D21" s="521" t="s">
        <v>1107</v>
      </c>
      <c r="E21" s="357">
        <v>100154</v>
      </c>
      <c r="F21" s="358">
        <f t="shared" si="1"/>
        <v>5058</v>
      </c>
      <c r="G21" s="359" t="b">
        <v>0</v>
      </c>
    </row>
    <row r="22" spans="1:7">
      <c r="A22" s="516">
        <v>9313</v>
      </c>
      <c r="B22" s="354" t="str">
        <f t="shared" si="0"/>
        <v>8.27.15</v>
      </c>
      <c r="C22" s="355">
        <v>100154</v>
      </c>
      <c r="D22" s="521" t="s">
        <v>1106</v>
      </c>
      <c r="E22" s="357">
        <v>105079</v>
      </c>
      <c r="F22" s="358">
        <f t="shared" si="1"/>
        <v>4925</v>
      </c>
      <c r="G22" s="359" t="b">
        <v>0</v>
      </c>
    </row>
    <row r="23" spans="1:7">
      <c r="A23" s="516">
        <v>9394</v>
      </c>
      <c r="B23" s="354" t="str">
        <f t="shared" si="0"/>
        <v>9.6.15</v>
      </c>
      <c r="C23" s="355">
        <v>105079</v>
      </c>
      <c r="D23" s="521" t="s">
        <v>1105</v>
      </c>
      <c r="E23" s="357">
        <v>110047</v>
      </c>
      <c r="F23" s="358">
        <f t="shared" si="1"/>
        <v>4968</v>
      </c>
      <c r="G23" s="359" t="b">
        <v>0</v>
      </c>
    </row>
    <row r="24" spans="1:7">
      <c r="A24" s="516">
        <v>9476</v>
      </c>
      <c r="B24" s="354" t="str">
        <f t="shared" si="0"/>
        <v>11.13.15</v>
      </c>
      <c r="C24" s="355">
        <v>110047</v>
      </c>
      <c r="D24" s="521" t="s">
        <v>1104</v>
      </c>
      <c r="E24" s="357">
        <v>114994</v>
      </c>
      <c r="F24" s="358">
        <f t="shared" si="1"/>
        <v>4947</v>
      </c>
      <c r="G24" s="359" t="b">
        <v>0</v>
      </c>
    </row>
    <row r="25" spans="1:7">
      <c r="A25" s="516">
        <v>9549</v>
      </c>
      <c r="B25" s="354" t="str">
        <f t="shared" si="0"/>
        <v>12.23.15</v>
      </c>
      <c r="C25" s="355">
        <v>114994</v>
      </c>
      <c r="D25" s="521" t="s">
        <v>1103</v>
      </c>
      <c r="E25" s="357">
        <v>119988</v>
      </c>
      <c r="F25" s="358">
        <f t="shared" si="1"/>
        <v>4994</v>
      </c>
      <c r="G25" s="359" t="b">
        <v>0</v>
      </c>
    </row>
    <row r="26" spans="1:7">
      <c r="A26" s="516">
        <v>9605</v>
      </c>
      <c r="B26" s="354" t="str">
        <f t="shared" si="0"/>
        <v>1.26.16</v>
      </c>
      <c r="C26" s="355">
        <v>119988</v>
      </c>
      <c r="D26" s="521" t="s">
        <v>331</v>
      </c>
      <c r="E26" s="357">
        <v>125099</v>
      </c>
      <c r="F26" s="358">
        <f t="shared" si="1"/>
        <v>5111</v>
      </c>
      <c r="G26" s="359" t="b">
        <v>0</v>
      </c>
    </row>
    <row r="27" spans="1:7">
      <c r="A27" s="516">
        <v>9674</v>
      </c>
      <c r="B27" s="354" t="str">
        <f t="shared" si="0"/>
        <v>2.26.16</v>
      </c>
      <c r="C27" s="355">
        <v>125099</v>
      </c>
      <c r="D27" s="521" t="s">
        <v>1102</v>
      </c>
      <c r="E27" s="357">
        <v>129989</v>
      </c>
      <c r="F27" s="358">
        <f t="shared" si="1"/>
        <v>4890</v>
      </c>
      <c r="G27" s="359" t="b">
        <v>0</v>
      </c>
    </row>
    <row r="28" spans="1:7">
      <c r="A28" s="516">
        <v>9737</v>
      </c>
      <c r="B28" s="354" t="str">
        <f t="shared" si="0"/>
        <v>3.31.16</v>
      </c>
      <c r="C28" s="355">
        <v>129989</v>
      </c>
      <c r="D28" s="521" t="s">
        <v>1101</v>
      </c>
      <c r="E28" s="357">
        <v>134980</v>
      </c>
      <c r="F28" s="358">
        <f t="shared" si="1"/>
        <v>4991</v>
      </c>
      <c r="G28" s="359" t="b">
        <v>0</v>
      </c>
    </row>
    <row r="29" spans="1:7">
      <c r="A29" s="516">
        <v>9805</v>
      </c>
      <c r="B29" s="354" t="str">
        <f t="shared" si="0"/>
        <v>5.10.16</v>
      </c>
      <c r="C29" s="355">
        <v>134980</v>
      </c>
      <c r="D29" s="521" t="s">
        <v>1100</v>
      </c>
      <c r="E29" s="357">
        <v>140005</v>
      </c>
      <c r="F29" s="358">
        <f t="shared" si="1"/>
        <v>5025</v>
      </c>
      <c r="G29" s="359" t="b">
        <v>0</v>
      </c>
    </row>
    <row r="30" spans="1:7">
      <c r="A30" s="516">
        <v>9874</v>
      </c>
      <c r="B30" s="354" t="str">
        <f t="shared" si="0"/>
        <v>6.25.16</v>
      </c>
      <c r="C30" s="355">
        <v>140005</v>
      </c>
      <c r="D30" s="521" t="s">
        <v>1099</v>
      </c>
      <c r="E30" s="357">
        <v>144924</v>
      </c>
      <c r="F30" s="358">
        <f t="shared" si="1"/>
        <v>4919</v>
      </c>
      <c r="G30" s="359" t="b">
        <v>0</v>
      </c>
    </row>
    <row r="31" spans="1:7">
      <c r="A31" s="516">
        <v>9955</v>
      </c>
      <c r="B31" s="354" t="str">
        <f t="shared" si="0"/>
        <v>8.5.16</v>
      </c>
      <c r="C31" s="355">
        <v>144924</v>
      </c>
      <c r="D31" s="521" t="s">
        <v>1098</v>
      </c>
      <c r="E31" s="357">
        <v>149855</v>
      </c>
      <c r="F31" s="358">
        <f t="shared" si="1"/>
        <v>4931</v>
      </c>
      <c r="G31" s="359" t="b">
        <v>0</v>
      </c>
    </row>
    <row r="32" spans="1:7">
      <c r="A32" s="516">
        <v>10063</v>
      </c>
      <c r="B32" s="354" t="str">
        <f t="shared" si="0"/>
        <v>9.26.16</v>
      </c>
      <c r="C32" s="355">
        <v>149855</v>
      </c>
      <c r="D32" s="521" t="s">
        <v>1097</v>
      </c>
      <c r="E32" s="357">
        <v>154976</v>
      </c>
      <c r="F32" s="358">
        <f t="shared" si="1"/>
        <v>5121</v>
      </c>
      <c r="G32" s="359" t="b">
        <v>0</v>
      </c>
    </row>
    <row r="33" spans="1:7">
      <c r="A33" s="516">
        <v>10152</v>
      </c>
      <c r="B33" s="354" t="str">
        <f t="shared" si="0"/>
        <v>11.17.16</v>
      </c>
      <c r="C33" s="355">
        <v>154976</v>
      </c>
      <c r="D33" s="521" t="s">
        <v>1096</v>
      </c>
      <c r="E33" s="357">
        <v>160022</v>
      </c>
      <c r="F33" s="358">
        <f t="shared" si="1"/>
        <v>5046</v>
      </c>
      <c r="G33" s="359" t="b">
        <v>0</v>
      </c>
    </row>
    <row r="34" spans="1:7">
      <c r="A34" s="516">
        <v>10246</v>
      </c>
      <c r="B34" s="354" t="str">
        <f t="shared" si="0"/>
        <v>1.13.17</v>
      </c>
      <c r="C34" s="355">
        <v>160022</v>
      </c>
      <c r="D34" s="521" t="s">
        <v>1095</v>
      </c>
      <c r="E34" s="357">
        <v>164743</v>
      </c>
      <c r="F34" s="358">
        <f t="shared" si="1"/>
        <v>4721</v>
      </c>
      <c r="G34" s="359" t="b">
        <v>0</v>
      </c>
    </row>
    <row r="35" spans="1:7">
      <c r="A35" s="516">
        <v>10342</v>
      </c>
      <c r="B35" s="354" t="str">
        <f t="shared" si="0"/>
        <v>3.6.17</v>
      </c>
      <c r="C35" s="355">
        <v>164743</v>
      </c>
      <c r="D35" s="521" t="s">
        <v>926</v>
      </c>
      <c r="E35" s="357">
        <v>169749</v>
      </c>
      <c r="F35" s="358">
        <f t="shared" si="1"/>
        <v>5006</v>
      </c>
      <c r="G35" s="359" t="b">
        <v>0</v>
      </c>
    </row>
    <row r="36" spans="1:7">
      <c r="A36" s="516">
        <v>10438</v>
      </c>
      <c r="B36" s="354" t="str">
        <f t="shared" si="0"/>
        <v>4.26.17</v>
      </c>
      <c r="C36" s="355">
        <v>169749</v>
      </c>
      <c r="D36" s="521" t="s">
        <v>1094</v>
      </c>
      <c r="E36" s="357">
        <v>174754</v>
      </c>
      <c r="F36" s="358">
        <f t="shared" si="1"/>
        <v>5005</v>
      </c>
      <c r="G36" s="359" t="b">
        <v>0</v>
      </c>
    </row>
    <row r="37" spans="1:7">
      <c r="A37" s="516">
        <v>10571</v>
      </c>
      <c r="B37" s="354" t="str">
        <f t="shared" si="0"/>
        <v>6.17.17</v>
      </c>
      <c r="C37" s="355">
        <v>174754</v>
      </c>
      <c r="D37" s="521" t="s">
        <v>1093</v>
      </c>
      <c r="E37" s="357">
        <v>179594</v>
      </c>
      <c r="F37" s="358">
        <f t="shared" si="1"/>
        <v>4840</v>
      </c>
      <c r="G37" s="359" t="b">
        <v>0</v>
      </c>
    </row>
    <row r="38" spans="1:7">
      <c r="A38" s="516">
        <v>10698</v>
      </c>
      <c r="B38" s="354" t="str">
        <f t="shared" si="0"/>
        <v>8.8.17</v>
      </c>
      <c r="C38" s="355">
        <v>179594</v>
      </c>
      <c r="D38" s="521"/>
      <c r="E38" s="357"/>
      <c r="F38" s="358">
        <f t="shared" si="1"/>
        <v>-179594</v>
      </c>
      <c r="G38" s="359" t="b">
        <v>0</v>
      </c>
    </row>
    <row r="40" spans="1:7" ht="13.5" thickBot="1">
      <c r="A40" s="509" t="s">
        <v>836</v>
      </c>
    </row>
    <row r="41" spans="1:7">
      <c r="A41" s="278" t="s">
        <v>155</v>
      </c>
      <c r="B41" s="279" t="s">
        <v>154</v>
      </c>
      <c r="C41" s="280"/>
      <c r="D41" s="279" t="s">
        <v>153</v>
      </c>
      <c r="E41" s="280"/>
      <c r="F41" s="279" t="s">
        <v>152</v>
      </c>
      <c r="G41" s="280"/>
    </row>
    <row r="42" spans="1:7">
      <c r="A42" s="516"/>
      <c r="B42" s="517"/>
      <c r="C42" s="361"/>
      <c r="D42" s="518" t="s">
        <v>1093</v>
      </c>
      <c r="E42" s="352">
        <v>179594</v>
      </c>
      <c r="F42" s="519"/>
      <c r="G42" s="520"/>
    </row>
    <row r="43" spans="1:7">
      <c r="A43" s="516">
        <v>10698</v>
      </c>
      <c r="B43" s="354" t="str">
        <f t="shared" ref="B43:B78" si="3">D42</f>
        <v>8.8.17</v>
      </c>
      <c r="C43" s="355">
        <v>179594</v>
      </c>
      <c r="D43" s="521" t="s">
        <v>1128</v>
      </c>
      <c r="E43" s="357">
        <v>184560</v>
      </c>
      <c r="F43" s="358">
        <f t="shared" ref="F43:F78" si="4">SUM(E43-E42)</f>
        <v>4966</v>
      </c>
      <c r="G43" s="360" t="b">
        <f t="shared" ref="G43:G51" si="5">IF(F43&gt;5250,"OVER")</f>
        <v>0</v>
      </c>
    </row>
    <row r="44" spans="1:7">
      <c r="A44" s="516">
        <v>10810</v>
      </c>
      <c r="B44" s="354" t="str">
        <f t="shared" si="3"/>
        <v>9.22.17</v>
      </c>
      <c r="C44" s="355">
        <v>184560</v>
      </c>
      <c r="D44" s="521"/>
      <c r="E44" s="357"/>
      <c r="F44" s="358">
        <f t="shared" si="4"/>
        <v>-184560</v>
      </c>
      <c r="G44" s="359" t="b">
        <f t="shared" si="5"/>
        <v>0</v>
      </c>
    </row>
    <row r="45" spans="1:7">
      <c r="A45" s="516"/>
      <c r="B45" s="354">
        <f t="shared" si="3"/>
        <v>0</v>
      </c>
      <c r="C45" s="355"/>
      <c r="D45" s="521"/>
      <c r="E45" s="357"/>
      <c r="F45" s="358">
        <f t="shared" si="4"/>
        <v>0</v>
      </c>
      <c r="G45" s="359" t="b">
        <f t="shared" si="5"/>
        <v>0</v>
      </c>
    </row>
    <row r="46" spans="1:7">
      <c r="A46" s="516"/>
      <c r="B46" s="354">
        <f t="shared" si="3"/>
        <v>0</v>
      </c>
      <c r="C46" s="355"/>
      <c r="D46" s="521"/>
      <c r="E46" s="357"/>
      <c r="F46" s="358">
        <f t="shared" si="4"/>
        <v>0</v>
      </c>
      <c r="G46" s="359" t="b">
        <f t="shared" si="5"/>
        <v>0</v>
      </c>
    </row>
    <row r="47" spans="1:7">
      <c r="A47" s="516"/>
      <c r="B47" s="354">
        <f t="shared" si="3"/>
        <v>0</v>
      </c>
      <c r="C47" s="355"/>
      <c r="D47" s="521"/>
      <c r="E47" s="357"/>
      <c r="F47" s="358">
        <f t="shared" si="4"/>
        <v>0</v>
      </c>
      <c r="G47" s="359" t="b">
        <f t="shared" si="5"/>
        <v>0</v>
      </c>
    </row>
    <row r="48" spans="1:7">
      <c r="A48" s="516"/>
      <c r="B48" s="354">
        <f t="shared" si="3"/>
        <v>0</v>
      </c>
      <c r="C48" s="355"/>
      <c r="D48" s="521"/>
      <c r="E48" s="357"/>
      <c r="F48" s="358">
        <f t="shared" si="4"/>
        <v>0</v>
      </c>
      <c r="G48" s="359" t="b">
        <f t="shared" si="5"/>
        <v>0</v>
      </c>
    </row>
    <row r="49" spans="1:7">
      <c r="A49" s="516"/>
      <c r="B49" s="354">
        <f t="shared" si="3"/>
        <v>0</v>
      </c>
      <c r="C49" s="355"/>
      <c r="D49" s="521"/>
      <c r="E49" s="357"/>
      <c r="F49" s="358">
        <f t="shared" si="4"/>
        <v>0</v>
      </c>
      <c r="G49" s="359" t="b">
        <f t="shared" si="5"/>
        <v>0</v>
      </c>
    </row>
    <row r="50" spans="1:7">
      <c r="A50" s="516"/>
      <c r="B50" s="354">
        <f t="shared" si="3"/>
        <v>0</v>
      </c>
      <c r="C50" s="355"/>
      <c r="D50" s="521"/>
      <c r="E50" s="357"/>
      <c r="F50" s="358">
        <f t="shared" si="4"/>
        <v>0</v>
      </c>
      <c r="G50" s="359" t="b">
        <f t="shared" si="5"/>
        <v>0</v>
      </c>
    </row>
    <row r="51" spans="1:7">
      <c r="A51" s="516"/>
      <c r="B51" s="354">
        <f t="shared" si="3"/>
        <v>0</v>
      </c>
      <c r="C51" s="355"/>
      <c r="D51" s="521"/>
      <c r="E51" s="357"/>
      <c r="F51" s="358">
        <f t="shared" si="4"/>
        <v>0</v>
      </c>
      <c r="G51" s="359" t="b">
        <f t="shared" si="5"/>
        <v>0</v>
      </c>
    </row>
    <row r="52" spans="1:7">
      <c r="A52" s="516"/>
      <c r="B52" s="354">
        <f t="shared" si="3"/>
        <v>0</v>
      </c>
      <c r="C52" s="355"/>
      <c r="D52" s="521"/>
      <c r="E52" s="357"/>
      <c r="F52" s="358">
        <f t="shared" si="4"/>
        <v>0</v>
      </c>
      <c r="G52" s="359" t="b">
        <v>0</v>
      </c>
    </row>
    <row r="53" spans="1:7">
      <c r="A53" s="516"/>
      <c r="B53" s="354">
        <f t="shared" si="3"/>
        <v>0</v>
      </c>
      <c r="C53" s="355"/>
      <c r="D53" s="521"/>
      <c r="E53" s="357"/>
      <c r="F53" s="358">
        <f t="shared" si="4"/>
        <v>0</v>
      </c>
      <c r="G53" s="359" t="b">
        <v>0</v>
      </c>
    </row>
    <row r="54" spans="1:7">
      <c r="A54" s="516"/>
      <c r="B54" s="354">
        <f t="shared" si="3"/>
        <v>0</v>
      </c>
      <c r="C54" s="355"/>
      <c r="D54" s="521"/>
      <c r="E54" s="537"/>
      <c r="F54" s="358">
        <f t="shared" si="4"/>
        <v>0</v>
      </c>
      <c r="G54" s="359" t="b">
        <v>0</v>
      </c>
    </row>
    <row r="55" spans="1:7">
      <c r="A55" s="516"/>
      <c r="B55" s="354">
        <f t="shared" si="3"/>
        <v>0</v>
      </c>
      <c r="C55" s="361"/>
      <c r="D55" s="522"/>
      <c r="E55" s="363"/>
      <c r="F55" s="358">
        <f t="shared" si="4"/>
        <v>0</v>
      </c>
      <c r="G55" s="359" t="b">
        <v>0</v>
      </c>
    </row>
    <row r="56" spans="1:7" ht="13.5" thickBot="1">
      <c r="A56" s="523"/>
      <c r="B56" s="354">
        <f t="shared" si="3"/>
        <v>0</v>
      </c>
      <c r="C56" s="365"/>
      <c r="D56" s="524"/>
      <c r="E56" s="367"/>
      <c r="F56" s="358">
        <f t="shared" si="4"/>
        <v>0</v>
      </c>
      <c r="G56" s="359" t="b">
        <v>0</v>
      </c>
    </row>
    <row r="57" spans="1:7" ht="13.5" thickBot="1">
      <c r="A57" s="525"/>
      <c r="B57" s="354">
        <f t="shared" si="3"/>
        <v>0</v>
      </c>
      <c r="C57" s="370"/>
      <c r="D57" s="526"/>
      <c r="E57" s="372"/>
      <c r="F57" s="358">
        <f t="shared" si="4"/>
        <v>0</v>
      </c>
      <c r="G57" s="359" t="b">
        <v>0</v>
      </c>
    </row>
    <row r="58" spans="1:7">
      <c r="A58" s="527"/>
      <c r="B58" s="354">
        <f t="shared" si="3"/>
        <v>0</v>
      </c>
      <c r="C58" s="375"/>
      <c r="D58" s="528"/>
      <c r="E58" s="377"/>
      <c r="F58" s="358">
        <f t="shared" si="4"/>
        <v>0</v>
      </c>
      <c r="G58" s="359" t="b">
        <v>0</v>
      </c>
    </row>
    <row r="59" spans="1:7">
      <c r="A59" s="516"/>
      <c r="B59" s="354">
        <f t="shared" si="3"/>
        <v>0</v>
      </c>
      <c r="C59" s="355"/>
      <c r="D59" s="521"/>
      <c r="E59" s="357"/>
      <c r="F59" s="358">
        <f t="shared" si="4"/>
        <v>0</v>
      </c>
      <c r="G59" s="359" t="b">
        <v>0</v>
      </c>
    </row>
    <row r="60" spans="1:7">
      <c r="A60" s="516"/>
      <c r="B60" s="354">
        <f t="shared" si="3"/>
        <v>0</v>
      </c>
      <c r="C60" s="355"/>
      <c r="D60" s="521"/>
      <c r="E60" s="357"/>
      <c r="F60" s="358">
        <f t="shared" si="4"/>
        <v>0</v>
      </c>
      <c r="G60" s="359" t="b">
        <v>0</v>
      </c>
    </row>
    <row r="61" spans="1:7">
      <c r="A61" s="516"/>
      <c r="B61" s="354">
        <f t="shared" si="3"/>
        <v>0</v>
      </c>
      <c r="C61" s="355"/>
      <c r="D61" s="521"/>
      <c r="E61" s="357"/>
      <c r="F61" s="358">
        <f t="shared" si="4"/>
        <v>0</v>
      </c>
      <c r="G61" s="359" t="b">
        <v>0</v>
      </c>
    </row>
    <row r="62" spans="1:7">
      <c r="A62" s="516"/>
      <c r="B62" s="354">
        <f t="shared" si="3"/>
        <v>0</v>
      </c>
      <c r="C62" s="355"/>
      <c r="D62" s="521"/>
      <c r="E62" s="357"/>
      <c r="F62" s="358">
        <f t="shared" si="4"/>
        <v>0</v>
      </c>
      <c r="G62" s="359" t="b">
        <v>0</v>
      </c>
    </row>
    <row r="63" spans="1:7">
      <c r="A63" s="516"/>
      <c r="B63" s="354">
        <f t="shared" si="3"/>
        <v>0</v>
      </c>
      <c r="C63" s="355"/>
      <c r="D63" s="521"/>
      <c r="E63" s="357"/>
      <c r="F63" s="358">
        <f t="shared" si="4"/>
        <v>0</v>
      </c>
      <c r="G63" s="359" t="b">
        <v>0</v>
      </c>
    </row>
    <row r="64" spans="1:7">
      <c r="A64" s="516"/>
      <c r="B64" s="354">
        <f t="shared" si="3"/>
        <v>0</v>
      </c>
      <c r="C64" s="355"/>
      <c r="D64" s="521"/>
      <c r="E64" s="357"/>
      <c r="F64" s="358">
        <f t="shared" si="4"/>
        <v>0</v>
      </c>
      <c r="G64" s="359" t="b">
        <v>0</v>
      </c>
    </row>
    <row r="65" spans="1:7">
      <c r="A65" s="516"/>
      <c r="B65" s="354">
        <f t="shared" si="3"/>
        <v>0</v>
      </c>
      <c r="C65" s="355"/>
      <c r="D65" s="521"/>
      <c r="E65" s="357"/>
      <c r="F65" s="358">
        <f t="shared" si="4"/>
        <v>0</v>
      </c>
      <c r="G65" s="359" t="b">
        <v>0</v>
      </c>
    </row>
    <row r="66" spans="1:7">
      <c r="A66" s="516"/>
      <c r="B66" s="354">
        <f t="shared" si="3"/>
        <v>0</v>
      </c>
      <c r="C66" s="355"/>
      <c r="D66" s="521"/>
      <c r="E66" s="357"/>
      <c r="F66" s="358">
        <f t="shared" si="4"/>
        <v>0</v>
      </c>
      <c r="G66" s="359" t="b">
        <v>0</v>
      </c>
    </row>
    <row r="67" spans="1:7">
      <c r="A67" s="516"/>
      <c r="B67" s="354">
        <f t="shared" si="3"/>
        <v>0</v>
      </c>
      <c r="C67" s="355"/>
      <c r="D67" s="521"/>
      <c r="E67" s="357"/>
      <c r="F67" s="358">
        <f t="shared" si="4"/>
        <v>0</v>
      </c>
      <c r="G67" s="359" t="b">
        <v>0</v>
      </c>
    </row>
    <row r="68" spans="1:7">
      <c r="A68" s="516"/>
      <c r="B68" s="354">
        <f t="shared" si="3"/>
        <v>0</v>
      </c>
      <c r="C68" s="355"/>
      <c r="D68" s="521"/>
      <c r="E68" s="357"/>
      <c r="F68" s="358">
        <f t="shared" si="4"/>
        <v>0</v>
      </c>
      <c r="G68" s="359" t="b">
        <v>0</v>
      </c>
    </row>
    <row r="69" spans="1:7">
      <c r="A69" s="516"/>
      <c r="B69" s="354">
        <f t="shared" si="3"/>
        <v>0</v>
      </c>
      <c r="C69" s="355"/>
      <c r="D69" s="521"/>
      <c r="E69" s="357"/>
      <c r="F69" s="358">
        <f t="shared" si="4"/>
        <v>0</v>
      </c>
      <c r="G69" s="359" t="b">
        <v>0</v>
      </c>
    </row>
    <row r="70" spans="1:7">
      <c r="A70" s="516"/>
      <c r="B70" s="354">
        <f t="shared" si="3"/>
        <v>0</v>
      </c>
      <c r="C70" s="355"/>
      <c r="D70" s="521"/>
      <c r="E70" s="357"/>
      <c r="F70" s="358">
        <f t="shared" si="4"/>
        <v>0</v>
      </c>
      <c r="G70" s="359" t="b">
        <v>0</v>
      </c>
    </row>
    <row r="71" spans="1:7">
      <c r="A71" s="516"/>
      <c r="B71" s="354">
        <f t="shared" si="3"/>
        <v>0</v>
      </c>
      <c r="C71" s="355"/>
      <c r="D71" s="521"/>
      <c r="E71" s="357"/>
      <c r="F71" s="358">
        <f t="shared" si="4"/>
        <v>0</v>
      </c>
      <c r="G71" s="359" t="b">
        <v>0</v>
      </c>
    </row>
    <row r="72" spans="1:7">
      <c r="A72" s="516"/>
      <c r="B72" s="354">
        <f t="shared" si="3"/>
        <v>0</v>
      </c>
      <c r="C72" s="355"/>
      <c r="D72" s="521"/>
      <c r="E72" s="357"/>
      <c r="F72" s="358">
        <f t="shared" si="4"/>
        <v>0</v>
      </c>
      <c r="G72" s="359" t="b">
        <v>0</v>
      </c>
    </row>
    <row r="73" spans="1:7">
      <c r="A73" s="516"/>
      <c r="B73" s="354">
        <f t="shared" si="3"/>
        <v>0</v>
      </c>
      <c r="C73" s="355"/>
      <c r="D73" s="521"/>
      <c r="E73" s="357"/>
      <c r="F73" s="358">
        <f t="shared" si="4"/>
        <v>0</v>
      </c>
      <c r="G73" s="359" t="b">
        <v>0</v>
      </c>
    </row>
    <row r="74" spans="1:7">
      <c r="A74" s="516"/>
      <c r="B74" s="354">
        <f t="shared" si="3"/>
        <v>0</v>
      </c>
      <c r="C74" s="355"/>
      <c r="D74" s="521"/>
      <c r="E74" s="357"/>
      <c r="F74" s="358">
        <f t="shared" si="4"/>
        <v>0</v>
      </c>
      <c r="G74" s="359" t="b">
        <v>0</v>
      </c>
    </row>
    <row r="75" spans="1:7">
      <c r="A75" s="516"/>
      <c r="B75" s="354">
        <f t="shared" si="3"/>
        <v>0</v>
      </c>
      <c r="C75" s="355"/>
      <c r="D75" s="521"/>
      <c r="E75" s="357"/>
      <c r="F75" s="358">
        <f t="shared" si="4"/>
        <v>0</v>
      </c>
      <c r="G75" s="359" t="b">
        <v>0</v>
      </c>
    </row>
    <row r="76" spans="1:7">
      <c r="A76" s="516"/>
      <c r="B76" s="354">
        <f t="shared" si="3"/>
        <v>0</v>
      </c>
      <c r="C76" s="355"/>
      <c r="D76" s="521"/>
      <c r="E76" s="357"/>
      <c r="F76" s="358">
        <f t="shared" si="4"/>
        <v>0</v>
      </c>
      <c r="G76" s="359" t="b">
        <v>0</v>
      </c>
    </row>
    <row r="77" spans="1:7">
      <c r="A77" s="516"/>
      <c r="B77" s="354">
        <f t="shared" si="3"/>
        <v>0</v>
      </c>
      <c r="C77" s="355"/>
      <c r="D77" s="521"/>
      <c r="E77" s="357"/>
      <c r="F77" s="358">
        <f t="shared" si="4"/>
        <v>0</v>
      </c>
      <c r="G77" s="359" t="b">
        <v>0</v>
      </c>
    </row>
    <row r="78" spans="1:7">
      <c r="A78" s="516"/>
      <c r="B78" s="354">
        <f t="shared" si="3"/>
        <v>0</v>
      </c>
      <c r="C78" s="355"/>
      <c r="D78" s="521"/>
      <c r="E78" s="357"/>
      <c r="F78" s="358">
        <f t="shared" si="4"/>
        <v>0</v>
      </c>
      <c r="G78" s="359" t="b">
        <v>0</v>
      </c>
    </row>
  </sheetData>
  <mergeCells count="6">
    <mergeCell ref="B1:C1"/>
    <mergeCell ref="D1:E1"/>
    <mergeCell ref="F1:G1"/>
    <mergeCell ref="B41:C41"/>
    <mergeCell ref="D41:E41"/>
    <mergeCell ref="F41:G4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8"/>
  <sheetViews>
    <sheetView workbookViewId="0">
      <selection activeCell="I18" sqref="I18"/>
    </sheetView>
  </sheetViews>
  <sheetFormatPr defaultColWidth="9.140625" defaultRowHeight="12.75"/>
  <cols>
    <col min="1" max="1" width="16.140625" style="1" customWidth="1"/>
    <col min="2" max="2" width="13.42578125" style="1" customWidth="1"/>
    <col min="3" max="3" width="11.42578125" style="1" customWidth="1"/>
    <col min="4" max="4" width="14" style="1" customWidth="1"/>
    <col min="5" max="5" width="14.140625" style="1" customWidth="1"/>
    <col min="6" max="6" width="12.7109375" style="1" customWidth="1"/>
    <col min="7" max="7" width="13.28515625" style="1" customWidth="1"/>
    <col min="8" max="16384" width="9.140625" style="1"/>
  </cols>
  <sheetData>
    <row r="1" spans="1:7">
      <c r="A1" s="227" t="s">
        <v>155</v>
      </c>
      <c r="B1" s="228" t="s">
        <v>154</v>
      </c>
      <c r="C1" s="229"/>
      <c r="D1" s="228" t="s">
        <v>153</v>
      </c>
      <c r="E1" s="229"/>
      <c r="F1" s="228" t="s">
        <v>152</v>
      </c>
      <c r="G1" s="229"/>
    </row>
    <row r="2" spans="1:7">
      <c r="A2" s="230"/>
      <c r="B2" s="231"/>
      <c r="C2" s="232"/>
      <c r="D2" s="233" t="s">
        <v>151</v>
      </c>
      <c r="E2" s="234">
        <v>5017</v>
      </c>
      <c r="F2" s="235"/>
      <c r="G2" s="236"/>
    </row>
    <row r="3" spans="1:7">
      <c r="A3" s="230">
        <v>7503</v>
      </c>
      <c r="B3" s="237" t="str">
        <f t="shared" ref="B3:B38" si="0">D2</f>
        <v>3.7.13</v>
      </c>
      <c r="C3" s="238">
        <v>5017</v>
      </c>
      <c r="D3" s="239" t="s">
        <v>150</v>
      </c>
      <c r="E3" s="240">
        <v>10002</v>
      </c>
      <c r="F3" s="241">
        <f t="shared" ref="F3:F38" si="1">SUM(E3-E2)</f>
        <v>4985</v>
      </c>
      <c r="G3" s="242" t="b">
        <f t="shared" ref="G3:G38" si="2">IF(F3&gt;5250,"OVER")</f>
        <v>0</v>
      </c>
    </row>
    <row r="4" spans="1:7">
      <c r="A4" s="230">
        <v>7644</v>
      </c>
      <c r="B4" s="237" t="str">
        <f t="shared" si="0"/>
        <v>6.26.13</v>
      </c>
      <c r="C4" s="238">
        <v>10002</v>
      </c>
      <c r="D4" s="239" t="s">
        <v>149</v>
      </c>
      <c r="E4" s="240">
        <v>15016</v>
      </c>
      <c r="F4" s="241">
        <f t="shared" si="1"/>
        <v>5014</v>
      </c>
      <c r="G4" s="242" t="b">
        <f t="shared" si="2"/>
        <v>0</v>
      </c>
    </row>
    <row r="5" spans="1:7">
      <c r="A5" s="230">
        <v>7835</v>
      </c>
      <c r="B5" s="237" t="str">
        <f t="shared" si="0"/>
        <v>9.3.13</v>
      </c>
      <c r="C5" s="238">
        <v>15016</v>
      </c>
      <c r="D5" s="239" t="s">
        <v>148</v>
      </c>
      <c r="E5" s="240">
        <v>20016</v>
      </c>
      <c r="F5" s="241">
        <f t="shared" si="1"/>
        <v>5000</v>
      </c>
      <c r="G5" s="242" t="b">
        <f t="shared" si="2"/>
        <v>0</v>
      </c>
    </row>
    <row r="6" spans="1:7">
      <c r="A6" s="230">
        <v>8012</v>
      </c>
      <c r="B6" s="237" t="str">
        <f t="shared" si="0"/>
        <v>11.20.13</v>
      </c>
      <c r="C6" s="238">
        <v>200016</v>
      </c>
      <c r="D6" s="239" t="s">
        <v>147</v>
      </c>
      <c r="E6" s="240">
        <v>24999</v>
      </c>
      <c r="F6" s="241">
        <f t="shared" si="1"/>
        <v>4983</v>
      </c>
      <c r="G6" s="242" t="b">
        <f t="shared" si="2"/>
        <v>0</v>
      </c>
    </row>
    <row r="7" spans="1:7">
      <c r="A7" s="230">
        <v>8088</v>
      </c>
      <c r="B7" s="237" t="str">
        <f t="shared" si="0"/>
        <v>1.17.14</v>
      </c>
      <c r="C7" s="238">
        <v>24999</v>
      </c>
      <c r="D7" s="239" t="s">
        <v>146</v>
      </c>
      <c r="E7" s="240">
        <v>29992</v>
      </c>
      <c r="F7" s="241">
        <f t="shared" si="1"/>
        <v>4993</v>
      </c>
      <c r="G7" s="242" t="b">
        <f t="shared" si="2"/>
        <v>0</v>
      </c>
    </row>
    <row r="8" spans="1:7">
      <c r="A8" s="230">
        <v>8201</v>
      </c>
      <c r="B8" s="237" t="str">
        <f t="shared" si="0"/>
        <v>3.11.14</v>
      </c>
      <c r="C8" s="238">
        <v>29992</v>
      </c>
      <c r="D8" s="239" t="s">
        <v>145</v>
      </c>
      <c r="E8" s="240">
        <v>34991</v>
      </c>
      <c r="F8" s="241">
        <f t="shared" si="1"/>
        <v>4999</v>
      </c>
      <c r="G8" s="242" t="b">
        <f t="shared" si="2"/>
        <v>0</v>
      </c>
    </row>
    <row r="9" spans="1:7">
      <c r="A9" s="230">
        <v>8344</v>
      </c>
      <c r="B9" s="237" t="str">
        <f t="shared" si="0"/>
        <v>5.8.14</v>
      </c>
      <c r="C9" s="238">
        <v>34991</v>
      </c>
      <c r="D9" s="239" t="s">
        <v>144</v>
      </c>
      <c r="E9" s="240">
        <v>39917</v>
      </c>
      <c r="F9" s="241">
        <f t="shared" si="1"/>
        <v>4926</v>
      </c>
      <c r="G9" s="242" t="b">
        <f t="shared" si="2"/>
        <v>0</v>
      </c>
    </row>
    <row r="10" spans="1:7">
      <c r="A10" s="230">
        <v>8466</v>
      </c>
      <c r="B10" s="237" t="str">
        <f t="shared" si="0"/>
        <v>7.9.14</v>
      </c>
      <c r="C10" s="238">
        <v>39917</v>
      </c>
      <c r="D10" s="239" t="s">
        <v>143</v>
      </c>
      <c r="E10" s="240">
        <v>44981</v>
      </c>
      <c r="F10" s="241">
        <f t="shared" si="1"/>
        <v>5064</v>
      </c>
      <c r="G10" s="242" t="b">
        <f t="shared" si="2"/>
        <v>0</v>
      </c>
    </row>
    <row r="11" spans="1:7">
      <c r="A11" s="230">
        <v>8583</v>
      </c>
      <c r="B11" s="237" t="str">
        <f t="shared" si="0"/>
        <v>8.28.14</v>
      </c>
      <c r="C11" s="238">
        <v>44981</v>
      </c>
      <c r="D11" s="239" t="s">
        <v>142</v>
      </c>
      <c r="E11" s="240">
        <v>49924</v>
      </c>
      <c r="F11" s="241">
        <f t="shared" si="1"/>
        <v>4943</v>
      </c>
      <c r="G11" s="242" t="b">
        <f t="shared" si="2"/>
        <v>0</v>
      </c>
    </row>
    <row r="12" spans="1:7">
      <c r="A12" s="230">
        <v>8690</v>
      </c>
      <c r="B12" s="237" t="str">
        <f t="shared" si="0"/>
        <v>10.23.14</v>
      </c>
      <c r="C12" s="238">
        <v>49924</v>
      </c>
      <c r="D12" s="239" t="s">
        <v>141</v>
      </c>
      <c r="E12" s="240">
        <v>54852</v>
      </c>
      <c r="F12" s="241">
        <f t="shared" si="1"/>
        <v>4928</v>
      </c>
      <c r="G12" s="242" t="b">
        <f t="shared" si="2"/>
        <v>0</v>
      </c>
    </row>
    <row r="13" spans="1:7">
      <c r="A13" s="230">
        <v>8809</v>
      </c>
      <c r="B13" s="237" t="str">
        <f t="shared" si="0"/>
        <v>12.16.14</v>
      </c>
      <c r="C13" s="238">
        <v>54852</v>
      </c>
      <c r="D13" s="239" t="s">
        <v>140</v>
      </c>
      <c r="E13" s="240">
        <v>59904</v>
      </c>
      <c r="F13" s="241">
        <f t="shared" si="1"/>
        <v>5052</v>
      </c>
      <c r="G13" s="242" t="b">
        <f t="shared" si="2"/>
        <v>0</v>
      </c>
    </row>
    <row r="14" spans="1:7">
      <c r="A14" s="230">
        <v>9833</v>
      </c>
      <c r="B14" s="237" t="str">
        <f t="shared" si="0"/>
        <v>2.11.15</v>
      </c>
      <c r="C14" s="238">
        <v>59904</v>
      </c>
      <c r="D14" s="239" t="s">
        <v>139</v>
      </c>
      <c r="E14" s="240">
        <v>65039</v>
      </c>
      <c r="F14" s="241">
        <f t="shared" si="1"/>
        <v>5135</v>
      </c>
      <c r="G14" s="242" t="b">
        <f t="shared" si="2"/>
        <v>0</v>
      </c>
    </row>
    <row r="15" spans="1:7">
      <c r="A15" s="230">
        <v>9058</v>
      </c>
      <c r="B15" s="237" t="str">
        <f t="shared" si="0"/>
        <v>4.9.15</v>
      </c>
      <c r="C15" s="232">
        <v>65039</v>
      </c>
      <c r="D15" s="243" t="s">
        <v>138</v>
      </c>
      <c r="E15" s="244">
        <v>70030</v>
      </c>
      <c r="F15" s="241">
        <f t="shared" si="1"/>
        <v>4991</v>
      </c>
      <c r="G15" s="242" t="b">
        <f t="shared" si="2"/>
        <v>0</v>
      </c>
    </row>
    <row r="16" spans="1:7" ht="13.5" thickBot="1">
      <c r="A16" s="245">
        <v>9165</v>
      </c>
      <c r="B16" s="237" t="str">
        <f t="shared" si="0"/>
        <v>6.9.15</v>
      </c>
      <c r="C16" s="246">
        <v>70030</v>
      </c>
      <c r="D16" s="247" t="s">
        <v>137</v>
      </c>
      <c r="E16" s="248">
        <v>75039</v>
      </c>
      <c r="F16" s="241">
        <f t="shared" si="1"/>
        <v>5009</v>
      </c>
      <c r="G16" s="249" t="b">
        <f t="shared" si="2"/>
        <v>0</v>
      </c>
    </row>
    <row r="17" spans="1:7" ht="13.5" thickBot="1">
      <c r="A17" s="250">
        <v>9336</v>
      </c>
      <c r="B17" s="237" t="str">
        <f t="shared" si="0"/>
        <v>9.5.15</v>
      </c>
      <c r="C17" s="251">
        <v>75039</v>
      </c>
      <c r="D17" s="252" t="s">
        <v>136</v>
      </c>
      <c r="E17" s="253">
        <v>79934</v>
      </c>
      <c r="F17" s="241">
        <f t="shared" si="1"/>
        <v>4895</v>
      </c>
      <c r="G17" s="254" t="b">
        <f t="shared" si="2"/>
        <v>0</v>
      </c>
    </row>
    <row r="18" spans="1:7">
      <c r="A18" s="255">
        <v>9488</v>
      </c>
      <c r="B18" s="237" t="str">
        <f t="shared" si="0"/>
        <v>11.20.15</v>
      </c>
      <c r="C18" s="256">
        <v>79934</v>
      </c>
      <c r="D18" s="257" t="s">
        <v>135</v>
      </c>
      <c r="E18" s="258">
        <v>84876</v>
      </c>
      <c r="F18" s="241">
        <f t="shared" si="1"/>
        <v>4942</v>
      </c>
      <c r="G18" s="259" t="b">
        <f t="shared" si="2"/>
        <v>0</v>
      </c>
    </row>
    <row r="19" spans="1:7">
      <c r="A19" s="230">
        <v>9730</v>
      </c>
      <c r="B19" s="237" t="str">
        <f t="shared" si="0"/>
        <v>3.29.16</v>
      </c>
      <c r="C19" s="238">
        <v>84876</v>
      </c>
      <c r="D19" s="239" t="s">
        <v>134</v>
      </c>
      <c r="E19" s="240">
        <v>89861</v>
      </c>
      <c r="F19" s="241">
        <f t="shared" si="1"/>
        <v>4985</v>
      </c>
      <c r="G19" s="242" t="b">
        <f t="shared" si="2"/>
        <v>0</v>
      </c>
    </row>
    <row r="20" spans="1:7">
      <c r="A20" s="230">
        <v>9853</v>
      </c>
      <c r="B20" s="237" t="str">
        <f t="shared" si="0"/>
        <v>6.9.16</v>
      </c>
      <c r="C20" s="238">
        <v>89861</v>
      </c>
      <c r="D20" s="239" t="s">
        <v>133</v>
      </c>
      <c r="E20" s="240">
        <v>94936</v>
      </c>
      <c r="F20" s="241">
        <f t="shared" si="1"/>
        <v>5075</v>
      </c>
      <c r="G20" s="242" t="b">
        <f t="shared" si="2"/>
        <v>0</v>
      </c>
    </row>
    <row r="21" spans="1:7">
      <c r="A21" s="230">
        <v>9947</v>
      </c>
      <c r="B21" s="237" t="str">
        <f t="shared" si="0"/>
        <v>8.2.16</v>
      </c>
      <c r="C21" s="238">
        <v>94936</v>
      </c>
      <c r="D21" s="239" t="s">
        <v>132</v>
      </c>
      <c r="E21" s="240">
        <v>99978</v>
      </c>
      <c r="F21" s="241">
        <f t="shared" si="1"/>
        <v>5042</v>
      </c>
      <c r="G21" s="242" t="b">
        <f t="shared" si="2"/>
        <v>0</v>
      </c>
    </row>
    <row r="22" spans="1:7">
      <c r="A22" s="230">
        <v>10055</v>
      </c>
      <c r="B22" s="237" t="str">
        <f t="shared" si="0"/>
        <v>9.22.16</v>
      </c>
      <c r="C22" s="238">
        <v>99978</v>
      </c>
      <c r="D22" s="239" t="s">
        <v>131</v>
      </c>
      <c r="E22" s="240">
        <v>104986</v>
      </c>
      <c r="F22" s="241">
        <f t="shared" si="1"/>
        <v>5008</v>
      </c>
      <c r="G22" s="242" t="b">
        <f t="shared" si="2"/>
        <v>0</v>
      </c>
    </row>
    <row r="23" spans="1:7">
      <c r="A23" s="230">
        <v>10136</v>
      </c>
      <c r="B23" s="237" t="str">
        <f t="shared" si="0"/>
        <v>11.9.16</v>
      </c>
      <c r="C23" s="238">
        <v>104986</v>
      </c>
      <c r="D23" s="239" t="s">
        <v>130</v>
      </c>
      <c r="E23" s="240">
        <v>109964</v>
      </c>
      <c r="F23" s="241">
        <f t="shared" si="1"/>
        <v>4978</v>
      </c>
      <c r="G23" s="242" t="b">
        <f t="shared" si="2"/>
        <v>0</v>
      </c>
    </row>
    <row r="24" spans="1:7">
      <c r="A24" s="230"/>
      <c r="B24" s="237" t="str">
        <f t="shared" si="0"/>
        <v>12.29.16</v>
      </c>
      <c r="C24" s="238">
        <v>109964</v>
      </c>
      <c r="D24" s="239" t="s">
        <v>129</v>
      </c>
      <c r="E24" s="240">
        <v>114965</v>
      </c>
      <c r="F24" s="241">
        <f t="shared" si="1"/>
        <v>5001</v>
      </c>
      <c r="G24" s="242" t="b">
        <f t="shared" si="2"/>
        <v>0</v>
      </c>
    </row>
    <row r="25" spans="1:7">
      <c r="A25" s="230">
        <v>10306</v>
      </c>
      <c r="B25" s="237" t="str">
        <f t="shared" si="0"/>
        <v>2.17.17</v>
      </c>
      <c r="C25" s="238">
        <v>114965</v>
      </c>
      <c r="D25" s="239" t="s">
        <v>128</v>
      </c>
      <c r="E25" s="240">
        <v>119904</v>
      </c>
      <c r="F25" s="241">
        <f t="shared" si="1"/>
        <v>4939</v>
      </c>
      <c r="G25" s="242" t="b">
        <f t="shared" si="2"/>
        <v>0</v>
      </c>
    </row>
    <row r="26" spans="1:7">
      <c r="A26" s="230">
        <v>10405</v>
      </c>
      <c r="B26" s="237" t="str">
        <f t="shared" si="0"/>
        <v>4.7.17</v>
      </c>
      <c r="C26" s="238">
        <v>119904</v>
      </c>
      <c r="D26" s="239" t="s">
        <v>127</v>
      </c>
      <c r="E26" s="240">
        <v>124858</v>
      </c>
      <c r="F26" s="241">
        <f t="shared" si="1"/>
        <v>4954</v>
      </c>
      <c r="G26" s="242" t="b">
        <f t="shared" si="2"/>
        <v>0</v>
      </c>
    </row>
    <row r="27" spans="1:7">
      <c r="A27" s="230">
        <v>10503</v>
      </c>
      <c r="B27" s="237" t="str">
        <f t="shared" si="0"/>
        <v>5.26.17</v>
      </c>
      <c r="C27" s="238">
        <v>124858</v>
      </c>
      <c r="D27" s="239" t="s">
        <v>126</v>
      </c>
      <c r="E27" s="240">
        <v>129936</v>
      </c>
      <c r="F27" s="241">
        <f t="shared" si="1"/>
        <v>5078</v>
      </c>
      <c r="G27" s="242" t="b">
        <f t="shared" si="2"/>
        <v>0</v>
      </c>
    </row>
    <row r="28" spans="1:7">
      <c r="A28" s="230">
        <v>10649</v>
      </c>
      <c r="B28" s="237" t="str">
        <f t="shared" si="0"/>
        <v>7.21.17</v>
      </c>
      <c r="C28" s="238">
        <v>129936</v>
      </c>
      <c r="D28" s="239" t="s">
        <v>125</v>
      </c>
      <c r="E28" s="240">
        <v>134773</v>
      </c>
      <c r="F28" s="241">
        <f t="shared" si="1"/>
        <v>4837</v>
      </c>
      <c r="G28" s="242" t="b">
        <f t="shared" si="2"/>
        <v>0</v>
      </c>
    </row>
    <row r="29" spans="1:7">
      <c r="A29" s="230">
        <v>10783</v>
      </c>
      <c r="B29" s="237" t="str">
        <f t="shared" si="0"/>
        <v>9.9.17</v>
      </c>
      <c r="C29" s="238">
        <v>134773</v>
      </c>
      <c r="D29" s="239"/>
      <c r="E29" s="240"/>
      <c r="F29" s="241">
        <f t="shared" si="1"/>
        <v>-134773</v>
      </c>
      <c r="G29" s="242" t="b">
        <f t="shared" si="2"/>
        <v>0</v>
      </c>
    </row>
    <row r="30" spans="1:7">
      <c r="A30" s="230"/>
      <c r="B30" s="237">
        <f t="shared" si="0"/>
        <v>0</v>
      </c>
      <c r="C30" s="238"/>
      <c r="D30" s="239"/>
      <c r="E30" s="240"/>
      <c r="F30" s="241">
        <f t="shared" si="1"/>
        <v>0</v>
      </c>
      <c r="G30" s="242" t="b">
        <f t="shared" si="2"/>
        <v>0</v>
      </c>
    </row>
    <row r="31" spans="1:7">
      <c r="A31" s="230"/>
      <c r="B31" s="237">
        <f t="shared" si="0"/>
        <v>0</v>
      </c>
      <c r="C31" s="238"/>
      <c r="D31" s="239"/>
      <c r="E31" s="240"/>
      <c r="F31" s="241">
        <f t="shared" si="1"/>
        <v>0</v>
      </c>
      <c r="G31" s="242" t="b">
        <f t="shared" si="2"/>
        <v>0</v>
      </c>
    </row>
    <row r="32" spans="1:7">
      <c r="A32" s="230"/>
      <c r="B32" s="237">
        <f t="shared" si="0"/>
        <v>0</v>
      </c>
      <c r="C32" s="238"/>
      <c r="D32" s="239"/>
      <c r="E32" s="240"/>
      <c r="F32" s="241">
        <f t="shared" si="1"/>
        <v>0</v>
      </c>
      <c r="G32" s="242" t="b">
        <f t="shared" si="2"/>
        <v>0</v>
      </c>
    </row>
    <row r="33" spans="1:7">
      <c r="A33" s="230"/>
      <c r="B33" s="237">
        <f t="shared" si="0"/>
        <v>0</v>
      </c>
      <c r="C33" s="238"/>
      <c r="D33" s="239"/>
      <c r="E33" s="240"/>
      <c r="F33" s="241">
        <f t="shared" si="1"/>
        <v>0</v>
      </c>
      <c r="G33" s="242" t="b">
        <f t="shared" si="2"/>
        <v>0</v>
      </c>
    </row>
    <row r="34" spans="1:7">
      <c r="A34" s="230"/>
      <c r="B34" s="237">
        <f t="shared" si="0"/>
        <v>0</v>
      </c>
      <c r="C34" s="238"/>
      <c r="D34" s="239"/>
      <c r="E34" s="240"/>
      <c r="F34" s="241">
        <f t="shared" si="1"/>
        <v>0</v>
      </c>
      <c r="G34" s="242" t="b">
        <f t="shared" si="2"/>
        <v>0</v>
      </c>
    </row>
    <row r="35" spans="1:7">
      <c r="A35" s="230"/>
      <c r="B35" s="237">
        <f t="shared" si="0"/>
        <v>0</v>
      </c>
      <c r="C35" s="238"/>
      <c r="D35" s="239"/>
      <c r="E35" s="240"/>
      <c r="F35" s="241">
        <f t="shared" si="1"/>
        <v>0</v>
      </c>
      <c r="G35" s="242" t="b">
        <f t="shared" si="2"/>
        <v>0</v>
      </c>
    </row>
    <row r="36" spans="1:7">
      <c r="A36" s="230"/>
      <c r="B36" s="237">
        <f t="shared" si="0"/>
        <v>0</v>
      </c>
      <c r="C36" s="238"/>
      <c r="D36" s="239"/>
      <c r="E36" s="240"/>
      <c r="F36" s="241">
        <f t="shared" si="1"/>
        <v>0</v>
      </c>
      <c r="G36" s="242" t="b">
        <f t="shared" si="2"/>
        <v>0</v>
      </c>
    </row>
    <row r="37" spans="1:7">
      <c r="A37" s="230"/>
      <c r="B37" s="237">
        <f t="shared" si="0"/>
        <v>0</v>
      </c>
      <c r="C37" s="238"/>
      <c r="D37" s="239"/>
      <c r="E37" s="240"/>
      <c r="F37" s="241">
        <f t="shared" si="1"/>
        <v>0</v>
      </c>
      <c r="G37" s="242" t="b">
        <f t="shared" si="2"/>
        <v>0</v>
      </c>
    </row>
    <row r="38" spans="1:7">
      <c r="A38" s="230"/>
      <c r="B38" s="237">
        <f t="shared" si="0"/>
        <v>0</v>
      </c>
      <c r="C38" s="238"/>
      <c r="D38" s="239"/>
      <c r="E38" s="240"/>
      <c r="F38" s="241">
        <f t="shared" si="1"/>
        <v>0</v>
      </c>
      <c r="G38" s="242" t="b">
        <f t="shared" si="2"/>
        <v>0</v>
      </c>
    </row>
  </sheetData>
  <mergeCells count="3">
    <mergeCell ref="B1:C1"/>
    <mergeCell ref="D1:E1"/>
    <mergeCell ref="F1:G1"/>
  </mergeCells>
  <pageMargins left="0.7" right="0.7" top="0.75" bottom="0.75" header="0.3" footer="0.3"/>
  <pageSetup orientation="landscape" horizontalDpi="0"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Q21"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'[17]Projected Maint Practices'!Q7</f>
        <v>4913</v>
      </c>
      <c r="D6" s="264">
        <f>'[17]True Maint Practices'!Q7</f>
        <v>3761</v>
      </c>
    </row>
    <row r="7" spans="1:6" ht="15">
      <c r="B7" s="263">
        <v>2</v>
      </c>
      <c r="C7" s="264">
        <f>'[17]Projected Maint Practices'!Q8</f>
        <v>4913</v>
      </c>
      <c r="D7" s="264">
        <f>'[17]True Maint Practices'!Q8</f>
        <v>4538</v>
      </c>
    </row>
    <row r="8" spans="1:6" ht="15">
      <c r="B8" s="263">
        <v>3</v>
      </c>
      <c r="C8" s="264">
        <f>'[17]Projected Maint Practices'!Q9</f>
        <v>4913</v>
      </c>
      <c r="D8" s="264">
        <f>'[17]True Maint Practices'!Q9</f>
        <v>6872</v>
      </c>
    </row>
    <row r="9" spans="1:6" ht="15">
      <c r="B9" s="263">
        <v>4</v>
      </c>
      <c r="C9" s="264">
        <f>'[17]Projected Maint Practices'!Q10</f>
        <v>4913</v>
      </c>
      <c r="D9" s="264">
        <f>'[17]True Maint Practices'!Q10</f>
        <v>4124</v>
      </c>
    </row>
    <row r="10" spans="1:6" ht="15">
      <c r="B10" s="263">
        <v>5</v>
      </c>
      <c r="C10" s="264">
        <f>'[17]Projected Maint Practices'!Q11</f>
        <v>17239.669999999998</v>
      </c>
      <c r="D10" s="264">
        <f>'[17]True Maint Practices'!Q11</f>
        <v>2915</v>
      </c>
    </row>
    <row r="11" spans="1:6" ht="15">
      <c r="B11" s="263">
        <v>6</v>
      </c>
      <c r="C11" s="264">
        <f>'[17]Projected Maint Practices'!Q12</f>
        <v>4913</v>
      </c>
      <c r="D11" s="264">
        <f>'[17]True Maint Practices'!Q12</f>
        <v>0</v>
      </c>
    </row>
    <row r="12" spans="1:6" ht="15">
      <c r="B12" s="263">
        <v>7</v>
      </c>
      <c r="C12" s="264">
        <f>'[17]Projected Maint Practices'!Q13</f>
        <v>4913</v>
      </c>
      <c r="D12" s="264">
        <f>'[17]True Maint Practices'!Q13</f>
        <v>0</v>
      </c>
    </row>
    <row r="13" spans="1:6" ht="15">
      <c r="B13" s="263">
        <v>8</v>
      </c>
      <c r="C13" s="264">
        <f>'[17]Projected Maint Practices'!Q14</f>
        <v>0</v>
      </c>
      <c r="D13" s="264">
        <f>'[17]True Maint Practices'!Q14</f>
        <v>0</v>
      </c>
    </row>
    <row r="14" spans="1:6" ht="15">
      <c r="B14" s="263">
        <v>9</v>
      </c>
      <c r="C14" s="264">
        <f>'[17]Projected Maint Practices'!Q15</f>
        <v>0</v>
      </c>
      <c r="D14" s="264">
        <f>'[17]True Maint Practices'!Q15</f>
        <v>0</v>
      </c>
    </row>
    <row r="15" spans="1:6" ht="15">
      <c r="B15" s="263">
        <v>10</v>
      </c>
      <c r="C15" s="264">
        <f>'[17]Projected Maint Practices'!Q16</f>
        <v>0</v>
      </c>
      <c r="D15" s="264">
        <f>'[17]True Maint Practices'!Q16</f>
        <v>0</v>
      </c>
    </row>
    <row r="16" spans="1:6" ht="15">
      <c r="B16" s="263">
        <v>11</v>
      </c>
      <c r="C16" s="264">
        <f>'[17]Projected Maint Practices'!Q17</f>
        <v>0</v>
      </c>
      <c r="D16" s="264">
        <f>'[17]True Maint Practices'!Q17</f>
        <v>0</v>
      </c>
    </row>
    <row r="17" spans="2:4" ht="15">
      <c r="B17" s="263">
        <v>12</v>
      </c>
      <c r="C17" s="264">
        <f>'[17]Projected Maint Practices'!Q18</f>
        <v>0</v>
      </c>
      <c r="D17" s="264">
        <f>'[17]True Maint Practices'!Q18</f>
        <v>0</v>
      </c>
    </row>
    <row r="18" spans="2:4" ht="15">
      <c r="B18" s="260" t="s">
        <v>1</v>
      </c>
      <c r="C18" s="264">
        <f>SUM(C6:C17)</f>
        <v>46717.67</v>
      </c>
      <c r="D18" s="264">
        <f>SUM(D6:D17)</f>
        <v>22210</v>
      </c>
    </row>
  </sheetData>
  <printOptions horizontalCentered="1" verticalCentered="1"/>
  <pageMargins left="0.5" right="0.5" top="0.75" bottom="0.75" header="0.5" footer="0.5"/>
  <pageSetup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1"/>
  <sheetViews>
    <sheetView showGridLines="0" topLeftCell="A53" zoomScaleNormal="100" workbookViewId="0">
      <selection activeCell="K67" sqref="K67"/>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s="1" customFormat="1" ht="16.5" customHeight="1">
      <c r="B1" s="43"/>
      <c r="C1" s="43"/>
      <c r="D1" s="43"/>
      <c r="E1" s="43"/>
      <c r="F1" s="43"/>
      <c r="G1" s="43"/>
      <c r="H1" s="43"/>
      <c r="I1" s="43"/>
      <c r="J1" s="43"/>
      <c r="K1" s="43"/>
      <c r="L1" s="43"/>
      <c r="M1" s="43"/>
      <c r="N1" s="43"/>
      <c r="O1" s="43"/>
      <c r="P1" s="43"/>
    </row>
    <row r="2" spans="2:22" s="1" customFormat="1" ht="31.5" customHeight="1">
      <c r="B2" s="404" t="s">
        <v>1797</v>
      </c>
      <c r="C2" s="43"/>
      <c r="D2" s="43"/>
      <c r="E2" s="43"/>
      <c r="F2" s="43"/>
      <c r="G2" s="43"/>
      <c r="H2" s="43"/>
      <c r="I2" s="43"/>
      <c r="J2" s="43"/>
      <c r="K2" s="43"/>
      <c r="L2" s="43"/>
      <c r="M2" s="43"/>
      <c r="N2" s="43"/>
      <c r="O2" s="43" t="s">
        <v>233</v>
      </c>
      <c r="P2" s="43"/>
    </row>
    <row r="3" spans="2:22" s="1" customFormat="1" ht="16.5" customHeight="1">
      <c r="B3" s="43"/>
      <c r="C3" s="43"/>
      <c r="D3" s="43"/>
      <c r="E3" s="43"/>
      <c r="F3" s="43"/>
      <c r="G3" s="43"/>
      <c r="H3" s="43"/>
      <c r="I3" s="43"/>
      <c r="J3" s="43"/>
      <c r="K3" s="43"/>
      <c r="L3" s="43"/>
      <c r="M3" s="43"/>
      <c r="N3" s="43"/>
      <c r="O3" s="43"/>
      <c r="P3" s="43"/>
    </row>
    <row r="12" spans="2:22" s="1" customFormat="1" ht="16.5" customHeight="1">
      <c r="V12" s="1" t="s">
        <v>32</v>
      </c>
    </row>
    <row r="18" spans="2:18" s="1" customFormat="1"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8" s="1" customFormat="1" ht="16.5" customHeight="1">
      <c r="B19" s="101" t="s">
        <v>17</v>
      </c>
      <c r="C19" s="8"/>
      <c r="D19" s="8"/>
      <c r="E19" s="8"/>
      <c r="F19" s="8"/>
      <c r="G19" s="8"/>
      <c r="H19" s="8"/>
      <c r="I19" s="8">
        <v>169.93</v>
      </c>
      <c r="J19" s="8"/>
      <c r="K19" s="8">
        <v>619.83000000000004</v>
      </c>
      <c r="L19" s="8">
        <v>382.4</v>
      </c>
      <c r="M19" s="30"/>
      <c r="N19" s="8"/>
      <c r="O19" s="4">
        <f t="shared" ref="O19:O38" si="0">SUM(C19:N19)</f>
        <v>1172.1599999999999</v>
      </c>
      <c r="P19" s="102"/>
      <c r="R19" s="1" t="s">
        <v>1161</v>
      </c>
    </row>
    <row r="20" spans="2:18" s="1" customFormat="1" ht="16.5" customHeight="1">
      <c r="B20" s="101" t="s">
        <v>16</v>
      </c>
      <c r="C20" s="8"/>
      <c r="D20" s="8"/>
      <c r="E20" s="8"/>
      <c r="F20" s="8"/>
      <c r="G20" s="8"/>
      <c r="H20" s="8"/>
      <c r="I20" s="8">
        <v>418.88</v>
      </c>
      <c r="J20" s="8">
        <v>502.06</v>
      </c>
      <c r="K20" s="8"/>
      <c r="L20" s="8"/>
      <c r="M20" s="30"/>
      <c r="N20" s="8"/>
      <c r="O20" s="4">
        <f t="shared" si="0"/>
        <v>920.94</v>
      </c>
      <c r="P20" s="102"/>
    </row>
    <row r="21" spans="2:18" s="1" customFormat="1" ht="16.5" customHeight="1">
      <c r="B21" s="101" t="s">
        <v>15</v>
      </c>
      <c r="C21" s="8"/>
      <c r="D21" s="8"/>
      <c r="E21" s="8"/>
      <c r="F21" s="8"/>
      <c r="G21" s="8"/>
      <c r="H21" s="8"/>
      <c r="I21" s="8"/>
      <c r="J21" s="8">
        <v>48.09</v>
      </c>
      <c r="K21" s="8"/>
      <c r="L21" s="8"/>
      <c r="M21" s="30"/>
      <c r="N21" s="8"/>
      <c r="O21" s="4">
        <f t="shared" si="0"/>
        <v>48.09</v>
      </c>
      <c r="P21" s="102"/>
    </row>
    <row r="22" spans="2:18" s="1" customFormat="1" ht="16.5" customHeight="1">
      <c r="B22" s="101" t="s">
        <v>14</v>
      </c>
      <c r="C22" s="8"/>
      <c r="D22" s="8"/>
      <c r="E22" s="8"/>
      <c r="F22" s="8"/>
      <c r="G22" s="8"/>
      <c r="H22" s="8"/>
      <c r="I22" s="8"/>
      <c r="J22" s="8"/>
      <c r="K22" s="8"/>
      <c r="L22" s="8"/>
      <c r="M22" s="30"/>
      <c r="N22" s="8"/>
      <c r="O22" s="4">
        <f t="shared" si="0"/>
        <v>0</v>
      </c>
      <c r="P22" s="102"/>
    </row>
    <row r="23" spans="2:18" s="1" customFormat="1" ht="16.5" customHeight="1">
      <c r="B23" s="101" t="s">
        <v>13</v>
      </c>
      <c r="C23" s="8"/>
      <c r="D23" s="8"/>
      <c r="E23" s="8"/>
      <c r="F23" s="8"/>
      <c r="G23" s="8"/>
      <c r="H23" s="8"/>
      <c r="I23" s="8"/>
      <c r="J23" s="8"/>
      <c r="K23" s="8"/>
      <c r="L23" s="8"/>
      <c r="M23" s="30"/>
      <c r="N23" s="8"/>
      <c r="O23" s="4">
        <f t="shared" si="0"/>
        <v>0</v>
      </c>
      <c r="P23" s="102"/>
    </row>
    <row r="24" spans="2:18" s="1" customFormat="1" ht="16.5" customHeight="1">
      <c r="B24" s="103" t="s">
        <v>12</v>
      </c>
      <c r="C24" s="17"/>
      <c r="D24" s="17"/>
      <c r="E24" s="17"/>
      <c r="F24" s="17"/>
      <c r="G24" s="17"/>
      <c r="H24" s="17"/>
      <c r="I24" s="17"/>
      <c r="J24" s="17"/>
      <c r="K24" s="17"/>
      <c r="L24" s="17"/>
      <c r="M24" s="35"/>
      <c r="N24" s="17"/>
      <c r="O24" s="4">
        <f t="shared" si="0"/>
        <v>0</v>
      </c>
      <c r="P24" s="102"/>
    </row>
    <row r="25" spans="2:18" s="1" customFormat="1" ht="16.5" customHeight="1">
      <c r="B25" s="103" t="s">
        <v>11</v>
      </c>
      <c r="C25" s="17"/>
      <c r="D25" s="17"/>
      <c r="E25" s="17"/>
      <c r="F25" s="17"/>
      <c r="G25" s="17"/>
      <c r="H25" s="17"/>
      <c r="I25" s="17"/>
      <c r="J25" s="17"/>
      <c r="K25" s="17"/>
      <c r="L25" s="17"/>
      <c r="M25" s="35"/>
      <c r="N25" s="17"/>
      <c r="O25" s="4">
        <f t="shared" si="0"/>
        <v>0</v>
      </c>
      <c r="P25" s="102"/>
    </row>
    <row r="26" spans="2:18" s="1" customFormat="1" ht="16.5" customHeight="1">
      <c r="B26" s="103" t="s">
        <v>10</v>
      </c>
      <c r="C26" s="17"/>
      <c r="D26" s="17"/>
      <c r="E26" s="17"/>
      <c r="F26" s="17"/>
      <c r="G26" s="17"/>
      <c r="H26" s="17"/>
      <c r="I26" s="17"/>
      <c r="J26" s="17"/>
      <c r="K26" s="17"/>
      <c r="L26" s="17"/>
      <c r="M26" s="35"/>
      <c r="N26" s="17"/>
      <c r="O26" s="4">
        <f t="shared" si="0"/>
        <v>0</v>
      </c>
      <c r="P26" s="102"/>
    </row>
    <row r="27" spans="2:18" s="1" customFormat="1" ht="16.5" customHeight="1">
      <c r="B27" s="103" t="s">
        <v>9</v>
      </c>
      <c r="C27" s="17"/>
      <c r="D27" s="17"/>
      <c r="E27" s="17"/>
      <c r="F27" s="17"/>
      <c r="G27" s="17"/>
      <c r="H27" s="17"/>
      <c r="I27" s="17"/>
      <c r="J27" s="17"/>
      <c r="K27" s="17"/>
      <c r="L27" s="17"/>
      <c r="M27" s="35"/>
      <c r="N27" s="17"/>
      <c r="O27" s="4">
        <f t="shared" si="0"/>
        <v>0</v>
      </c>
      <c r="P27" s="102"/>
    </row>
    <row r="28" spans="2:18" s="1" customFormat="1" ht="16.5" hidden="1" customHeight="1">
      <c r="B28" s="103"/>
      <c r="C28" s="15"/>
      <c r="D28" s="15"/>
      <c r="E28" s="15"/>
      <c r="F28" s="15"/>
      <c r="G28" s="15"/>
      <c r="H28" s="15"/>
      <c r="I28" s="15"/>
      <c r="J28" s="15"/>
      <c r="K28" s="15"/>
      <c r="L28" s="15"/>
      <c r="M28" s="16"/>
      <c r="N28" s="15"/>
      <c r="O28" s="4">
        <f t="shared" si="0"/>
        <v>0</v>
      </c>
      <c r="P28" s="102"/>
    </row>
    <row r="29" spans="2:18" s="1" customFormat="1" ht="16.5" hidden="1" customHeight="1">
      <c r="B29" s="103"/>
      <c r="C29" s="15"/>
      <c r="D29" s="15"/>
      <c r="E29" s="15"/>
      <c r="F29" s="15"/>
      <c r="G29" s="15"/>
      <c r="H29" s="15"/>
      <c r="I29" s="15"/>
      <c r="J29" s="15"/>
      <c r="K29" s="15"/>
      <c r="L29" s="15"/>
      <c r="M29" s="16"/>
      <c r="N29" s="15"/>
      <c r="O29" s="4">
        <f t="shared" si="0"/>
        <v>0</v>
      </c>
      <c r="P29" s="102"/>
    </row>
    <row r="30" spans="2:18" s="1" customFormat="1" ht="16.5" hidden="1" customHeight="1">
      <c r="B30" s="103"/>
      <c r="C30" s="15"/>
      <c r="D30" s="15"/>
      <c r="E30" s="15"/>
      <c r="F30" s="15"/>
      <c r="G30" s="15"/>
      <c r="H30" s="15"/>
      <c r="I30" s="15"/>
      <c r="J30" s="15"/>
      <c r="K30" s="15"/>
      <c r="L30" s="15"/>
      <c r="M30" s="16"/>
      <c r="N30" s="15"/>
      <c r="O30" s="4">
        <f t="shared" si="0"/>
        <v>0</v>
      </c>
      <c r="P30" s="102"/>
    </row>
    <row r="31" spans="2:18" s="1" customFormat="1" ht="16.5" hidden="1" customHeight="1">
      <c r="B31" s="103"/>
      <c r="C31" s="15"/>
      <c r="D31" s="15"/>
      <c r="E31" s="15"/>
      <c r="F31" s="15"/>
      <c r="G31" s="15"/>
      <c r="H31" s="15"/>
      <c r="I31" s="15"/>
      <c r="J31" s="15"/>
      <c r="K31" s="15"/>
      <c r="L31" s="15"/>
      <c r="M31" s="16"/>
      <c r="N31" s="15"/>
      <c r="O31" s="4">
        <f t="shared" si="0"/>
        <v>0</v>
      </c>
      <c r="P31" s="102"/>
    </row>
    <row r="32" spans="2:18" s="1" customFormat="1" ht="16.5" customHeight="1">
      <c r="B32" s="103" t="s">
        <v>8</v>
      </c>
      <c r="C32" s="4"/>
      <c r="D32" s="4"/>
      <c r="E32" s="4"/>
      <c r="F32" s="4"/>
      <c r="G32" s="4"/>
      <c r="H32" s="4"/>
      <c r="I32" s="4"/>
      <c r="J32" s="4"/>
      <c r="K32" s="4"/>
      <c r="L32" s="4"/>
      <c r="M32" s="33"/>
      <c r="N32" s="4"/>
      <c r="O32" s="4">
        <f t="shared" si="0"/>
        <v>0</v>
      </c>
      <c r="P32" s="102"/>
    </row>
    <row r="33" spans="2:18" s="1" customFormat="1" ht="16.5" customHeight="1">
      <c r="B33" s="103" t="s">
        <v>7</v>
      </c>
      <c r="C33" s="12"/>
      <c r="D33" s="12"/>
      <c r="E33" s="12"/>
      <c r="F33" s="12"/>
      <c r="G33" s="12"/>
      <c r="H33" s="12"/>
      <c r="I33" s="12"/>
      <c r="J33" s="12"/>
      <c r="K33" s="12"/>
      <c r="L33" s="12"/>
      <c r="M33" s="32"/>
      <c r="N33" s="12"/>
      <c r="O33" s="4">
        <f t="shared" si="0"/>
        <v>0</v>
      </c>
      <c r="P33" s="102"/>
    </row>
    <row r="34" spans="2:18" s="1" customFormat="1" ht="16.5" customHeight="1">
      <c r="B34" s="103" t="s">
        <v>6</v>
      </c>
      <c r="C34" s="41"/>
      <c r="D34" s="41"/>
      <c r="E34" s="41"/>
      <c r="F34" s="41"/>
      <c r="G34" s="41"/>
      <c r="H34" s="41"/>
      <c r="I34" s="41"/>
      <c r="J34" s="41"/>
      <c r="K34" s="41"/>
      <c r="L34" s="41"/>
      <c r="M34" s="42"/>
      <c r="N34" s="41"/>
      <c r="O34" s="4">
        <f t="shared" si="0"/>
        <v>0</v>
      </c>
      <c r="P34" s="102"/>
    </row>
    <row r="35" spans="2:18" s="1" customFormat="1" ht="16.5" customHeight="1">
      <c r="B35" s="103" t="s">
        <v>5</v>
      </c>
      <c r="C35" s="8"/>
      <c r="D35" s="8"/>
      <c r="E35" s="8"/>
      <c r="F35" s="8"/>
      <c r="G35" s="8"/>
      <c r="H35" s="8"/>
      <c r="I35" s="8"/>
      <c r="J35" s="8">
        <v>16.68</v>
      </c>
      <c r="K35" s="8">
        <v>15.66</v>
      </c>
      <c r="L35" s="8"/>
      <c r="M35" s="30"/>
      <c r="N35" s="8"/>
      <c r="O35" s="4">
        <f t="shared" si="0"/>
        <v>32.340000000000003</v>
      </c>
      <c r="P35" s="102"/>
    </row>
    <row r="36" spans="2:18" s="1" customFormat="1" ht="16.5" customHeight="1">
      <c r="B36" s="103" t="s">
        <v>171</v>
      </c>
      <c r="C36" s="8"/>
      <c r="D36" s="8"/>
      <c r="E36" s="8"/>
      <c r="F36" s="8"/>
      <c r="G36" s="8"/>
      <c r="H36" s="8"/>
      <c r="I36" s="8"/>
      <c r="J36" s="8"/>
      <c r="K36" s="8"/>
      <c r="L36" s="8"/>
      <c r="M36" s="30"/>
      <c r="N36" s="8"/>
      <c r="O36" s="4">
        <f t="shared" si="0"/>
        <v>0</v>
      </c>
      <c r="P36" s="102"/>
    </row>
    <row r="37" spans="2:18" s="1" customFormat="1" ht="16.5" customHeight="1">
      <c r="B37" s="103" t="s">
        <v>3</v>
      </c>
      <c r="C37" s="8"/>
      <c r="D37" s="8"/>
      <c r="E37" s="8"/>
      <c r="F37" s="8"/>
      <c r="G37" s="8"/>
      <c r="H37" s="8"/>
      <c r="I37" s="8">
        <v>6.08</v>
      </c>
      <c r="J37" s="8">
        <v>116.93</v>
      </c>
      <c r="K37" s="8">
        <v>12.13</v>
      </c>
      <c r="L37" s="8"/>
      <c r="M37" s="30"/>
      <c r="N37" s="8"/>
      <c r="O37" s="4">
        <f t="shared" si="0"/>
        <v>135.14000000000001</v>
      </c>
      <c r="P37" s="102"/>
    </row>
    <row r="38" spans="2:18" s="1" customFormat="1" ht="16.5" customHeight="1">
      <c r="B38" s="103" t="s">
        <v>2</v>
      </c>
      <c r="C38" s="5"/>
      <c r="D38" s="5"/>
      <c r="E38" s="5"/>
      <c r="F38" s="5"/>
      <c r="G38" s="5"/>
      <c r="H38" s="5"/>
      <c r="I38" s="5">
        <v>30</v>
      </c>
      <c r="J38" s="5">
        <v>190</v>
      </c>
      <c r="K38" s="5">
        <v>30</v>
      </c>
      <c r="L38" s="5"/>
      <c r="M38" s="29"/>
      <c r="N38" s="5"/>
      <c r="O38" s="4">
        <f t="shared" si="0"/>
        <v>250</v>
      </c>
      <c r="P38" s="102"/>
    </row>
    <row r="39" spans="2:18" s="1" customFormat="1" ht="16.5" customHeight="1">
      <c r="B39" s="101" t="s">
        <v>1</v>
      </c>
      <c r="C39" s="104">
        <f>SUBTOTAL(109,ExpenseSummary149[Jan])</f>
        <v>0</v>
      </c>
      <c r="D39" s="105">
        <f>SUBTOTAL(109,ExpenseSummary149[Feb])</f>
        <v>0</v>
      </c>
      <c r="E39" s="104">
        <f>SUBTOTAL(109,ExpenseSummary149[Mar])</f>
        <v>0</v>
      </c>
      <c r="F39" s="105">
        <f>SUBTOTAL(109,ExpenseSummary149[Apr])</f>
        <v>0</v>
      </c>
      <c r="G39" s="104">
        <f>SUBTOTAL(109,ExpenseSummary149[May])</f>
        <v>0</v>
      </c>
      <c r="H39" s="105">
        <f>SUBTOTAL(109,ExpenseSummary149[Jun])</f>
        <v>0</v>
      </c>
      <c r="I39" s="104">
        <f>SUBTOTAL(109,ExpenseSummary149[Jul])</f>
        <v>624.89</v>
      </c>
      <c r="J39" s="105">
        <f>SUBTOTAL(109,ExpenseSummary149[Aug])</f>
        <v>873.76</v>
      </c>
      <c r="K39" s="104">
        <f>SUBTOTAL(109,ExpenseSummary149[Sep])</f>
        <v>677.62</v>
      </c>
      <c r="L39" s="105">
        <f>SUBTOTAL(109,ExpenseSummary149[Oct])</f>
        <v>382.4</v>
      </c>
      <c r="M39" s="267">
        <f>SUBTOTAL(109,ExpenseSummary149[Nov])</f>
        <v>0</v>
      </c>
      <c r="N39" s="105">
        <f>SUBTOTAL(109,ExpenseSummary149[Dec])</f>
        <v>0</v>
      </c>
      <c r="O39" s="106">
        <f>SUBTOTAL(109,ExpenseSummary149[Total])</f>
        <v>2558.67</v>
      </c>
      <c r="P39" s="102"/>
    </row>
    <row r="40" spans="2:18" s="1" customFormat="1" ht="16.5" customHeight="1">
      <c r="B40" s="28"/>
      <c r="C40" s="28"/>
    </row>
    <row r="41" spans="2:18" s="1" customFormat="1" ht="16.5" customHeight="1">
      <c r="B41" s="268"/>
      <c r="C41" s="268"/>
      <c r="D41" s="269"/>
      <c r="E41" s="270" t="s">
        <v>118</v>
      </c>
      <c r="F41" s="270"/>
      <c r="G41" s="270"/>
      <c r="H41" s="270"/>
      <c r="I41" s="270"/>
      <c r="J41" s="270"/>
      <c r="K41" s="270"/>
      <c r="L41" s="270"/>
      <c r="M41" s="270"/>
      <c r="N41" s="270"/>
      <c r="O41" s="270"/>
      <c r="P41" s="270"/>
      <c r="Q41" s="270"/>
      <c r="R41" s="270"/>
    </row>
    <row r="42" spans="2:18" s="1" customFormat="1" ht="16.5" customHeight="1">
      <c r="B42" s="271" t="s">
        <v>1201</v>
      </c>
      <c r="C42" s="272" t="s">
        <v>1202</v>
      </c>
      <c r="D42" s="269"/>
      <c r="E42" s="273" t="s">
        <v>1798</v>
      </c>
      <c r="F42" s="273"/>
      <c r="G42" s="273"/>
      <c r="H42" s="273"/>
      <c r="I42" s="273"/>
      <c r="J42" s="273"/>
      <c r="K42" s="273"/>
      <c r="L42" s="273"/>
      <c r="M42" s="273"/>
      <c r="N42" s="273"/>
      <c r="O42" s="273"/>
      <c r="P42" s="273"/>
      <c r="Q42" s="273"/>
      <c r="R42" s="273"/>
    </row>
    <row r="43" spans="2:18" s="1" customFormat="1" ht="16.5" customHeight="1">
      <c r="B43" s="274" t="s">
        <v>115</v>
      </c>
      <c r="C43" s="275" t="s">
        <v>289</v>
      </c>
      <c r="D43" s="269"/>
      <c r="E43" s="270" t="s">
        <v>113</v>
      </c>
      <c r="F43" s="270"/>
      <c r="G43" s="270"/>
      <c r="H43" s="270"/>
      <c r="I43" s="270"/>
      <c r="J43" s="270"/>
      <c r="K43" s="270"/>
      <c r="L43" s="270"/>
      <c r="M43" s="270"/>
      <c r="N43" s="270"/>
      <c r="O43" s="270"/>
      <c r="P43" s="270"/>
      <c r="Q43" s="270"/>
      <c r="R43" s="270"/>
    </row>
    <row r="44" spans="2:18" s="1" customFormat="1" ht="16.5" customHeight="1" thickBot="1">
      <c r="B44" s="274" t="s">
        <v>112</v>
      </c>
      <c r="C44" s="276">
        <v>93175</v>
      </c>
      <c r="D44" s="268"/>
      <c r="E44" s="273" t="s">
        <v>1203</v>
      </c>
      <c r="F44" s="273"/>
      <c r="G44" s="273"/>
      <c r="H44" s="273"/>
      <c r="I44" s="273"/>
      <c r="J44" s="273"/>
      <c r="K44" s="273"/>
      <c r="L44" s="273"/>
      <c r="M44" s="273"/>
      <c r="N44" s="273"/>
      <c r="O44" s="273"/>
      <c r="P44" s="273"/>
      <c r="Q44" s="273"/>
      <c r="R44" s="273"/>
    </row>
    <row r="45" spans="2:18" s="1" customFormat="1" ht="16.5" customHeight="1">
      <c r="B45" s="274" t="s">
        <v>110</v>
      </c>
      <c r="C45" s="277"/>
      <c r="D45" s="260"/>
      <c r="E45" s="278" t="s">
        <v>109</v>
      </c>
      <c r="F45" s="279" t="s">
        <v>108</v>
      </c>
      <c r="G45" s="280"/>
      <c r="H45" s="279" t="s">
        <v>107</v>
      </c>
      <c r="I45" s="280"/>
      <c r="J45" s="279" t="s">
        <v>106</v>
      </c>
      <c r="K45" s="280"/>
      <c r="L45" s="279" t="s">
        <v>105</v>
      </c>
      <c r="M45" s="280"/>
      <c r="N45" s="279" t="s">
        <v>96</v>
      </c>
      <c r="O45" s="280"/>
      <c r="P45" s="279" t="s">
        <v>104</v>
      </c>
      <c r="Q45" s="280"/>
      <c r="R45" s="281" t="s">
        <v>103</v>
      </c>
    </row>
    <row r="46" spans="2:18" s="1" customFormat="1" ht="16.5" customHeight="1">
      <c r="B46" s="282" t="s">
        <v>102</v>
      </c>
      <c r="C46" s="283">
        <v>283</v>
      </c>
      <c r="D46" s="262"/>
      <c r="E46" s="284"/>
      <c r="F46" s="285" t="s">
        <v>101</v>
      </c>
      <c r="G46" s="286" t="s">
        <v>100</v>
      </c>
      <c r="H46" s="285" t="s">
        <v>101</v>
      </c>
      <c r="I46" s="286" t="s">
        <v>100</v>
      </c>
      <c r="J46" s="285" t="s">
        <v>101</v>
      </c>
      <c r="K46" s="286" t="s">
        <v>100</v>
      </c>
      <c r="L46" s="287" t="s">
        <v>101</v>
      </c>
      <c r="M46" s="405" t="s">
        <v>100</v>
      </c>
      <c r="N46" s="287" t="s">
        <v>101</v>
      </c>
      <c r="O46" s="286" t="s">
        <v>100</v>
      </c>
      <c r="P46" s="287" t="s">
        <v>101</v>
      </c>
      <c r="Q46" s="286" t="s">
        <v>100</v>
      </c>
      <c r="R46" s="284"/>
    </row>
    <row r="47" spans="2:18" s="1" customFormat="1" ht="16.5" customHeight="1">
      <c r="B47" s="274" t="s">
        <v>99</v>
      </c>
      <c r="C47" s="288">
        <v>6867</v>
      </c>
      <c r="D47" s="260"/>
      <c r="E47" s="289" t="s">
        <v>87</v>
      </c>
      <c r="F47" s="290">
        <v>7</v>
      </c>
      <c r="G47" s="291">
        <f t="shared" ref="G47:G58" si="1">SUM($B$6*F47)*C59</f>
        <v>0</v>
      </c>
      <c r="H47" s="292"/>
      <c r="I47" s="291">
        <f>IF(H47&gt;0,($B$7*C59),0)</f>
        <v>0</v>
      </c>
      <c r="J47" s="293"/>
      <c r="K47" s="291">
        <f>IF(J47&gt;0,($B$8*C59),0)</f>
        <v>0</v>
      </c>
      <c r="L47" s="292">
        <v>2</v>
      </c>
      <c r="M47" s="406">
        <f t="shared" ref="M47:M58" si="2">IF(L47&gt;0,($B$9*L47),0)</f>
        <v>0</v>
      </c>
      <c r="N47" s="294">
        <v>2</v>
      </c>
      <c r="O47" s="291">
        <f t="shared" ref="O47:O58" si="3">IF(N47&gt;0,($B$10*N47),0)</f>
        <v>0</v>
      </c>
      <c r="P47" s="295">
        <v>2</v>
      </c>
      <c r="Q47" s="291">
        <f t="shared" ref="Q47:Q58" si="4">SUM(P47*$B$17)*C59</f>
        <v>0</v>
      </c>
      <c r="R47" s="296">
        <f t="shared" ref="R47:R58" si="5">SUM(Q47+O47+M47+K47+I47+G47)</f>
        <v>0</v>
      </c>
    </row>
    <row r="48" spans="2:18" s="1" customFormat="1" ht="16.5" customHeight="1">
      <c r="B48" s="274" t="s">
        <v>98</v>
      </c>
      <c r="C48" s="288">
        <v>5460</v>
      </c>
      <c r="D48" s="260"/>
      <c r="E48" s="289" t="s">
        <v>86</v>
      </c>
      <c r="F48" s="290">
        <v>7</v>
      </c>
      <c r="G48" s="291">
        <f t="shared" si="1"/>
        <v>0</v>
      </c>
      <c r="H48" s="292"/>
      <c r="I48" s="291">
        <f>IF(H48&gt;0,($B$7*C60),0)</f>
        <v>0</v>
      </c>
      <c r="J48" s="293"/>
      <c r="K48" s="291">
        <f>IF(J48&gt;0,($B$8*C60),0)</f>
        <v>0</v>
      </c>
      <c r="L48" s="292">
        <v>2</v>
      </c>
      <c r="M48" s="406">
        <f t="shared" si="2"/>
        <v>0</v>
      </c>
      <c r="N48" s="294">
        <v>2</v>
      </c>
      <c r="O48" s="291">
        <f t="shared" si="3"/>
        <v>0</v>
      </c>
      <c r="P48" s="295">
        <v>2</v>
      </c>
      <c r="Q48" s="291">
        <f t="shared" si="4"/>
        <v>0</v>
      </c>
      <c r="R48" s="296">
        <f t="shared" si="5"/>
        <v>0</v>
      </c>
    </row>
    <row r="49" spans="2:18" s="1" customFormat="1" ht="16.5" customHeight="1">
      <c r="B49" s="407" t="s">
        <v>97</v>
      </c>
      <c r="C49" s="288">
        <v>324</v>
      </c>
      <c r="D49" s="260"/>
      <c r="E49" s="289" t="s">
        <v>84</v>
      </c>
      <c r="F49" s="290">
        <v>7</v>
      </c>
      <c r="G49" s="291">
        <f t="shared" si="1"/>
        <v>0</v>
      </c>
      <c r="H49" s="292"/>
      <c r="I49" s="291">
        <f>IF(H49&gt;0,($B$7*C61),0)</f>
        <v>0</v>
      </c>
      <c r="J49" s="293"/>
      <c r="K49" s="291">
        <f>IF(J49&gt;0,($B$8*C61),0)</f>
        <v>0</v>
      </c>
      <c r="L49" s="292">
        <v>2</v>
      </c>
      <c r="M49" s="406">
        <f t="shared" si="2"/>
        <v>0</v>
      </c>
      <c r="N49" s="294">
        <v>2</v>
      </c>
      <c r="O49" s="291">
        <f t="shared" si="3"/>
        <v>0</v>
      </c>
      <c r="P49" s="295">
        <v>2</v>
      </c>
      <c r="Q49" s="291">
        <f t="shared" si="4"/>
        <v>0</v>
      </c>
      <c r="R49" s="296">
        <f t="shared" si="5"/>
        <v>0</v>
      </c>
    </row>
    <row r="50" spans="2:18" s="1" customFormat="1" ht="16.5" customHeight="1">
      <c r="B50" s="408" t="s">
        <v>96</v>
      </c>
      <c r="C50" s="288">
        <v>1050</v>
      </c>
      <c r="D50" s="260"/>
      <c r="E50" s="289" t="s">
        <v>83</v>
      </c>
      <c r="F50" s="290">
        <v>7</v>
      </c>
      <c r="G50" s="291">
        <f t="shared" si="1"/>
        <v>0</v>
      </c>
      <c r="H50" s="292"/>
      <c r="I50" s="291">
        <f>IF(H50&gt;0,($B$7*C62),0)</f>
        <v>0</v>
      </c>
      <c r="J50" s="293"/>
      <c r="K50" s="291">
        <f>IF(J50&gt;0,($B$8*C62),0)</f>
        <v>0</v>
      </c>
      <c r="L50" s="292">
        <v>2</v>
      </c>
      <c r="M50" s="406">
        <f t="shared" si="2"/>
        <v>0</v>
      </c>
      <c r="N50" s="294">
        <v>2</v>
      </c>
      <c r="O50" s="291">
        <f t="shared" si="3"/>
        <v>0</v>
      </c>
      <c r="P50" s="295">
        <v>2</v>
      </c>
      <c r="Q50" s="291">
        <f t="shared" si="4"/>
        <v>0</v>
      </c>
      <c r="R50" s="296">
        <f t="shared" si="5"/>
        <v>0</v>
      </c>
    </row>
    <row r="51" spans="2:18" s="1" customFormat="1" ht="16.5" customHeight="1">
      <c r="B51" s="274" t="s">
        <v>95</v>
      </c>
      <c r="C51" s="141">
        <v>35000</v>
      </c>
      <c r="D51" s="260"/>
      <c r="E51" s="289" t="s">
        <v>82</v>
      </c>
      <c r="F51" s="290">
        <v>7</v>
      </c>
      <c r="G51" s="291">
        <f t="shared" si="1"/>
        <v>0</v>
      </c>
      <c r="H51" s="292"/>
      <c r="I51" s="291">
        <v>6866.67</v>
      </c>
      <c r="J51" s="293"/>
      <c r="K51" s="291">
        <v>5460</v>
      </c>
      <c r="L51" s="292">
        <v>2</v>
      </c>
      <c r="M51" s="406">
        <f t="shared" si="2"/>
        <v>0</v>
      </c>
      <c r="N51" s="294">
        <v>2</v>
      </c>
      <c r="O51" s="291">
        <f t="shared" si="3"/>
        <v>0</v>
      </c>
      <c r="P51" s="295">
        <v>2</v>
      </c>
      <c r="Q51" s="291">
        <f t="shared" si="4"/>
        <v>0</v>
      </c>
      <c r="R51" s="296">
        <f t="shared" si="5"/>
        <v>12326.67</v>
      </c>
    </row>
    <row r="52" spans="2:18" s="1" customFormat="1" ht="16.5" customHeight="1">
      <c r="B52" s="274" t="s">
        <v>94</v>
      </c>
      <c r="C52" s="141">
        <v>5000</v>
      </c>
      <c r="D52" s="260"/>
      <c r="E52" s="289" t="s">
        <v>80</v>
      </c>
      <c r="F52" s="290">
        <v>7</v>
      </c>
      <c r="G52" s="291">
        <f t="shared" si="1"/>
        <v>0</v>
      </c>
      <c r="H52" s="292"/>
      <c r="I52" s="291">
        <f t="shared" ref="I52:I58" si="6">IF(H52&gt;0,($B$7*C64),0)</f>
        <v>0</v>
      </c>
      <c r="J52" s="293"/>
      <c r="K52" s="291">
        <f t="shared" ref="K52:K58" si="7">IF(J52&gt;0,($B$8*C64),0)</f>
        <v>0</v>
      </c>
      <c r="L52" s="292">
        <v>2</v>
      </c>
      <c r="M52" s="406">
        <f t="shared" si="2"/>
        <v>0</v>
      </c>
      <c r="N52" s="294">
        <v>2</v>
      </c>
      <c r="O52" s="291">
        <f t="shared" si="3"/>
        <v>0</v>
      </c>
      <c r="P52" s="295">
        <v>2</v>
      </c>
      <c r="Q52" s="291">
        <f t="shared" si="4"/>
        <v>0</v>
      </c>
      <c r="R52" s="296">
        <f t="shared" si="5"/>
        <v>0</v>
      </c>
    </row>
    <row r="53" spans="2:18" s="1" customFormat="1" ht="16.5" customHeight="1">
      <c r="B53" s="274" t="s">
        <v>93</v>
      </c>
      <c r="C53" s="141">
        <v>175000</v>
      </c>
      <c r="D53" s="260"/>
      <c r="E53" s="289" t="s">
        <v>79</v>
      </c>
      <c r="F53" s="290">
        <v>7</v>
      </c>
      <c r="G53" s="291">
        <f t="shared" si="1"/>
        <v>0</v>
      </c>
      <c r="H53" s="292"/>
      <c r="I53" s="291">
        <f t="shared" si="6"/>
        <v>0</v>
      </c>
      <c r="J53" s="293"/>
      <c r="K53" s="291">
        <f t="shared" si="7"/>
        <v>0</v>
      </c>
      <c r="L53" s="292">
        <v>2</v>
      </c>
      <c r="M53" s="406">
        <f t="shared" si="2"/>
        <v>0</v>
      </c>
      <c r="N53" s="294">
        <v>2</v>
      </c>
      <c r="O53" s="291">
        <f t="shared" si="3"/>
        <v>0</v>
      </c>
      <c r="P53" s="295">
        <v>2</v>
      </c>
      <c r="Q53" s="291">
        <f t="shared" si="4"/>
        <v>0</v>
      </c>
      <c r="R53" s="296">
        <f t="shared" si="5"/>
        <v>0</v>
      </c>
    </row>
    <row r="54" spans="2:18" s="1" customFormat="1" ht="16.5" customHeight="1">
      <c r="B54" s="274" t="s">
        <v>92</v>
      </c>
      <c r="C54" s="141">
        <v>175000</v>
      </c>
      <c r="D54" s="260"/>
      <c r="E54" s="289" t="s">
        <v>78</v>
      </c>
      <c r="F54" s="290">
        <v>7</v>
      </c>
      <c r="G54" s="291">
        <f t="shared" si="1"/>
        <v>0</v>
      </c>
      <c r="H54" s="292"/>
      <c r="I54" s="291">
        <f t="shared" si="6"/>
        <v>0</v>
      </c>
      <c r="J54" s="293"/>
      <c r="K54" s="291">
        <f t="shared" si="7"/>
        <v>0</v>
      </c>
      <c r="L54" s="292">
        <v>2</v>
      </c>
      <c r="M54" s="406">
        <f t="shared" si="2"/>
        <v>0</v>
      </c>
      <c r="N54" s="294">
        <v>2</v>
      </c>
      <c r="O54" s="291">
        <f t="shared" si="3"/>
        <v>0</v>
      </c>
      <c r="P54" s="295">
        <v>2</v>
      </c>
      <c r="Q54" s="291">
        <f t="shared" si="4"/>
        <v>0</v>
      </c>
      <c r="R54" s="296">
        <f t="shared" si="5"/>
        <v>0</v>
      </c>
    </row>
    <row r="55" spans="2:18" s="1" customFormat="1" ht="16.5" customHeight="1">
      <c r="B55" s="274" t="s">
        <v>91</v>
      </c>
      <c r="C55" s="141">
        <v>12000</v>
      </c>
      <c r="D55" s="260"/>
      <c r="E55" s="289" t="s">
        <v>77</v>
      </c>
      <c r="F55" s="290">
        <v>7</v>
      </c>
      <c r="G55" s="291">
        <f t="shared" si="1"/>
        <v>0</v>
      </c>
      <c r="H55" s="292"/>
      <c r="I55" s="291">
        <f t="shared" si="6"/>
        <v>0</v>
      </c>
      <c r="J55" s="293"/>
      <c r="K55" s="291">
        <f t="shared" si="7"/>
        <v>0</v>
      </c>
      <c r="L55" s="292">
        <v>2</v>
      </c>
      <c r="M55" s="406">
        <f t="shared" si="2"/>
        <v>0</v>
      </c>
      <c r="N55" s="294">
        <v>2</v>
      </c>
      <c r="O55" s="291">
        <f t="shared" si="3"/>
        <v>0</v>
      </c>
      <c r="P55" s="295">
        <v>2</v>
      </c>
      <c r="Q55" s="291">
        <f t="shared" si="4"/>
        <v>0</v>
      </c>
      <c r="R55" s="296">
        <f t="shared" si="5"/>
        <v>0</v>
      </c>
    </row>
    <row r="56" spans="2:18" s="1" customFormat="1" ht="16.5" customHeight="1">
      <c r="B56" s="274" t="s">
        <v>90</v>
      </c>
      <c r="C56" s="141">
        <v>25000</v>
      </c>
      <c r="D56" s="260"/>
      <c r="E56" s="289" t="s">
        <v>76</v>
      </c>
      <c r="F56" s="290">
        <v>7</v>
      </c>
      <c r="G56" s="291">
        <f t="shared" si="1"/>
        <v>0</v>
      </c>
      <c r="H56" s="292"/>
      <c r="I56" s="291">
        <f t="shared" si="6"/>
        <v>0</v>
      </c>
      <c r="J56" s="293"/>
      <c r="K56" s="291">
        <f t="shared" si="7"/>
        <v>0</v>
      </c>
      <c r="L56" s="292">
        <v>2</v>
      </c>
      <c r="M56" s="406">
        <f t="shared" si="2"/>
        <v>0</v>
      </c>
      <c r="N56" s="294">
        <v>2</v>
      </c>
      <c r="O56" s="291">
        <f t="shared" si="3"/>
        <v>0</v>
      </c>
      <c r="P56" s="295">
        <v>2</v>
      </c>
      <c r="Q56" s="291">
        <f t="shared" si="4"/>
        <v>0</v>
      </c>
      <c r="R56" s="296">
        <f t="shared" si="5"/>
        <v>0</v>
      </c>
    </row>
    <row r="57" spans="2:18" s="1" customFormat="1" ht="16.5" customHeight="1">
      <c r="B57" s="297" t="s">
        <v>89</v>
      </c>
      <c r="C57" s="298">
        <v>92</v>
      </c>
      <c r="D57" s="260"/>
      <c r="E57" s="289" t="s">
        <v>75</v>
      </c>
      <c r="F57" s="290">
        <v>7</v>
      </c>
      <c r="G57" s="291">
        <f t="shared" si="1"/>
        <v>0</v>
      </c>
      <c r="H57" s="292"/>
      <c r="I57" s="291">
        <f t="shared" si="6"/>
        <v>0</v>
      </c>
      <c r="J57" s="293"/>
      <c r="K57" s="291">
        <f t="shared" si="7"/>
        <v>0</v>
      </c>
      <c r="L57" s="292">
        <v>2</v>
      </c>
      <c r="M57" s="406">
        <f t="shared" si="2"/>
        <v>0</v>
      </c>
      <c r="N57" s="294">
        <v>2</v>
      </c>
      <c r="O57" s="291">
        <f t="shared" si="3"/>
        <v>0</v>
      </c>
      <c r="P57" s="295">
        <v>2</v>
      </c>
      <c r="Q57" s="291">
        <f t="shared" si="4"/>
        <v>0</v>
      </c>
      <c r="R57" s="296">
        <f t="shared" si="5"/>
        <v>0</v>
      </c>
    </row>
    <row r="58" spans="2:18" s="1" customFormat="1" ht="16.5" customHeight="1">
      <c r="B58" s="299" t="s">
        <v>88</v>
      </c>
      <c r="C58" s="300"/>
      <c r="D58" s="260"/>
      <c r="E58" s="289" t="s">
        <v>74</v>
      </c>
      <c r="F58" s="290">
        <v>7</v>
      </c>
      <c r="G58" s="291">
        <f t="shared" si="1"/>
        <v>0</v>
      </c>
      <c r="H58" s="292"/>
      <c r="I58" s="291">
        <f t="shared" si="6"/>
        <v>0</v>
      </c>
      <c r="J58" s="293"/>
      <c r="K58" s="291">
        <f t="shared" si="7"/>
        <v>0</v>
      </c>
      <c r="L58" s="292">
        <v>2</v>
      </c>
      <c r="M58" s="406">
        <f t="shared" si="2"/>
        <v>0</v>
      </c>
      <c r="N58" s="294">
        <v>2</v>
      </c>
      <c r="O58" s="291">
        <f t="shared" si="3"/>
        <v>0</v>
      </c>
      <c r="P58" s="295">
        <v>2</v>
      </c>
      <c r="Q58" s="291">
        <f t="shared" si="4"/>
        <v>0</v>
      </c>
      <c r="R58" s="296">
        <f t="shared" si="5"/>
        <v>0</v>
      </c>
    </row>
    <row r="59" spans="2:18" s="1" customFormat="1" ht="16.5" customHeight="1">
      <c r="B59" s="513" t="s">
        <v>87</v>
      </c>
      <c r="C59" s="514">
        <v>1</v>
      </c>
      <c r="D59" s="260"/>
      <c r="E59" s="303"/>
      <c r="F59" s="304"/>
      <c r="G59" s="305"/>
      <c r="H59" s="306"/>
      <c r="I59" s="307"/>
      <c r="J59" s="308"/>
      <c r="K59" s="307"/>
      <c r="L59" s="306"/>
      <c r="M59" s="409"/>
      <c r="N59" s="304"/>
      <c r="O59" s="305"/>
      <c r="P59" s="306"/>
      <c r="Q59" s="307"/>
      <c r="R59" s="309"/>
    </row>
    <row r="60" spans="2:18" s="1" customFormat="1" ht="16.5" customHeight="1" thickBot="1">
      <c r="B60" s="513" t="s">
        <v>86</v>
      </c>
      <c r="C60" s="513">
        <f t="shared" ref="C60:C70" si="8">SUM(C59+(C59*$B$5))</f>
        <v>1</v>
      </c>
      <c r="D60" s="260"/>
      <c r="E60" s="310" t="s">
        <v>85</v>
      </c>
      <c r="F60" s="311"/>
      <c r="G60" s="312">
        <f>SUM(G47:G58)</f>
        <v>0</v>
      </c>
      <c r="H60" s="313"/>
      <c r="I60" s="312">
        <f>SUM(I47:I58)</f>
        <v>6866.67</v>
      </c>
      <c r="J60" s="314"/>
      <c r="K60" s="312">
        <f>SUM(K47:K58)</f>
        <v>5460</v>
      </c>
      <c r="L60" s="313"/>
      <c r="M60" s="410">
        <f>SUM(M47:M58)</f>
        <v>0</v>
      </c>
      <c r="N60" s="315"/>
      <c r="O60" s="312">
        <f>SUM(O47:O58)</f>
        <v>0</v>
      </c>
      <c r="P60" s="313"/>
      <c r="Q60" s="312">
        <f>SUM(Q47:Q58)</f>
        <v>0</v>
      </c>
      <c r="R60" s="316">
        <f>SUM(R47:R58)</f>
        <v>12326.67</v>
      </c>
    </row>
    <row r="61" spans="2:18" s="1" customFormat="1" ht="16.5" customHeight="1" thickTop="1" thickBot="1">
      <c r="B61" s="513" t="s">
        <v>84</v>
      </c>
      <c r="C61" s="513">
        <f t="shared" si="8"/>
        <v>1</v>
      </c>
      <c r="D61" s="269"/>
      <c r="E61" s="317"/>
      <c r="F61" s="318"/>
      <c r="G61" s="319"/>
      <c r="H61" s="320"/>
      <c r="I61" s="319"/>
      <c r="J61" s="321"/>
      <c r="K61" s="319"/>
      <c r="L61" s="320"/>
      <c r="M61" s="411"/>
      <c r="N61" s="318"/>
      <c r="O61" s="322"/>
      <c r="P61" s="320"/>
      <c r="Q61" s="319"/>
      <c r="R61" s="323"/>
    </row>
    <row r="62" spans="2:18" s="1" customFormat="1" ht="16.5" customHeight="1">
      <c r="B62" s="513" t="s">
        <v>83</v>
      </c>
      <c r="C62" s="515">
        <f t="shared" si="8"/>
        <v>1</v>
      </c>
      <c r="D62" s="269"/>
      <c r="E62" s="269"/>
      <c r="F62" s="325"/>
      <c r="G62" s="269"/>
      <c r="H62" s="326"/>
      <c r="I62" s="269"/>
      <c r="J62" s="327"/>
      <c r="K62" s="269"/>
      <c r="L62" s="326"/>
      <c r="M62" s="412"/>
      <c r="N62" s="325"/>
      <c r="O62" s="269"/>
      <c r="P62" s="326"/>
      <c r="Q62" s="269"/>
      <c r="R62" s="269"/>
    </row>
    <row r="63" spans="2:18" s="1" customFormat="1" ht="16.5" customHeight="1">
      <c r="B63" s="513" t="s">
        <v>82</v>
      </c>
      <c r="C63" s="515">
        <f t="shared" si="8"/>
        <v>1</v>
      </c>
      <c r="D63" s="269"/>
      <c r="E63" s="269" t="s">
        <v>81</v>
      </c>
      <c r="F63" s="325"/>
      <c r="G63" s="269"/>
      <c r="H63" s="326"/>
      <c r="I63" s="269"/>
      <c r="J63" s="327"/>
      <c r="K63" s="269"/>
      <c r="L63" s="326"/>
      <c r="M63" s="412"/>
      <c r="N63" s="325"/>
      <c r="O63" s="269"/>
      <c r="P63" s="326"/>
      <c r="Q63" s="269"/>
      <c r="R63" s="269"/>
    </row>
    <row r="64" spans="2:18" s="1" customFormat="1" ht="16.5" customHeight="1">
      <c r="B64" s="513" t="s">
        <v>80</v>
      </c>
      <c r="C64" s="515">
        <f t="shared" si="8"/>
        <v>1</v>
      </c>
      <c r="D64" s="269"/>
      <c r="E64" s="269"/>
      <c r="F64" s="325"/>
      <c r="G64" s="269"/>
      <c r="H64" s="326"/>
      <c r="I64" s="269"/>
      <c r="J64" s="327"/>
      <c r="K64" s="269"/>
      <c r="L64" s="326"/>
      <c r="M64" s="412"/>
      <c r="N64" s="325"/>
      <c r="O64" s="269"/>
      <c r="P64" s="326"/>
      <c r="Q64" s="269"/>
      <c r="R64" s="269"/>
    </row>
    <row r="65" spans="2:18" s="1" customFormat="1" ht="16.5" customHeight="1">
      <c r="B65" s="513" t="s">
        <v>79</v>
      </c>
      <c r="C65" s="515">
        <f t="shared" si="8"/>
        <v>1</v>
      </c>
      <c r="D65" s="269"/>
      <c r="E65" s="413" t="s">
        <v>291</v>
      </c>
      <c r="F65" s="414"/>
      <c r="G65" s="415"/>
      <c r="H65" s="416"/>
      <c r="I65" s="413"/>
      <c r="J65" s="417"/>
      <c r="K65" s="413"/>
      <c r="L65" s="417"/>
      <c r="M65" s="413"/>
      <c r="N65" s="417"/>
      <c r="O65" s="413"/>
      <c r="P65" s="326"/>
      <c r="Q65" s="269"/>
      <c r="R65" s="269"/>
    </row>
    <row r="66" spans="2:18" s="1" customFormat="1" ht="16.5" customHeight="1">
      <c r="B66" s="513" t="s">
        <v>78</v>
      </c>
      <c r="C66" s="515">
        <f t="shared" si="8"/>
        <v>1</v>
      </c>
      <c r="D66" s="269"/>
      <c r="E66" s="418" t="s">
        <v>292</v>
      </c>
      <c r="F66" s="419"/>
      <c r="G66" s="418"/>
      <c r="H66" s="420"/>
      <c r="I66" s="269"/>
      <c r="J66" s="326"/>
      <c r="K66" s="269"/>
      <c r="L66" s="326"/>
      <c r="M66" s="269"/>
      <c r="N66" s="326"/>
      <c r="O66" s="269"/>
      <c r="P66" s="326"/>
      <c r="Q66" s="269"/>
      <c r="R66" s="269"/>
    </row>
    <row r="67" spans="2:18" s="1" customFormat="1" ht="16.5" customHeight="1">
      <c r="B67" s="513" t="s">
        <v>77</v>
      </c>
      <c r="C67" s="515">
        <f t="shared" si="8"/>
        <v>1</v>
      </c>
      <c r="D67" s="269"/>
      <c r="E67" s="269"/>
      <c r="F67" s="325"/>
      <c r="G67" s="269"/>
      <c r="H67" s="326"/>
      <c r="I67" s="269"/>
      <c r="J67" s="327"/>
      <c r="K67" s="269"/>
      <c r="L67" s="326"/>
      <c r="M67" s="412"/>
      <c r="N67" s="325"/>
      <c r="O67" s="269"/>
      <c r="P67" s="326"/>
      <c r="Q67" s="269"/>
      <c r="R67" s="269"/>
    </row>
    <row r="68" spans="2:18" s="1" customFormat="1" ht="16.5" customHeight="1">
      <c r="B68" s="513" t="s">
        <v>76</v>
      </c>
      <c r="C68" s="515">
        <f t="shared" si="8"/>
        <v>1</v>
      </c>
      <c r="D68" s="269"/>
      <c r="E68" s="269"/>
      <c r="F68" s="325"/>
      <c r="G68" s="269"/>
      <c r="H68" s="326"/>
      <c r="I68" s="269"/>
      <c r="J68" s="327"/>
      <c r="K68" s="269"/>
      <c r="L68" s="326"/>
      <c r="M68" s="412"/>
      <c r="N68" s="325"/>
      <c r="O68" s="269"/>
      <c r="P68" s="326"/>
      <c r="Q68" s="269"/>
      <c r="R68" s="269"/>
    </row>
    <row r="69" spans="2:18" s="1" customFormat="1" ht="16.5" customHeight="1">
      <c r="B69" s="513" t="s">
        <v>75</v>
      </c>
      <c r="C69" s="515">
        <f t="shared" si="8"/>
        <v>1</v>
      </c>
      <c r="D69" s="269"/>
      <c r="E69" s="269"/>
      <c r="F69" s="325"/>
      <c r="G69" s="269"/>
      <c r="H69" s="326"/>
      <c r="I69" s="269"/>
      <c r="J69" s="327"/>
      <c r="K69" s="269"/>
      <c r="L69" s="326"/>
      <c r="M69" s="412"/>
      <c r="N69" s="325"/>
      <c r="O69" s="269"/>
      <c r="P69" s="326"/>
      <c r="Q69" s="269"/>
      <c r="R69" s="269"/>
    </row>
    <row r="70" spans="2:18" s="1" customFormat="1" ht="16.5" customHeight="1">
      <c r="B70" s="513" t="s">
        <v>74</v>
      </c>
      <c r="C70" s="515">
        <f t="shared" si="8"/>
        <v>1</v>
      </c>
      <c r="D70" s="269"/>
      <c r="E70" s="269"/>
      <c r="F70" s="325"/>
      <c r="G70" s="269"/>
      <c r="H70" s="326"/>
      <c r="I70" s="269"/>
      <c r="J70" s="327"/>
      <c r="K70" s="269"/>
      <c r="L70" s="326"/>
      <c r="M70" s="412"/>
      <c r="N70" s="325"/>
      <c r="O70" s="269"/>
      <c r="P70" s="326"/>
      <c r="Q70" s="269"/>
      <c r="R70" s="269"/>
    </row>
    <row r="72" spans="2:18" s="1" customFormat="1" ht="16.5" customHeight="1">
      <c r="B72" s="268"/>
      <c r="C72" s="268"/>
      <c r="D72" s="269"/>
      <c r="E72" s="270" t="s">
        <v>118</v>
      </c>
      <c r="F72" s="270"/>
      <c r="G72" s="270"/>
      <c r="H72" s="270"/>
      <c r="I72" s="270"/>
      <c r="J72" s="270"/>
      <c r="K72" s="270"/>
      <c r="L72" s="270"/>
      <c r="M72" s="270"/>
      <c r="N72" s="270"/>
      <c r="O72" s="270"/>
      <c r="P72" s="270"/>
      <c r="Q72" s="270"/>
      <c r="R72" s="270"/>
    </row>
    <row r="73" spans="2:18" s="1" customFormat="1" ht="16.5" customHeight="1">
      <c r="B73" s="271" t="s">
        <v>1201</v>
      </c>
      <c r="C73" s="272" t="s">
        <v>1202</v>
      </c>
      <c r="D73" s="269"/>
      <c r="E73" s="273" t="s">
        <v>1799</v>
      </c>
      <c r="F73" s="273"/>
      <c r="G73" s="273"/>
      <c r="H73" s="273"/>
      <c r="I73" s="273"/>
      <c r="J73" s="273"/>
      <c r="K73" s="273"/>
      <c r="L73" s="273"/>
      <c r="M73" s="273"/>
      <c r="N73" s="273"/>
      <c r="O73" s="273"/>
      <c r="P73" s="273"/>
      <c r="Q73" s="273"/>
      <c r="R73" s="273"/>
    </row>
    <row r="74" spans="2:18" s="1" customFormat="1" ht="16.5" customHeight="1">
      <c r="B74" s="274" t="s">
        <v>115</v>
      </c>
      <c r="C74" s="275" t="s">
        <v>289</v>
      </c>
      <c r="D74" s="269"/>
      <c r="E74" s="270" t="s">
        <v>119</v>
      </c>
      <c r="F74" s="270"/>
      <c r="G74" s="270"/>
      <c r="H74" s="270"/>
      <c r="I74" s="270"/>
      <c r="J74" s="270"/>
      <c r="K74" s="270"/>
      <c r="L74" s="270"/>
      <c r="M74" s="270"/>
      <c r="N74" s="270"/>
      <c r="O74" s="270"/>
      <c r="P74" s="270"/>
      <c r="Q74" s="270"/>
      <c r="R74" s="270"/>
    </row>
    <row r="75" spans="2:18" s="1" customFormat="1" ht="16.5" customHeight="1" thickBot="1">
      <c r="B75" s="274" t="s">
        <v>112</v>
      </c>
      <c r="C75" s="276">
        <v>93175</v>
      </c>
      <c r="D75" s="268"/>
      <c r="E75" s="330" t="s">
        <v>1204</v>
      </c>
      <c r="F75" s="330"/>
      <c r="G75" s="330"/>
      <c r="H75" s="330"/>
      <c r="I75" s="330"/>
      <c r="J75" s="330"/>
      <c r="K75" s="330"/>
      <c r="L75" s="330"/>
      <c r="M75" s="330"/>
      <c r="N75" s="330"/>
      <c r="O75" s="330"/>
      <c r="P75" s="330"/>
      <c r="Q75" s="330"/>
      <c r="R75" s="330"/>
    </row>
    <row r="76" spans="2:18" s="1" customFormat="1" ht="16.5" customHeight="1">
      <c r="B76" s="274" t="s">
        <v>110</v>
      </c>
      <c r="C76" s="277"/>
      <c r="D76" s="260"/>
      <c r="E76" s="278" t="s">
        <v>109</v>
      </c>
      <c r="F76" s="279" t="s">
        <v>108</v>
      </c>
      <c r="G76" s="280"/>
      <c r="H76" s="279" t="s">
        <v>107</v>
      </c>
      <c r="I76" s="280"/>
      <c r="J76" s="279" t="s">
        <v>106</v>
      </c>
      <c r="K76" s="280"/>
      <c r="L76" s="279" t="s">
        <v>105</v>
      </c>
      <c r="M76" s="280"/>
      <c r="N76" s="279" t="s">
        <v>96</v>
      </c>
      <c r="O76" s="280"/>
      <c r="P76" s="279" t="s">
        <v>104</v>
      </c>
      <c r="Q76" s="280"/>
      <c r="R76" s="281" t="s">
        <v>103</v>
      </c>
    </row>
    <row r="77" spans="2:18" s="1" customFormat="1" ht="16.5" customHeight="1">
      <c r="B77" s="274" t="s">
        <v>102</v>
      </c>
      <c r="C77" s="283">
        <v>125</v>
      </c>
      <c r="D77" s="260"/>
      <c r="E77" s="289"/>
      <c r="F77" s="285" t="s">
        <v>101</v>
      </c>
      <c r="G77" s="331" t="s">
        <v>100</v>
      </c>
      <c r="H77" s="285" t="s">
        <v>101</v>
      </c>
      <c r="I77" s="331" t="s">
        <v>100</v>
      </c>
      <c r="J77" s="285" t="s">
        <v>101</v>
      </c>
      <c r="K77" s="331" t="s">
        <v>100</v>
      </c>
      <c r="L77" s="285" t="s">
        <v>101</v>
      </c>
      <c r="M77" s="331" t="s">
        <v>100</v>
      </c>
      <c r="N77" s="285" t="s">
        <v>101</v>
      </c>
      <c r="O77" s="331" t="s">
        <v>100</v>
      </c>
      <c r="P77" s="287" t="s">
        <v>101</v>
      </c>
      <c r="Q77" s="331" t="s">
        <v>100</v>
      </c>
      <c r="R77" s="289"/>
    </row>
    <row r="78" spans="2:18" s="1" customFormat="1" ht="16.5" customHeight="1">
      <c r="B78" s="274" t="s">
        <v>107</v>
      </c>
      <c r="C78" s="288">
        <v>6867</v>
      </c>
      <c r="D78" s="260"/>
      <c r="E78" s="289" t="s">
        <v>87</v>
      </c>
      <c r="F78" s="290">
        <v>7</v>
      </c>
      <c r="G78" s="291">
        <f t="shared" ref="G78:G89" si="9">SUM($B$6*F78)*C90</f>
        <v>0</v>
      </c>
      <c r="H78" s="292"/>
      <c r="I78" s="291">
        <f t="shared" ref="I78:I89" si="10">IF(H78&gt;0,($B$7*C90),0)</f>
        <v>0</v>
      </c>
      <c r="J78" s="293"/>
      <c r="K78" s="291">
        <f t="shared" ref="K78:K89" si="11">IF(J78&gt;0,($B$8*C90),0)</f>
        <v>0</v>
      </c>
      <c r="L78" s="179">
        <v>2.5</v>
      </c>
      <c r="M78" s="406">
        <f t="shared" ref="M78:M89" si="12">IF(L78&gt;0,($B$9*L78),0)</f>
        <v>0</v>
      </c>
      <c r="N78" s="290">
        <v>1</v>
      </c>
      <c r="O78" s="291">
        <f t="shared" ref="O78:O89" si="13">IF(N78&gt;0,($B$10*N78),0)</f>
        <v>0</v>
      </c>
      <c r="P78" s="295">
        <v>1</v>
      </c>
      <c r="Q78" s="291">
        <f t="shared" ref="Q78:Q89" si="14">SUM(P78*$B$17)*C90</f>
        <v>0</v>
      </c>
      <c r="R78" s="296">
        <f t="shared" ref="R78:R89" si="15">SUM(Q78+O78+M78+K78+I78+G78)</f>
        <v>0</v>
      </c>
    </row>
    <row r="79" spans="2:18" s="1" customFormat="1" ht="16.5" customHeight="1">
      <c r="B79" s="274" t="s">
        <v>121</v>
      </c>
      <c r="C79" s="288">
        <v>5460</v>
      </c>
      <c r="D79" s="260"/>
      <c r="E79" s="289" t="s">
        <v>86</v>
      </c>
      <c r="F79" s="290">
        <v>9</v>
      </c>
      <c r="G79" s="291">
        <f t="shared" si="9"/>
        <v>0</v>
      </c>
      <c r="H79" s="292"/>
      <c r="I79" s="291">
        <f t="shared" si="10"/>
        <v>0</v>
      </c>
      <c r="J79" s="293"/>
      <c r="K79" s="291">
        <f t="shared" si="11"/>
        <v>0</v>
      </c>
      <c r="L79" s="179">
        <v>1</v>
      </c>
      <c r="M79" s="406">
        <f t="shared" si="12"/>
        <v>0</v>
      </c>
      <c r="N79" s="294">
        <v>1</v>
      </c>
      <c r="O79" s="291">
        <f t="shared" si="13"/>
        <v>0</v>
      </c>
      <c r="P79" s="295"/>
      <c r="Q79" s="291">
        <f t="shared" si="14"/>
        <v>0</v>
      </c>
      <c r="R79" s="296">
        <f t="shared" si="15"/>
        <v>0</v>
      </c>
    </row>
    <row r="80" spans="2:18" s="1" customFormat="1" ht="16.5" customHeight="1">
      <c r="B80" s="407" t="s">
        <v>122</v>
      </c>
      <c r="C80" s="288">
        <v>324</v>
      </c>
      <c r="D80" s="260"/>
      <c r="E80" s="289" t="s">
        <v>84</v>
      </c>
      <c r="F80" s="290">
        <v>8</v>
      </c>
      <c r="G80" s="291">
        <f t="shared" si="9"/>
        <v>0</v>
      </c>
      <c r="H80" s="292"/>
      <c r="I80" s="291">
        <f t="shared" si="10"/>
        <v>0</v>
      </c>
      <c r="J80" s="293"/>
      <c r="K80" s="291">
        <f t="shared" si="11"/>
        <v>0</v>
      </c>
      <c r="L80" s="179">
        <v>3.5</v>
      </c>
      <c r="M80" s="406">
        <f t="shared" si="12"/>
        <v>0</v>
      </c>
      <c r="N80" s="294">
        <v>1.33</v>
      </c>
      <c r="O80" s="291">
        <f t="shared" si="13"/>
        <v>0</v>
      </c>
      <c r="P80" s="295"/>
      <c r="Q80" s="291">
        <f t="shared" si="14"/>
        <v>0</v>
      </c>
      <c r="R80" s="296">
        <f t="shared" si="15"/>
        <v>0</v>
      </c>
    </row>
    <row r="81" spans="2:18" s="1" customFormat="1" ht="16.5" customHeight="1">
      <c r="B81" s="408" t="s">
        <v>123</v>
      </c>
      <c r="C81" s="288">
        <v>1050</v>
      </c>
      <c r="D81" s="260"/>
      <c r="E81" s="289" t="s">
        <v>83</v>
      </c>
      <c r="F81" s="290">
        <v>7</v>
      </c>
      <c r="G81" s="291">
        <f t="shared" si="9"/>
        <v>0</v>
      </c>
      <c r="H81" s="292">
        <v>1</v>
      </c>
      <c r="I81" s="291">
        <f t="shared" si="10"/>
        <v>0</v>
      </c>
      <c r="J81" s="293"/>
      <c r="K81" s="291">
        <f t="shared" si="11"/>
        <v>0</v>
      </c>
      <c r="L81" s="179">
        <v>2.5</v>
      </c>
      <c r="M81" s="406">
        <f t="shared" si="12"/>
        <v>0</v>
      </c>
      <c r="N81" s="294">
        <v>1</v>
      </c>
      <c r="O81" s="291">
        <f t="shared" si="13"/>
        <v>0</v>
      </c>
      <c r="P81" s="295"/>
      <c r="Q81" s="291">
        <f t="shared" si="14"/>
        <v>0</v>
      </c>
      <c r="R81" s="296">
        <f t="shared" si="15"/>
        <v>0</v>
      </c>
    </row>
    <row r="82" spans="2:18" s="1" customFormat="1" ht="16.5" customHeight="1">
      <c r="B82" s="274" t="s">
        <v>95</v>
      </c>
      <c r="C82" s="141">
        <v>35000</v>
      </c>
      <c r="D82" s="260"/>
      <c r="E82" s="289" t="s">
        <v>82</v>
      </c>
      <c r="F82" s="290">
        <v>6</v>
      </c>
      <c r="G82" s="291">
        <v>750</v>
      </c>
      <c r="H82" s="292"/>
      <c r="I82" s="291">
        <f t="shared" si="10"/>
        <v>0</v>
      </c>
      <c r="J82" s="293"/>
      <c r="K82" s="291">
        <f t="shared" si="11"/>
        <v>0</v>
      </c>
      <c r="L82" s="179">
        <v>1.5</v>
      </c>
      <c r="M82" s="406">
        <f t="shared" si="12"/>
        <v>0</v>
      </c>
      <c r="N82" s="294">
        <v>0.33</v>
      </c>
      <c r="O82" s="291">
        <f t="shared" si="13"/>
        <v>0</v>
      </c>
      <c r="P82" s="295"/>
      <c r="Q82" s="291">
        <f t="shared" si="14"/>
        <v>0</v>
      </c>
      <c r="R82" s="296">
        <f t="shared" si="15"/>
        <v>750</v>
      </c>
    </row>
    <row r="83" spans="2:18" s="1" customFormat="1" ht="16.5" customHeight="1">
      <c r="B83" s="274" t="s">
        <v>94</v>
      </c>
      <c r="C83" s="141">
        <v>5000</v>
      </c>
      <c r="D83" s="260"/>
      <c r="E83" s="289" t="s">
        <v>80</v>
      </c>
      <c r="F83" s="290"/>
      <c r="G83" s="291">
        <f t="shared" si="9"/>
        <v>0</v>
      </c>
      <c r="H83" s="292"/>
      <c r="I83" s="291">
        <f t="shared" si="10"/>
        <v>0</v>
      </c>
      <c r="J83" s="293"/>
      <c r="K83" s="291">
        <f t="shared" si="11"/>
        <v>0</v>
      </c>
      <c r="L83" s="179"/>
      <c r="M83" s="406">
        <f t="shared" si="12"/>
        <v>0</v>
      </c>
      <c r="N83" s="294"/>
      <c r="O83" s="291">
        <f t="shared" si="13"/>
        <v>0</v>
      </c>
      <c r="P83" s="295"/>
      <c r="Q83" s="291">
        <f t="shared" si="14"/>
        <v>0</v>
      </c>
      <c r="R83" s="296">
        <f t="shared" si="15"/>
        <v>0</v>
      </c>
    </row>
    <row r="84" spans="2:18" s="1" customFormat="1" ht="16.5" customHeight="1">
      <c r="B84" s="274" t="s">
        <v>93</v>
      </c>
      <c r="C84" s="141">
        <v>175000</v>
      </c>
      <c r="D84" s="260"/>
      <c r="E84" s="289" t="s">
        <v>79</v>
      </c>
      <c r="F84" s="290"/>
      <c r="G84" s="291">
        <f t="shared" si="9"/>
        <v>0</v>
      </c>
      <c r="H84" s="292"/>
      <c r="I84" s="291">
        <f t="shared" si="10"/>
        <v>0</v>
      </c>
      <c r="J84" s="293"/>
      <c r="K84" s="291">
        <f t="shared" si="11"/>
        <v>0</v>
      </c>
      <c r="L84" s="179"/>
      <c r="M84" s="406">
        <f t="shared" si="12"/>
        <v>0</v>
      </c>
      <c r="N84" s="294"/>
      <c r="O84" s="291">
        <f t="shared" si="13"/>
        <v>0</v>
      </c>
      <c r="P84" s="295"/>
      <c r="Q84" s="291">
        <f t="shared" si="14"/>
        <v>0</v>
      </c>
      <c r="R84" s="296">
        <f t="shared" si="15"/>
        <v>0</v>
      </c>
    </row>
    <row r="85" spans="2:18" s="1" customFormat="1" ht="16.5" customHeight="1">
      <c r="B85" s="274" t="s">
        <v>92</v>
      </c>
      <c r="C85" s="141">
        <v>175000</v>
      </c>
      <c r="D85" s="260"/>
      <c r="E85" s="289" t="s">
        <v>78</v>
      </c>
      <c r="F85" s="290"/>
      <c r="G85" s="291">
        <f t="shared" si="9"/>
        <v>0</v>
      </c>
      <c r="H85" s="292"/>
      <c r="I85" s="291">
        <f t="shared" si="10"/>
        <v>0</v>
      </c>
      <c r="J85" s="293"/>
      <c r="K85" s="291">
        <f t="shared" si="11"/>
        <v>0</v>
      </c>
      <c r="L85" s="179"/>
      <c r="M85" s="406">
        <f t="shared" si="12"/>
        <v>0</v>
      </c>
      <c r="N85" s="294"/>
      <c r="O85" s="291">
        <f t="shared" si="13"/>
        <v>0</v>
      </c>
      <c r="P85" s="295"/>
      <c r="Q85" s="291">
        <f t="shared" si="14"/>
        <v>0</v>
      </c>
      <c r="R85" s="296">
        <f t="shared" si="15"/>
        <v>0</v>
      </c>
    </row>
    <row r="86" spans="2:18" s="1" customFormat="1" ht="16.5" customHeight="1">
      <c r="B86" s="274" t="s">
        <v>91</v>
      </c>
      <c r="C86" s="141">
        <v>12000</v>
      </c>
      <c r="D86" s="260"/>
      <c r="E86" s="289" t="s">
        <v>77</v>
      </c>
      <c r="F86" s="290"/>
      <c r="G86" s="291">
        <f t="shared" si="9"/>
        <v>0</v>
      </c>
      <c r="H86" s="292"/>
      <c r="I86" s="291">
        <f t="shared" si="10"/>
        <v>0</v>
      </c>
      <c r="J86" s="293"/>
      <c r="K86" s="291">
        <f t="shared" si="11"/>
        <v>0</v>
      </c>
      <c r="L86" s="179"/>
      <c r="M86" s="406">
        <f t="shared" si="12"/>
        <v>0</v>
      </c>
      <c r="N86" s="294"/>
      <c r="O86" s="291">
        <f t="shared" si="13"/>
        <v>0</v>
      </c>
      <c r="P86" s="295"/>
      <c r="Q86" s="291">
        <f t="shared" si="14"/>
        <v>0</v>
      </c>
      <c r="R86" s="296">
        <f t="shared" si="15"/>
        <v>0</v>
      </c>
    </row>
    <row r="87" spans="2:18" s="1" customFormat="1" ht="16.5" customHeight="1">
      <c r="B87" s="274" t="s">
        <v>90</v>
      </c>
      <c r="C87" s="141">
        <v>25000</v>
      </c>
      <c r="D87" s="260"/>
      <c r="E87" s="289" t="s">
        <v>76</v>
      </c>
      <c r="F87" s="290"/>
      <c r="G87" s="291">
        <f t="shared" si="9"/>
        <v>0</v>
      </c>
      <c r="H87" s="292"/>
      <c r="I87" s="291">
        <f t="shared" si="10"/>
        <v>0</v>
      </c>
      <c r="J87" s="293"/>
      <c r="K87" s="291">
        <f t="shared" si="11"/>
        <v>0</v>
      </c>
      <c r="L87" s="179"/>
      <c r="M87" s="406">
        <f t="shared" si="12"/>
        <v>0</v>
      </c>
      <c r="N87" s="294"/>
      <c r="O87" s="291">
        <f t="shared" si="13"/>
        <v>0</v>
      </c>
      <c r="P87" s="295"/>
      <c r="Q87" s="291">
        <f t="shared" si="14"/>
        <v>0</v>
      </c>
      <c r="R87" s="296">
        <f t="shared" si="15"/>
        <v>0</v>
      </c>
    </row>
    <row r="88" spans="2:18" s="1" customFormat="1" ht="16.5" customHeight="1">
      <c r="B88" s="297" t="s">
        <v>89</v>
      </c>
      <c r="C88" s="298">
        <v>92</v>
      </c>
      <c r="D88" s="260"/>
      <c r="E88" s="289" t="s">
        <v>75</v>
      </c>
      <c r="F88" s="290"/>
      <c r="G88" s="291">
        <f t="shared" si="9"/>
        <v>0</v>
      </c>
      <c r="H88" s="292"/>
      <c r="I88" s="291">
        <f t="shared" si="10"/>
        <v>0</v>
      </c>
      <c r="J88" s="293"/>
      <c r="K88" s="291">
        <f t="shared" si="11"/>
        <v>0</v>
      </c>
      <c r="L88" s="179"/>
      <c r="M88" s="406">
        <f t="shared" si="12"/>
        <v>0</v>
      </c>
      <c r="N88" s="294"/>
      <c r="O88" s="291">
        <f t="shared" si="13"/>
        <v>0</v>
      </c>
      <c r="P88" s="295"/>
      <c r="Q88" s="291">
        <f t="shared" si="14"/>
        <v>0</v>
      </c>
      <c r="R88" s="296">
        <f t="shared" si="15"/>
        <v>0</v>
      </c>
    </row>
    <row r="89" spans="2:18" s="1" customFormat="1" ht="16.5" customHeight="1">
      <c r="B89" s="299" t="s">
        <v>88</v>
      </c>
      <c r="C89" s="300"/>
      <c r="D89" s="260"/>
      <c r="E89" s="289" t="s">
        <v>74</v>
      </c>
      <c r="F89" s="290"/>
      <c r="G89" s="291">
        <f t="shared" si="9"/>
        <v>0</v>
      </c>
      <c r="H89" s="292"/>
      <c r="I89" s="291">
        <f t="shared" si="10"/>
        <v>0</v>
      </c>
      <c r="J89" s="293"/>
      <c r="K89" s="291">
        <f t="shared" si="11"/>
        <v>0</v>
      </c>
      <c r="L89" s="179"/>
      <c r="M89" s="406">
        <f t="shared" si="12"/>
        <v>0</v>
      </c>
      <c r="N89" s="294"/>
      <c r="O89" s="291">
        <f t="shared" si="13"/>
        <v>0</v>
      </c>
      <c r="P89" s="295"/>
      <c r="Q89" s="291">
        <f t="shared" si="14"/>
        <v>0</v>
      </c>
      <c r="R89" s="296">
        <f t="shared" si="15"/>
        <v>0</v>
      </c>
    </row>
    <row r="90" spans="2:18" s="1" customFormat="1" ht="16.5" customHeight="1">
      <c r="B90" s="421" t="s">
        <v>87</v>
      </c>
      <c r="C90" s="422">
        <v>1</v>
      </c>
      <c r="D90" s="260"/>
      <c r="E90" s="303"/>
      <c r="F90" s="304"/>
      <c r="G90" s="305"/>
      <c r="H90" s="306"/>
      <c r="I90" s="307"/>
      <c r="J90" s="308"/>
      <c r="K90" s="307"/>
      <c r="L90" s="306"/>
      <c r="M90" s="307"/>
      <c r="N90" s="304"/>
      <c r="O90" s="307"/>
      <c r="P90" s="306"/>
      <c r="Q90" s="307"/>
      <c r="R90" s="309"/>
    </row>
    <row r="91" spans="2:18" s="1" customFormat="1" ht="16.5" customHeight="1" thickBot="1">
      <c r="B91" s="421" t="s">
        <v>86</v>
      </c>
      <c r="C91" s="421">
        <f t="shared" ref="C91:C101" si="16">SUM(C90+(C90*$B$5))</f>
        <v>1</v>
      </c>
      <c r="D91" s="260"/>
      <c r="E91" s="310" t="s">
        <v>85</v>
      </c>
      <c r="F91" s="311"/>
      <c r="G91" s="312">
        <f>SUM(G78:G89)</f>
        <v>750</v>
      </c>
      <c r="H91" s="313"/>
      <c r="I91" s="312">
        <f>SUM(I78:I89)</f>
        <v>0</v>
      </c>
      <c r="J91" s="314"/>
      <c r="K91" s="312">
        <f>SUM(K78:K89)</f>
        <v>0</v>
      </c>
      <c r="L91" s="313"/>
      <c r="M91" s="312">
        <f>SUM(M78:M89)</f>
        <v>0</v>
      </c>
      <c r="N91" s="315"/>
      <c r="O91" s="312">
        <f>SUM(O78:O89)</f>
        <v>0</v>
      </c>
      <c r="P91" s="313"/>
      <c r="Q91" s="312">
        <f>SUM(Q78:Q89)</f>
        <v>0</v>
      </c>
      <c r="R91" s="316">
        <f>SUM(R78:R89)</f>
        <v>750</v>
      </c>
    </row>
    <row r="92" spans="2:18" s="1" customFormat="1" ht="16.5" customHeight="1" thickTop="1" thickBot="1">
      <c r="B92" s="421" t="s">
        <v>84</v>
      </c>
      <c r="C92" s="421">
        <f t="shared" si="16"/>
        <v>1</v>
      </c>
      <c r="D92" s="269"/>
      <c r="E92" s="317"/>
      <c r="F92" s="318"/>
      <c r="G92" s="319"/>
      <c r="H92" s="320"/>
      <c r="I92" s="319"/>
      <c r="J92" s="321"/>
      <c r="K92" s="319"/>
      <c r="L92" s="320"/>
      <c r="M92" s="319"/>
      <c r="N92" s="318"/>
      <c r="O92" s="319"/>
      <c r="P92" s="320"/>
      <c r="Q92" s="319"/>
      <c r="R92" s="323"/>
    </row>
    <row r="93" spans="2:18" s="1" customFormat="1" ht="16.5" customHeight="1">
      <c r="B93" s="421" t="s">
        <v>83</v>
      </c>
      <c r="C93" s="423">
        <f t="shared" si="16"/>
        <v>1</v>
      </c>
      <c r="D93" s="269"/>
      <c r="E93" s="269"/>
      <c r="F93" s="335"/>
      <c r="G93" s="269"/>
      <c r="H93" s="326"/>
      <c r="I93" s="269"/>
      <c r="J93" s="326"/>
      <c r="K93" s="269"/>
      <c r="L93" s="326"/>
      <c r="M93" s="269"/>
      <c r="N93" s="326"/>
      <c r="O93" s="269"/>
      <c r="P93" s="326"/>
      <c r="Q93" s="269"/>
      <c r="R93" s="269"/>
    </row>
    <row r="94" spans="2:18" s="1" customFormat="1" ht="16.5" customHeight="1">
      <c r="B94" s="421" t="s">
        <v>82</v>
      </c>
      <c r="C94" s="423">
        <f t="shared" si="16"/>
        <v>1</v>
      </c>
      <c r="D94" s="269"/>
      <c r="E94" s="269" t="s">
        <v>124</v>
      </c>
      <c r="F94" s="335"/>
      <c r="G94" s="269"/>
      <c r="H94" s="326"/>
      <c r="I94" s="269"/>
      <c r="J94" s="326"/>
      <c r="K94" s="269"/>
      <c r="L94" s="326"/>
      <c r="M94" s="269"/>
      <c r="N94" s="326"/>
      <c r="O94" s="269"/>
      <c r="P94" s="326"/>
      <c r="Q94" s="269"/>
      <c r="R94" s="269"/>
    </row>
    <row r="95" spans="2:18" s="1" customFormat="1" ht="16.5" customHeight="1">
      <c r="B95" s="421" t="s">
        <v>80</v>
      </c>
      <c r="C95" s="423">
        <f t="shared" si="16"/>
        <v>1</v>
      </c>
      <c r="D95" s="269"/>
      <c r="E95" s="269"/>
      <c r="F95" s="335"/>
      <c r="G95" s="269"/>
      <c r="H95" s="326"/>
      <c r="I95" s="269"/>
      <c r="J95" s="326"/>
      <c r="K95" s="269"/>
      <c r="L95" s="326"/>
      <c r="M95" s="269"/>
      <c r="N95" s="326"/>
      <c r="O95" s="269"/>
      <c r="P95" s="326"/>
      <c r="Q95" s="269"/>
      <c r="R95" s="269"/>
    </row>
    <row r="96" spans="2:18" s="1" customFormat="1" ht="16.5" customHeight="1">
      <c r="B96" s="421" t="s">
        <v>79</v>
      </c>
      <c r="C96" s="423">
        <f t="shared" si="16"/>
        <v>1</v>
      </c>
      <c r="D96" s="269"/>
      <c r="E96" s="413" t="s">
        <v>291</v>
      </c>
      <c r="F96" s="414"/>
      <c r="G96" s="415"/>
      <c r="H96" s="416"/>
      <c r="I96" s="413"/>
      <c r="J96" s="417"/>
      <c r="K96" s="413"/>
      <c r="L96" s="417"/>
      <c r="M96" s="413"/>
      <c r="N96" s="417"/>
      <c r="O96" s="413"/>
      <c r="P96" s="326"/>
      <c r="Q96" s="269"/>
      <c r="R96" s="269"/>
    </row>
    <row r="97" spans="2:18" s="1" customFormat="1" ht="16.5" customHeight="1">
      <c r="B97" s="421" t="s">
        <v>78</v>
      </c>
      <c r="C97" s="423">
        <f t="shared" si="16"/>
        <v>1</v>
      </c>
      <c r="D97" s="269"/>
      <c r="E97" s="418" t="s">
        <v>292</v>
      </c>
      <c r="F97" s="419"/>
      <c r="G97" s="418"/>
      <c r="H97" s="420"/>
      <c r="I97" s="269"/>
      <c r="J97" s="326"/>
      <c r="K97" s="269"/>
      <c r="L97" s="326"/>
      <c r="M97" s="269"/>
      <c r="N97" s="326"/>
      <c r="O97" s="269"/>
      <c r="P97" s="326"/>
      <c r="Q97" s="269"/>
      <c r="R97" s="269"/>
    </row>
    <row r="98" spans="2:18" s="1" customFormat="1" ht="16.5" customHeight="1">
      <c r="B98" s="421" t="s">
        <v>77</v>
      </c>
      <c r="C98" s="423">
        <f t="shared" si="16"/>
        <v>1</v>
      </c>
      <c r="D98" s="269"/>
      <c r="E98" s="269"/>
      <c r="F98" s="335"/>
      <c r="G98" s="269"/>
      <c r="H98" s="326"/>
      <c r="I98" s="269"/>
      <c r="J98" s="326"/>
      <c r="K98" s="269"/>
      <c r="L98" s="326"/>
      <c r="M98" s="269"/>
      <c r="N98" s="326"/>
      <c r="O98" s="269"/>
      <c r="P98" s="326"/>
      <c r="Q98" s="269"/>
      <c r="R98" s="269"/>
    </row>
    <row r="99" spans="2:18" s="1" customFormat="1" ht="16.5" customHeight="1">
      <c r="B99" s="421" t="s">
        <v>76</v>
      </c>
      <c r="C99" s="423">
        <f t="shared" si="16"/>
        <v>1</v>
      </c>
      <c r="D99" s="269"/>
      <c r="E99" s="477"/>
      <c r="F99" s="335"/>
      <c r="G99" s="269"/>
      <c r="H99" s="326"/>
      <c r="I99" s="269"/>
      <c r="J99" s="326"/>
      <c r="K99" s="269"/>
      <c r="L99" s="326"/>
      <c r="M99" s="269"/>
      <c r="N99" s="326"/>
      <c r="O99" s="269"/>
      <c r="P99" s="326"/>
      <c r="Q99" s="269"/>
      <c r="R99" s="269"/>
    </row>
    <row r="100" spans="2:18" s="1" customFormat="1" ht="16.5" customHeight="1">
      <c r="B100" s="421" t="s">
        <v>75</v>
      </c>
      <c r="C100" s="423">
        <f t="shared" si="16"/>
        <v>1</v>
      </c>
      <c r="D100" s="269"/>
      <c r="E100" s="269"/>
      <c r="F100" s="335"/>
      <c r="G100" s="269"/>
      <c r="H100" s="326"/>
      <c r="I100" s="269"/>
      <c r="J100" s="326"/>
      <c r="K100" s="269"/>
      <c r="L100" s="326"/>
      <c r="M100" s="269"/>
      <c r="N100" s="326"/>
      <c r="O100" s="269"/>
      <c r="P100" s="326"/>
      <c r="Q100" s="269"/>
      <c r="R100" s="269"/>
    </row>
    <row r="101" spans="2:18" s="1" customFormat="1" ht="16.5" customHeight="1">
      <c r="B101" s="421" t="s">
        <v>74</v>
      </c>
      <c r="C101" s="423">
        <f t="shared" si="16"/>
        <v>1</v>
      </c>
      <c r="D101" s="269"/>
      <c r="E101" s="269"/>
      <c r="F101" s="335"/>
      <c r="G101" s="269"/>
      <c r="H101" s="326"/>
      <c r="I101" s="269"/>
      <c r="J101" s="326"/>
      <c r="K101" s="269"/>
      <c r="L101" s="326"/>
      <c r="M101" s="269"/>
      <c r="N101" s="326"/>
      <c r="O101" s="269"/>
      <c r="P101" s="326"/>
      <c r="Q101" s="269"/>
      <c r="R101" s="269"/>
    </row>
  </sheetData>
  <mergeCells count="20">
    <mergeCell ref="E72:R72"/>
    <mergeCell ref="E73:R73"/>
    <mergeCell ref="E74:R74"/>
    <mergeCell ref="E75:R75"/>
    <mergeCell ref="F76:G76"/>
    <mergeCell ref="H76:I76"/>
    <mergeCell ref="J76:K76"/>
    <mergeCell ref="L76:M76"/>
    <mergeCell ref="N76:O76"/>
    <mergeCell ref="P76:Q76"/>
    <mergeCell ref="E41:R41"/>
    <mergeCell ref="E42:R42"/>
    <mergeCell ref="E43:R43"/>
    <mergeCell ref="E44:R44"/>
    <mergeCell ref="F45:G45"/>
    <mergeCell ref="H45:I45"/>
    <mergeCell ref="J45:K45"/>
    <mergeCell ref="L45:M45"/>
    <mergeCell ref="N45:O45"/>
    <mergeCell ref="P45:Q45"/>
  </mergeCells>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markers="1" last="1">
          <x14:colorSeries rgb="FF323232"/>
          <x14:colorNegative rgb="FFD00000"/>
          <x14:colorAxis rgb="FF000000"/>
          <x14:colorMarkers rgb="FFD00000"/>
          <x14:colorFirst rgb="FFD00000"/>
          <x14:colorLast rgb="FFD00000"/>
          <x14:colorHigh rgb="FFD00000"/>
          <x14:colorLow rgb="FFD00000"/>
          <x14:sparklines>
            <x14:sparkline>
              <xm:f>'Bus 310 summary'!C19:N19</xm:f>
              <xm:sqref>P19</xm:sqref>
            </x14:sparkline>
            <x14:sparkline>
              <xm:f>'Bus 310 summary'!C20:N20</xm:f>
              <xm:sqref>P20</xm:sqref>
            </x14:sparkline>
            <x14:sparkline>
              <xm:f>'Bus 310 summary'!C21:N21</xm:f>
              <xm:sqref>P21</xm:sqref>
            </x14:sparkline>
            <x14:sparkline>
              <xm:f>'Bus 310 summary'!C22:N22</xm:f>
              <xm:sqref>P22</xm:sqref>
            </x14:sparkline>
            <x14:sparkline>
              <xm:f>'Bus 310 summary'!C23:N23</xm:f>
              <xm:sqref>P23</xm:sqref>
            </x14:sparkline>
            <x14:sparkline>
              <xm:f>'Bus 310 summary'!C24:N24</xm:f>
              <xm:sqref>P24</xm:sqref>
            </x14:sparkline>
            <x14:sparkline>
              <xm:f>'Bus 310 summary'!C25:N25</xm:f>
              <xm:sqref>P25</xm:sqref>
            </x14:sparkline>
            <x14:sparkline>
              <xm:f>'Bus 310 summary'!C26:N26</xm:f>
              <xm:sqref>P26</xm:sqref>
            </x14:sparkline>
            <x14:sparkline>
              <xm:f>'Bus 310 summary'!C27:N27</xm:f>
              <xm:sqref>P27</xm:sqref>
            </x14:sparkline>
            <x14:sparkline>
              <xm:f>'Bus 310 summary'!C28:N28</xm:f>
              <xm:sqref>P28</xm:sqref>
            </x14:sparkline>
            <x14:sparkline>
              <xm:f>'Bus 310 summary'!C29:N29</xm:f>
              <xm:sqref>P29</xm:sqref>
            </x14:sparkline>
            <x14:sparkline>
              <xm:f>'Bus 310 summary'!C30:N30</xm:f>
              <xm:sqref>P30</xm:sqref>
            </x14:sparkline>
            <x14:sparkline>
              <xm:f>'Bus 310 summary'!C31:N31</xm:f>
              <xm:sqref>P31</xm:sqref>
            </x14:sparkline>
            <x14:sparkline>
              <xm:f>'Bus 310 summary'!C32:N32</xm:f>
              <xm:sqref>P32</xm:sqref>
            </x14:sparkline>
            <x14:sparkline>
              <xm:f>'Bus 310 summary'!C33:N33</xm:f>
              <xm:sqref>P33</xm:sqref>
            </x14:sparkline>
            <x14:sparkline>
              <xm:f>'Bus 310 summary'!C34:N34</xm:f>
              <xm:sqref>P34</xm:sqref>
            </x14:sparkline>
            <x14:sparkline>
              <xm:f>'Bus 310 summary'!C35:N35</xm:f>
              <xm:sqref>P35</xm:sqref>
            </x14:sparkline>
            <x14:sparkline>
              <xm:f>'Bus 310 summary'!C36:N36</xm:f>
              <xm:sqref>P36</xm:sqref>
            </x14:sparkline>
            <x14:sparkline>
              <xm:f>'Bus 310 summary'!C37:N37</xm:f>
              <xm:sqref>P37</xm:sqref>
            </x14:sparkline>
            <x14:sparkline>
              <xm:f>'Bus 310 summary'!C38:N38</xm:f>
              <xm:sqref>P38</xm:sqref>
            </x14:sparkline>
          </x14:sparklines>
        </x14:sparklineGroup>
        <x14:sparklineGroup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310 summary'!C39:N39</xm:f>
              <xm:sqref>P39</xm:sqref>
            </x14:sparkline>
          </x14:sparklines>
        </x14:sparklineGroup>
      </x14:sparklineGroup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193"/>
  <sheetViews>
    <sheetView showGridLines="0" topLeftCell="A49" zoomScale="115" zoomScaleNormal="115" workbookViewId="0">
      <selection activeCell="F57" sqref="A1:XFD1048576"/>
    </sheetView>
  </sheetViews>
  <sheetFormatPr defaultColWidth="9.140625" defaultRowHeight="16.5" customHeight="1"/>
  <cols>
    <col min="1" max="1" width="3.140625" style="1" customWidth="1"/>
    <col min="2" max="4" width="12.28515625" style="1" customWidth="1"/>
    <col min="5" max="5" width="15.7109375" style="1" customWidth="1"/>
    <col min="6" max="6" width="40"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660</v>
      </c>
      <c r="G4" s="185" t="s">
        <v>45</v>
      </c>
    </row>
    <row r="5" spans="2:8" s="1" customFormat="1" ht="16.5" customHeight="1">
      <c r="B5" s="189">
        <v>42928</v>
      </c>
      <c r="C5" s="190">
        <v>10631</v>
      </c>
      <c r="D5" s="52">
        <v>6.08</v>
      </c>
      <c r="E5" s="190" t="s">
        <v>3</v>
      </c>
      <c r="F5" s="190" t="s">
        <v>1174</v>
      </c>
      <c r="G5" s="191" t="s">
        <v>1173</v>
      </c>
    </row>
    <row r="6" spans="2:8" s="1" customFormat="1" ht="16.5" customHeight="1">
      <c r="B6" s="189">
        <v>42928</v>
      </c>
      <c r="C6" s="190">
        <v>10631</v>
      </c>
      <c r="D6" s="52">
        <v>10</v>
      </c>
      <c r="E6" s="190" t="s">
        <v>2</v>
      </c>
      <c r="F6" s="190" t="s">
        <v>663</v>
      </c>
      <c r="G6" s="191"/>
    </row>
    <row r="7" spans="2:8" s="1" customFormat="1" ht="16.5" customHeight="1">
      <c r="B7" s="187">
        <v>42929</v>
      </c>
      <c r="C7" s="188">
        <v>10633</v>
      </c>
      <c r="D7" s="8">
        <v>2.87</v>
      </c>
      <c r="E7" s="188" t="s">
        <v>17</v>
      </c>
      <c r="F7" s="188" t="s">
        <v>1172</v>
      </c>
      <c r="G7" s="188" t="s">
        <v>1171</v>
      </c>
    </row>
    <row r="8" spans="2:8" s="1" customFormat="1" ht="16.5" customHeight="1">
      <c r="B8" s="187">
        <v>42929</v>
      </c>
      <c r="C8" s="188">
        <v>10633</v>
      </c>
      <c r="D8" s="8">
        <v>6.06</v>
      </c>
      <c r="E8" s="188" t="s">
        <v>17</v>
      </c>
      <c r="F8" s="188" t="s">
        <v>1170</v>
      </c>
      <c r="G8" s="188" t="s">
        <v>1169</v>
      </c>
    </row>
    <row r="9" spans="2:8" s="1" customFormat="1" ht="16.5" customHeight="1">
      <c r="B9" s="187">
        <v>42929</v>
      </c>
      <c r="C9" s="188">
        <v>10633</v>
      </c>
      <c r="D9" s="8">
        <v>17</v>
      </c>
      <c r="E9" s="188" t="s">
        <v>17</v>
      </c>
      <c r="F9" s="188" t="s">
        <v>1168</v>
      </c>
      <c r="G9" s="188" t="s">
        <v>1167</v>
      </c>
    </row>
    <row r="10" spans="2:8" s="1" customFormat="1" ht="16.5" customHeight="1">
      <c r="B10" s="187">
        <v>42929</v>
      </c>
      <c r="C10" s="188">
        <v>10633</v>
      </c>
      <c r="D10" s="8">
        <v>14</v>
      </c>
      <c r="E10" s="188" t="s">
        <v>17</v>
      </c>
      <c r="F10" s="188" t="s">
        <v>1166</v>
      </c>
      <c r="G10" s="188" t="s">
        <v>1165</v>
      </c>
    </row>
    <row r="11" spans="2:8" s="1" customFormat="1" ht="16.5" customHeight="1">
      <c r="B11" s="187">
        <v>42929</v>
      </c>
      <c r="C11" s="188">
        <v>10633</v>
      </c>
      <c r="D11" s="8">
        <v>130</v>
      </c>
      <c r="E11" s="188" t="s">
        <v>17</v>
      </c>
      <c r="F11" s="188" t="s">
        <v>1164</v>
      </c>
      <c r="G11" s="188"/>
    </row>
    <row r="12" spans="2:8" s="1" customFormat="1" ht="16.5" customHeight="1">
      <c r="B12" s="189">
        <v>42935</v>
      </c>
      <c r="C12" s="190">
        <v>10645</v>
      </c>
      <c r="D12" s="52">
        <v>418.88</v>
      </c>
      <c r="E12" s="190" t="s">
        <v>16</v>
      </c>
      <c r="F12" s="190" t="s">
        <v>1163</v>
      </c>
      <c r="G12" s="191" t="s">
        <v>1162</v>
      </c>
    </row>
    <row r="13" spans="2:8" s="1" customFormat="1" ht="16.5" customHeight="1">
      <c r="B13" s="189">
        <v>42935</v>
      </c>
      <c r="C13" s="190">
        <v>10645</v>
      </c>
      <c r="D13" s="52">
        <v>20</v>
      </c>
      <c r="E13" s="190" t="s">
        <v>2</v>
      </c>
      <c r="F13" s="190" t="s">
        <v>178</v>
      </c>
      <c r="G13" s="191"/>
    </row>
    <row r="14" spans="2:8" s="1" customFormat="1" ht="16.5" customHeight="1">
      <c r="B14" s="189"/>
      <c r="C14" s="190"/>
      <c r="D14" s="52"/>
      <c r="E14" s="190"/>
      <c r="F14" s="190"/>
      <c r="G14" s="191"/>
    </row>
    <row r="15" spans="2:8" s="1" customFormat="1" ht="16.5" customHeight="1">
      <c r="B15" s="192" t="s">
        <v>1</v>
      </c>
      <c r="C15" s="193"/>
      <c r="D15" s="194">
        <f>SUBTOTAL(109,ExpJul150[Amount])</f>
        <v>624.89</v>
      </c>
      <c r="E15" s="193"/>
      <c r="F15" s="193"/>
      <c r="G15" s="192"/>
    </row>
    <row r="16" spans="2:8" s="1" customFormat="1" ht="16.5" customHeight="1">
      <c r="B16" s="195"/>
      <c r="C16" s="196"/>
      <c r="D16" s="197"/>
      <c r="E16" s="196"/>
      <c r="F16" s="196"/>
      <c r="G16" s="196"/>
    </row>
    <row r="17" spans="2:7" s="1" customFormat="1" ht="27.75" customHeight="1">
      <c r="B17" s="205" t="s">
        <v>52</v>
      </c>
      <c r="C17" s="36"/>
      <c r="D17" s="36"/>
      <c r="E17" s="36"/>
      <c r="F17" s="36"/>
      <c r="G17" s="36"/>
    </row>
    <row r="18" spans="2:7" s="1" customFormat="1" ht="16.5" customHeight="1">
      <c r="B18" s="36"/>
      <c r="C18" s="36"/>
      <c r="D18" s="36"/>
      <c r="E18" s="36"/>
      <c r="F18" s="36"/>
      <c r="G18" s="36"/>
    </row>
    <row r="19" spans="2:7" s="1" customFormat="1" ht="16.5" customHeight="1">
      <c r="B19" s="206" t="s">
        <v>50</v>
      </c>
      <c r="C19" s="207" t="s">
        <v>53</v>
      </c>
      <c r="D19" s="206" t="s">
        <v>48</v>
      </c>
      <c r="E19" s="207" t="s">
        <v>47</v>
      </c>
      <c r="F19" s="207" t="s">
        <v>660</v>
      </c>
      <c r="G19" s="206" t="s">
        <v>45</v>
      </c>
    </row>
    <row r="20" spans="2:7" s="1" customFormat="1" ht="16.5" customHeight="1">
      <c r="B20" s="25">
        <v>42959</v>
      </c>
      <c r="C20" s="51">
        <v>10710</v>
      </c>
      <c r="D20" s="211">
        <v>32.03</v>
      </c>
      <c r="E20" s="51" t="s">
        <v>3</v>
      </c>
      <c r="F20" s="51" t="s">
        <v>1205</v>
      </c>
      <c r="G20" s="27" t="s">
        <v>1206</v>
      </c>
    </row>
    <row r="21" spans="2:7" s="1" customFormat="1" ht="16.5" customHeight="1">
      <c r="B21" s="25">
        <v>42959</v>
      </c>
      <c r="C21" s="51">
        <v>10710</v>
      </c>
      <c r="D21" s="211">
        <v>5</v>
      </c>
      <c r="E21" s="51" t="s">
        <v>3</v>
      </c>
      <c r="F21" s="51" t="s">
        <v>1207</v>
      </c>
      <c r="G21" s="27" t="s">
        <v>1208</v>
      </c>
    </row>
    <row r="22" spans="2:7" s="1" customFormat="1" ht="16.5" customHeight="1">
      <c r="B22" s="25">
        <v>42959</v>
      </c>
      <c r="C22" s="51">
        <v>10710</v>
      </c>
      <c r="D22" s="211">
        <v>80</v>
      </c>
      <c r="E22" s="51" t="s">
        <v>2</v>
      </c>
      <c r="F22" s="51" t="s">
        <v>1209</v>
      </c>
      <c r="G22" s="27"/>
    </row>
    <row r="23" spans="2:7" s="1" customFormat="1" ht="16.5" customHeight="1">
      <c r="B23" s="25">
        <v>42963</v>
      </c>
      <c r="C23" s="51">
        <v>10715</v>
      </c>
      <c r="D23" s="211">
        <v>1.02</v>
      </c>
      <c r="E23" s="51" t="s">
        <v>5</v>
      </c>
      <c r="F23" s="51" t="s">
        <v>1210</v>
      </c>
      <c r="G23" s="27" t="s">
        <v>1211</v>
      </c>
    </row>
    <row r="24" spans="2:7" s="1" customFormat="1" ht="16.5" customHeight="1">
      <c r="B24" s="25">
        <v>42963</v>
      </c>
      <c r="C24" s="51">
        <v>10715</v>
      </c>
      <c r="D24" s="211">
        <v>48.09</v>
      </c>
      <c r="E24" s="51" t="s">
        <v>15</v>
      </c>
      <c r="F24" s="51" t="s">
        <v>1212</v>
      </c>
      <c r="G24" s="27" t="s">
        <v>1213</v>
      </c>
    </row>
    <row r="25" spans="2:7" s="1" customFormat="1" ht="16.5" customHeight="1">
      <c r="B25" s="25">
        <v>42963</v>
      </c>
      <c r="C25" s="51">
        <v>10715</v>
      </c>
      <c r="D25" s="211">
        <v>40</v>
      </c>
      <c r="E25" s="51" t="s">
        <v>2</v>
      </c>
      <c r="F25" s="51" t="s">
        <v>1214</v>
      </c>
      <c r="G25" s="27"/>
    </row>
    <row r="26" spans="2:7" s="1" customFormat="1" ht="16.5" customHeight="1">
      <c r="B26" s="25">
        <v>42972</v>
      </c>
      <c r="C26" s="51">
        <v>10744</v>
      </c>
      <c r="D26" s="211">
        <v>502.06</v>
      </c>
      <c r="E26" s="51" t="s">
        <v>16</v>
      </c>
      <c r="F26" s="51" t="s">
        <v>1215</v>
      </c>
      <c r="G26" s="27" t="s">
        <v>1216</v>
      </c>
    </row>
    <row r="27" spans="2:7" s="1" customFormat="1" ht="16.5" customHeight="1">
      <c r="B27" s="25">
        <v>42972</v>
      </c>
      <c r="C27" s="51">
        <v>10744</v>
      </c>
      <c r="D27" s="211">
        <v>15.66</v>
      </c>
      <c r="E27" s="51" t="s">
        <v>5</v>
      </c>
      <c r="F27" s="51" t="s">
        <v>1217</v>
      </c>
      <c r="G27" s="27" t="s">
        <v>1218</v>
      </c>
    </row>
    <row r="28" spans="2:7" s="1" customFormat="1" ht="16.5" customHeight="1">
      <c r="B28" s="25">
        <v>42972</v>
      </c>
      <c r="C28" s="51">
        <v>10744</v>
      </c>
      <c r="D28" s="211">
        <v>60</v>
      </c>
      <c r="E28" s="51" t="s">
        <v>2</v>
      </c>
      <c r="F28" s="51" t="s">
        <v>919</v>
      </c>
      <c r="G28" s="27"/>
    </row>
    <row r="29" spans="2:7" s="1" customFormat="1" ht="16.5" customHeight="1">
      <c r="B29" s="25">
        <v>42975</v>
      </c>
      <c r="C29" s="51">
        <v>10750</v>
      </c>
      <c r="D29" s="211">
        <v>44.61</v>
      </c>
      <c r="E29" s="51" t="s">
        <v>3</v>
      </c>
      <c r="F29" s="51" t="s">
        <v>1219</v>
      </c>
      <c r="G29" s="27" t="s">
        <v>1220</v>
      </c>
    </row>
    <row r="30" spans="2:7" s="1" customFormat="1" ht="16.5" customHeight="1">
      <c r="B30" s="25">
        <v>42975</v>
      </c>
      <c r="C30" s="51">
        <v>10750</v>
      </c>
      <c r="D30" s="211">
        <v>35.29</v>
      </c>
      <c r="E30" s="51" t="s">
        <v>3</v>
      </c>
      <c r="F30" s="51" t="s">
        <v>770</v>
      </c>
      <c r="G30" s="27" t="s">
        <v>1221</v>
      </c>
    </row>
    <row r="31" spans="2:7" s="1" customFormat="1" ht="16.5" customHeight="1">
      <c r="B31" s="25">
        <v>42975</v>
      </c>
      <c r="C31" s="51">
        <v>10750</v>
      </c>
      <c r="D31" s="211">
        <v>10</v>
      </c>
      <c r="E31" s="51" t="s">
        <v>2</v>
      </c>
      <c r="F31" s="51" t="s">
        <v>663</v>
      </c>
      <c r="G31" s="27"/>
    </row>
    <row r="32" spans="2:7" s="1" customFormat="1" ht="16.5" customHeight="1">
      <c r="B32" s="337"/>
      <c r="C32" s="338"/>
      <c r="D32" s="339"/>
      <c r="E32" s="338"/>
      <c r="F32" s="338"/>
      <c r="G32" s="340"/>
    </row>
    <row r="33" spans="2:7" s="1" customFormat="1" ht="16.5" customHeight="1">
      <c r="B33" s="212" t="s">
        <v>1</v>
      </c>
      <c r="C33" s="213"/>
      <c r="D33" s="214">
        <f>SUBTOTAL(109,ExpAug151[Amount])</f>
        <v>873.76</v>
      </c>
      <c r="E33" s="213"/>
      <c r="F33" s="213"/>
      <c r="G33" s="212"/>
    </row>
    <row r="35" spans="2:7" s="1" customFormat="1" ht="26.25" customHeight="1">
      <c r="B35" s="205" t="s">
        <v>56</v>
      </c>
      <c r="C35" s="117"/>
      <c r="D35" s="117"/>
      <c r="E35" s="117"/>
      <c r="F35" s="117"/>
      <c r="G35" s="117"/>
    </row>
    <row r="36" spans="2:7" s="1" customFormat="1" ht="16.5" customHeight="1">
      <c r="B36" s="117"/>
      <c r="C36" s="117"/>
      <c r="D36" s="117"/>
      <c r="E36" s="117"/>
      <c r="F36" s="117"/>
      <c r="G36" s="117"/>
    </row>
    <row r="37" spans="2:7" s="1" customFormat="1" ht="16.5" customHeight="1">
      <c r="B37" s="206" t="s">
        <v>50</v>
      </c>
      <c r="C37" s="207" t="s">
        <v>53</v>
      </c>
      <c r="D37" s="206" t="s">
        <v>48</v>
      </c>
      <c r="E37" s="207" t="s">
        <v>47</v>
      </c>
      <c r="F37" s="207" t="s">
        <v>660</v>
      </c>
      <c r="G37" s="206" t="s">
        <v>45</v>
      </c>
    </row>
    <row r="38" spans="2:7" s="1" customFormat="1" ht="16.5" customHeight="1">
      <c r="B38" s="208">
        <v>42979</v>
      </c>
      <c r="C38" s="209">
        <v>10764</v>
      </c>
      <c r="D38" s="210">
        <v>2.87</v>
      </c>
      <c r="E38" s="209" t="s">
        <v>17</v>
      </c>
      <c r="F38" s="209" t="s">
        <v>739</v>
      </c>
      <c r="G38" s="209" t="s">
        <v>1222</v>
      </c>
    </row>
    <row r="39" spans="2:7" s="1" customFormat="1" ht="16.5" customHeight="1">
      <c r="B39" s="208">
        <v>42979</v>
      </c>
      <c r="C39" s="209">
        <v>10764</v>
      </c>
      <c r="D39" s="210">
        <v>48.09</v>
      </c>
      <c r="E39" s="209" t="s">
        <v>17</v>
      </c>
      <c r="F39" s="209" t="s">
        <v>1223</v>
      </c>
      <c r="G39" s="209" t="s">
        <v>1224</v>
      </c>
    </row>
    <row r="40" spans="2:7" s="1" customFormat="1" ht="16.5" customHeight="1">
      <c r="B40" s="208">
        <v>42979</v>
      </c>
      <c r="C40" s="209">
        <v>10764</v>
      </c>
      <c r="D40" s="210">
        <v>15.15</v>
      </c>
      <c r="E40" s="209" t="s">
        <v>17</v>
      </c>
      <c r="F40" s="209" t="s">
        <v>1225</v>
      </c>
      <c r="G40" s="209" t="s">
        <v>1226</v>
      </c>
    </row>
    <row r="41" spans="2:7" s="1" customFormat="1" ht="16.5" customHeight="1">
      <c r="B41" s="208">
        <v>42979</v>
      </c>
      <c r="C41" s="209">
        <v>10764</v>
      </c>
      <c r="D41" s="210">
        <v>5.04</v>
      </c>
      <c r="E41" s="209" t="s">
        <v>17</v>
      </c>
      <c r="F41" s="209" t="s">
        <v>1227</v>
      </c>
      <c r="G41" s="209" t="s">
        <v>1228</v>
      </c>
    </row>
    <row r="42" spans="2:7" s="1" customFormat="1" ht="16.5" customHeight="1">
      <c r="B42" s="208">
        <v>42979</v>
      </c>
      <c r="C42" s="209">
        <v>10764</v>
      </c>
      <c r="D42" s="210">
        <v>9.64</v>
      </c>
      <c r="E42" s="209" t="s">
        <v>17</v>
      </c>
      <c r="F42" s="209" t="s">
        <v>1229</v>
      </c>
      <c r="G42" s="209" t="s">
        <v>1230</v>
      </c>
    </row>
    <row r="43" spans="2:7" s="1" customFormat="1" ht="16.5" customHeight="1">
      <c r="B43" s="208">
        <v>42979</v>
      </c>
      <c r="C43" s="209">
        <v>10764</v>
      </c>
      <c r="D43" s="210">
        <v>41.9</v>
      </c>
      <c r="E43" s="209" t="s">
        <v>17</v>
      </c>
      <c r="F43" s="209" t="s">
        <v>1231</v>
      </c>
      <c r="G43" s="209" t="s">
        <v>1232</v>
      </c>
    </row>
    <row r="44" spans="2:7" s="1" customFormat="1" ht="16.5" customHeight="1">
      <c r="B44" s="208">
        <v>42979</v>
      </c>
      <c r="C44" s="209">
        <v>10764</v>
      </c>
      <c r="D44" s="210">
        <v>221.94</v>
      </c>
      <c r="E44" s="209" t="s">
        <v>17</v>
      </c>
      <c r="F44" s="209" t="s">
        <v>1233</v>
      </c>
      <c r="G44" s="209" t="s">
        <v>1234</v>
      </c>
    </row>
    <row r="45" spans="2:7" s="1" customFormat="1" ht="16.5" customHeight="1">
      <c r="B45" s="208">
        <v>42979</v>
      </c>
      <c r="C45" s="209">
        <v>10764</v>
      </c>
      <c r="D45" s="210">
        <v>1.2</v>
      </c>
      <c r="E45" s="209" t="s">
        <v>17</v>
      </c>
      <c r="F45" s="209" t="s">
        <v>1235</v>
      </c>
      <c r="G45" s="209" t="s">
        <v>1236</v>
      </c>
    </row>
    <row r="46" spans="2:7" s="1" customFormat="1" ht="16.5" customHeight="1">
      <c r="B46" s="208">
        <v>42979</v>
      </c>
      <c r="C46" s="209">
        <v>10764</v>
      </c>
      <c r="D46" s="210">
        <v>14</v>
      </c>
      <c r="E46" s="209" t="s">
        <v>17</v>
      </c>
      <c r="F46" s="209" t="s">
        <v>1237</v>
      </c>
      <c r="G46" s="209" t="s">
        <v>1238</v>
      </c>
    </row>
    <row r="47" spans="2:7" s="1" customFormat="1" ht="16.5" customHeight="1">
      <c r="B47" s="208">
        <v>42979</v>
      </c>
      <c r="C47" s="209">
        <v>10764</v>
      </c>
      <c r="D47" s="210">
        <v>260</v>
      </c>
      <c r="E47" s="209" t="s">
        <v>17</v>
      </c>
      <c r="F47" s="209" t="s">
        <v>1239</v>
      </c>
      <c r="G47" s="209"/>
    </row>
    <row r="48" spans="2:7" s="1" customFormat="1" ht="16.5" customHeight="1">
      <c r="B48" s="25">
        <v>43006</v>
      </c>
      <c r="C48" s="51">
        <v>10827</v>
      </c>
      <c r="D48" s="211">
        <v>15.66</v>
      </c>
      <c r="E48" s="51" t="s">
        <v>5</v>
      </c>
      <c r="F48" s="51" t="s">
        <v>1240</v>
      </c>
      <c r="G48" s="27" t="s">
        <v>688</v>
      </c>
    </row>
    <row r="49" spans="2:7" s="1" customFormat="1" ht="16.5" customHeight="1">
      <c r="B49" s="337">
        <v>43006</v>
      </c>
      <c r="C49" s="338">
        <v>10837</v>
      </c>
      <c r="D49" s="339">
        <v>8.2200000000000006</v>
      </c>
      <c r="E49" s="338" t="s">
        <v>3</v>
      </c>
      <c r="F49" s="338" t="s">
        <v>1241</v>
      </c>
      <c r="G49" s="340" t="s">
        <v>1242</v>
      </c>
    </row>
    <row r="50" spans="2:7" s="1" customFormat="1" ht="16.5" customHeight="1">
      <c r="B50" s="337">
        <v>43006</v>
      </c>
      <c r="C50" s="338">
        <v>10837</v>
      </c>
      <c r="D50" s="339">
        <v>10</v>
      </c>
      <c r="E50" s="338" t="s">
        <v>2</v>
      </c>
      <c r="F50" s="338" t="s">
        <v>33</v>
      </c>
      <c r="G50" s="340"/>
    </row>
    <row r="51" spans="2:7" s="1" customFormat="1" ht="16.5" customHeight="1">
      <c r="B51" s="337">
        <v>43007</v>
      </c>
      <c r="C51" s="338">
        <v>10839</v>
      </c>
      <c r="D51" s="339">
        <v>3.91</v>
      </c>
      <c r="E51" s="338" t="s">
        <v>3</v>
      </c>
      <c r="F51" s="338" t="s">
        <v>1243</v>
      </c>
      <c r="G51" s="340" t="s">
        <v>1244</v>
      </c>
    </row>
    <row r="52" spans="2:7" s="1" customFormat="1" ht="16.5" customHeight="1">
      <c r="B52" s="337">
        <v>43007</v>
      </c>
      <c r="C52" s="338">
        <v>10839</v>
      </c>
      <c r="D52" s="339">
        <v>20</v>
      </c>
      <c r="E52" s="338" t="s">
        <v>2</v>
      </c>
      <c r="F52" s="338" t="s">
        <v>399</v>
      </c>
      <c r="G52" s="340"/>
    </row>
    <row r="53" spans="2:7" s="1" customFormat="1" ht="16.5" customHeight="1">
      <c r="B53" s="337"/>
      <c r="C53" s="338"/>
      <c r="D53" s="339"/>
      <c r="E53" s="338"/>
      <c r="F53" s="338"/>
      <c r="G53" s="340"/>
    </row>
    <row r="54" spans="2:7" s="1" customFormat="1" ht="16.5" customHeight="1">
      <c r="B54" s="212" t="s">
        <v>1</v>
      </c>
      <c r="C54" s="213"/>
      <c r="D54" s="214">
        <f>SUBTOTAL(109,ExpSep152[Amount])</f>
        <v>677.61999999999989</v>
      </c>
      <c r="E54" s="213"/>
      <c r="F54" s="213"/>
      <c r="G54" s="212"/>
    </row>
    <row r="55" spans="2:7" s="1" customFormat="1" ht="16.5" customHeight="1">
      <c r="B55" s="213"/>
      <c r="C55" s="213"/>
      <c r="D55" s="536"/>
      <c r="E55" s="213"/>
      <c r="F55" s="213"/>
      <c r="G55" s="213"/>
    </row>
    <row r="57" spans="2:7" s="1" customFormat="1" ht="27" customHeight="1">
      <c r="B57" s="205" t="s">
        <v>70</v>
      </c>
      <c r="C57" s="117"/>
      <c r="D57" s="117"/>
      <c r="E57" s="117"/>
      <c r="F57" s="117"/>
      <c r="G57" s="117"/>
    </row>
    <row r="58" spans="2:7" s="1" customFormat="1" ht="16.5" customHeight="1">
      <c r="B58" s="117"/>
      <c r="C58" s="117"/>
      <c r="D58" s="117"/>
      <c r="E58" s="117"/>
      <c r="F58" s="117"/>
      <c r="G58" s="117"/>
    </row>
    <row r="59" spans="2:7" s="1" customFormat="1" ht="16.5" customHeight="1">
      <c r="B59" s="206" t="s">
        <v>50</v>
      </c>
      <c r="C59" s="207" t="s">
        <v>71</v>
      </c>
      <c r="D59" s="206" t="s">
        <v>48</v>
      </c>
      <c r="E59" s="207" t="s">
        <v>47</v>
      </c>
      <c r="F59" s="207" t="s">
        <v>660</v>
      </c>
      <c r="G59" s="206" t="s">
        <v>45</v>
      </c>
    </row>
    <row r="60" spans="2:7" s="1" customFormat="1" ht="16.5" customHeight="1">
      <c r="B60" s="208">
        <v>43019</v>
      </c>
      <c r="C60" s="209">
        <v>10859</v>
      </c>
      <c r="D60" s="210">
        <v>2.87</v>
      </c>
      <c r="E60" s="208" t="s">
        <v>17</v>
      </c>
      <c r="F60" s="208" t="s">
        <v>751</v>
      </c>
      <c r="G60" s="209" t="s">
        <v>1656</v>
      </c>
    </row>
    <row r="61" spans="2:7" s="1" customFormat="1" ht="16.5" customHeight="1">
      <c r="B61" s="208">
        <v>43019</v>
      </c>
      <c r="C61" s="209">
        <v>10859</v>
      </c>
      <c r="D61" s="210">
        <v>6.06</v>
      </c>
      <c r="E61" s="209" t="s">
        <v>17</v>
      </c>
      <c r="F61" s="209" t="s">
        <v>1657</v>
      </c>
      <c r="G61" s="209" t="s">
        <v>1658</v>
      </c>
    </row>
    <row r="62" spans="2:7" s="1" customFormat="1" ht="16.5" customHeight="1">
      <c r="B62" s="208">
        <v>43019</v>
      </c>
      <c r="C62" s="209">
        <v>10859</v>
      </c>
      <c r="D62" s="210">
        <v>20.95</v>
      </c>
      <c r="E62" s="209" t="s">
        <v>17</v>
      </c>
      <c r="F62" s="209" t="s">
        <v>1659</v>
      </c>
      <c r="G62" s="209" t="s">
        <v>1660</v>
      </c>
    </row>
    <row r="63" spans="2:7" s="1" customFormat="1" ht="16.5" customHeight="1">
      <c r="B63" s="208">
        <v>43019</v>
      </c>
      <c r="C63" s="209">
        <v>10859</v>
      </c>
      <c r="D63" s="210">
        <v>72.739999999999995</v>
      </c>
      <c r="E63" s="209" t="s">
        <v>17</v>
      </c>
      <c r="F63" s="209" t="s">
        <v>1661</v>
      </c>
      <c r="G63" s="209" t="s">
        <v>1662</v>
      </c>
    </row>
    <row r="64" spans="2:7" s="1" customFormat="1" ht="16.5" customHeight="1">
      <c r="B64" s="208">
        <v>43019</v>
      </c>
      <c r="C64" s="209">
        <v>10859</v>
      </c>
      <c r="D64" s="210">
        <v>42.89</v>
      </c>
      <c r="E64" s="209" t="s">
        <v>17</v>
      </c>
      <c r="F64" s="209" t="s">
        <v>1663</v>
      </c>
      <c r="G64" s="209" t="s">
        <v>1664</v>
      </c>
    </row>
    <row r="65" spans="2:7" s="1" customFormat="1" ht="16.5" customHeight="1">
      <c r="B65" s="208">
        <v>43019</v>
      </c>
      <c r="C65" s="209">
        <v>10859</v>
      </c>
      <c r="D65" s="210">
        <v>42.89</v>
      </c>
      <c r="E65" s="209" t="s">
        <v>17</v>
      </c>
      <c r="F65" s="209" t="s">
        <v>1665</v>
      </c>
      <c r="G65" s="209" t="s">
        <v>1666</v>
      </c>
    </row>
    <row r="66" spans="2:7" s="1" customFormat="1" ht="16.5" customHeight="1">
      <c r="B66" s="208">
        <v>43019</v>
      </c>
      <c r="C66" s="209">
        <v>10859</v>
      </c>
      <c r="D66" s="210">
        <v>14</v>
      </c>
      <c r="E66" s="209" t="s">
        <v>17</v>
      </c>
      <c r="F66" s="209" t="s">
        <v>1667</v>
      </c>
      <c r="G66" s="209" t="s">
        <v>1668</v>
      </c>
    </row>
    <row r="67" spans="2:7" s="1" customFormat="1" ht="16.5" customHeight="1">
      <c r="B67" s="208">
        <v>43019</v>
      </c>
      <c r="C67" s="209">
        <v>10859</v>
      </c>
      <c r="D67" s="210">
        <v>180</v>
      </c>
      <c r="E67" s="209" t="s">
        <v>17</v>
      </c>
      <c r="F67" s="209" t="s">
        <v>519</v>
      </c>
      <c r="G67" s="209"/>
    </row>
    <row r="68" spans="2:7" s="1" customFormat="1" ht="16.5" customHeight="1">
      <c r="B68" s="25">
        <v>43019</v>
      </c>
      <c r="C68" s="51">
        <v>10861</v>
      </c>
      <c r="D68" s="211">
        <v>15.15</v>
      </c>
      <c r="E68" s="51" t="s">
        <v>1674</v>
      </c>
      <c r="F68" s="51" t="s">
        <v>1675</v>
      </c>
      <c r="G68" s="27" t="s">
        <v>1676</v>
      </c>
    </row>
    <row r="69" spans="2:7" s="1" customFormat="1" ht="16.5" customHeight="1">
      <c r="B69" s="25">
        <v>43019</v>
      </c>
      <c r="C69" s="51">
        <v>10861</v>
      </c>
      <c r="D69" s="211">
        <v>10</v>
      </c>
      <c r="E69" s="51" t="s">
        <v>1673</v>
      </c>
      <c r="F69" s="51" t="s">
        <v>1677</v>
      </c>
      <c r="G69" s="27"/>
    </row>
    <row r="70" spans="2:7" s="1" customFormat="1" ht="16.5" customHeight="1">
      <c r="B70" s="25"/>
      <c r="C70" s="51"/>
      <c r="D70" s="211"/>
      <c r="E70" s="51"/>
      <c r="F70" s="51"/>
      <c r="G70" s="27"/>
    </row>
    <row r="71" spans="2:7" s="1" customFormat="1" ht="16.5" customHeight="1">
      <c r="B71" s="337"/>
      <c r="C71" s="338"/>
      <c r="D71" s="339"/>
      <c r="E71" s="338"/>
      <c r="F71" s="338"/>
      <c r="G71" s="340"/>
    </row>
    <row r="72" spans="2:7" s="1" customFormat="1" ht="16.5" customHeight="1">
      <c r="B72" s="212" t="s">
        <v>1</v>
      </c>
      <c r="C72" s="213"/>
      <c r="D72" s="214">
        <f>SUBTOTAL(109,ExpOct140153[Amount])</f>
        <v>407.54999999999995</v>
      </c>
      <c r="E72" s="213"/>
      <c r="F72" s="213"/>
      <c r="G72" s="212"/>
    </row>
    <row r="73" spans="2:7" s="1" customFormat="1" ht="26.25" customHeight="1">
      <c r="B73" s="205" t="s">
        <v>159</v>
      </c>
      <c r="C73" s="117"/>
      <c r="D73" s="117"/>
      <c r="E73" s="117"/>
      <c r="F73" s="117"/>
      <c r="G73" s="117"/>
    </row>
    <row r="74" spans="2:7" s="1" customFormat="1" ht="16.5" customHeight="1">
      <c r="B74" s="117"/>
      <c r="C74" s="117"/>
      <c r="D74" s="117"/>
      <c r="E74" s="117"/>
      <c r="F74" s="117"/>
      <c r="G74" s="117"/>
    </row>
    <row r="75" spans="2:7" s="1" customFormat="1" ht="16.5" customHeight="1">
      <c r="B75" s="206" t="s">
        <v>50</v>
      </c>
      <c r="C75" s="207" t="s">
        <v>71</v>
      </c>
      <c r="D75" s="206" t="s">
        <v>48</v>
      </c>
      <c r="E75" s="207" t="s">
        <v>47</v>
      </c>
      <c r="F75" s="207" t="s">
        <v>161</v>
      </c>
      <c r="G75" s="206" t="s">
        <v>160</v>
      </c>
    </row>
    <row r="76" spans="2:7" s="1" customFormat="1" ht="16.5" customHeight="1">
      <c r="B76" s="25"/>
      <c r="C76" s="51"/>
      <c r="D76" s="211"/>
      <c r="E76" s="51"/>
      <c r="F76" s="51"/>
      <c r="G76" s="27"/>
    </row>
    <row r="77" spans="2:7" s="1" customFormat="1" ht="16.5" customHeight="1">
      <c r="B77" s="25"/>
      <c r="C77" s="51"/>
      <c r="D77" s="211"/>
      <c r="E77" s="51"/>
      <c r="F77" s="51"/>
      <c r="G77" s="27"/>
    </row>
    <row r="78" spans="2:7" s="1" customFormat="1" ht="16.5" customHeight="1">
      <c r="B78" s="25"/>
      <c r="C78" s="51"/>
      <c r="D78" s="211"/>
      <c r="E78" s="51"/>
      <c r="F78" s="51"/>
      <c r="G78" s="27"/>
    </row>
    <row r="79" spans="2:7" s="1" customFormat="1" ht="16.5" customHeight="1">
      <c r="B79" s="25"/>
      <c r="C79" s="51"/>
      <c r="D79" s="211"/>
      <c r="E79" s="51"/>
      <c r="F79" s="51"/>
      <c r="G79" s="27"/>
    </row>
    <row r="80" spans="2:7" s="1" customFormat="1" ht="16.5" customHeight="1">
      <c r="B80" s="25"/>
      <c r="C80" s="51"/>
      <c r="D80" s="211"/>
      <c r="E80" s="51"/>
      <c r="F80" s="51"/>
      <c r="G80" s="27"/>
    </row>
    <row r="81" spans="2:7" s="1" customFormat="1" ht="16.5" customHeight="1">
      <c r="B81" s="25"/>
      <c r="C81" s="51"/>
      <c r="D81" s="211"/>
      <c r="E81" s="51"/>
      <c r="F81" s="51"/>
      <c r="G81" s="27"/>
    </row>
    <row r="82" spans="2:7" s="1" customFormat="1" ht="16.5" customHeight="1">
      <c r="B82" s="25"/>
      <c r="C82" s="51"/>
      <c r="D82" s="211"/>
      <c r="E82" s="51"/>
      <c r="F82" s="51"/>
      <c r="G82" s="27"/>
    </row>
    <row r="83" spans="2:7" s="1" customFormat="1" ht="16.5" customHeight="1">
      <c r="B83" s="25"/>
      <c r="C83" s="51"/>
      <c r="D83" s="211"/>
      <c r="E83" s="51"/>
      <c r="F83" s="51"/>
      <c r="G83" s="27"/>
    </row>
    <row r="84" spans="2:7" s="1" customFormat="1" ht="16.5" customHeight="1">
      <c r="B84" s="25"/>
      <c r="C84" s="51"/>
      <c r="D84" s="211"/>
      <c r="E84" s="51"/>
      <c r="F84" s="51"/>
      <c r="G84" s="27"/>
    </row>
    <row r="85" spans="2:7" s="1" customFormat="1" ht="16.5" customHeight="1">
      <c r="B85" s="25"/>
      <c r="C85" s="51"/>
      <c r="D85" s="211"/>
      <c r="E85" s="51"/>
      <c r="F85" s="51"/>
      <c r="G85" s="27"/>
    </row>
    <row r="86" spans="2:7" s="1" customFormat="1" ht="16.5" customHeight="1">
      <c r="B86" s="212" t="s">
        <v>1</v>
      </c>
      <c r="C86" s="213"/>
      <c r="D86" s="214">
        <f>SUBTOTAL(109,ExpNov128141154[Amount])</f>
        <v>0</v>
      </c>
      <c r="E86" s="213"/>
      <c r="F86" s="213"/>
      <c r="G86" s="212"/>
    </row>
    <row r="88" spans="2:7" s="1" customFormat="1" ht="24" customHeight="1">
      <c r="B88" s="205" t="s">
        <v>162</v>
      </c>
      <c r="C88" s="117"/>
      <c r="D88" s="117"/>
      <c r="E88" s="117"/>
      <c r="F88" s="117"/>
      <c r="G88" s="117"/>
    </row>
    <row r="89" spans="2:7" s="1" customFormat="1" ht="16.5" customHeight="1">
      <c r="B89" s="117"/>
      <c r="C89" s="117"/>
      <c r="D89" s="117"/>
      <c r="E89" s="117"/>
      <c r="F89" s="117"/>
      <c r="G89" s="117"/>
    </row>
    <row r="90" spans="2:7" s="1" customFormat="1" ht="16.5" customHeight="1">
      <c r="B90" s="206" t="s">
        <v>50</v>
      </c>
      <c r="C90" s="207" t="s">
        <v>71</v>
      </c>
      <c r="D90" s="206" t="s">
        <v>48</v>
      </c>
      <c r="E90" s="207" t="s">
        <v>47</v>
      </c>
      <c r="F90" s="207" t="s">
        <v>161</v>
      </c>
      <c r="G90" s="206" t="s">
        <v>160</v>
      </c>
    </row>
    <row r="91" spans="2:7" s="1" customFormat="1" ht="16.5" customHeight="1">
      <c r="B91" s="25"/>
      <c r="C91" s="51"/>
      <c r="D91" s="211"/>
      <c r="E91" s="51"/>
      <c r="F91" s="51"/>
      <c r="G91" s="27"/>
    </row>
    <row r="92" spans="2:7" s="1" customFormat="1" ht="16.5" customHeight="1">
      <c r="B92" s="25"/>
      <c r="C92" s="51"/>
      <c r="D92" s="211"/>
      <c r="E92" s="51"/>
      <c r="F92" s="51"/>
      <c r="G92" s="27"/>
    </row>
    <row r="93" spans="2:7" s="1" customFormat="1" ht="16.5" customHeight="1">
      <c r="B93" s="25"/>
      <c r="C93" s="51"/>
      <c r="D93" s="211"/>
      <c r="E93" s="51"/>
      <c r="F93" s="51"/>
      <c r="G93" s="27"/>
    </row>
    <row r="94" spans="2:7" s="1" customFormat="1" ht="16.5" customHeight="1">
      <c r="B94" s="25"/>
      <c r="C94" s="51"/>
      <c r="D94" s="211"/>
      <c r="E94" s="51"/>
      <c r="F94" s="51"/>
      <c r="G94" s="27"/>
    </row>
    <row r="95" spans="2:7" s="1" customFormat="1" ht="16.5" customHeight="1">
      <c r="B95" s="25"/>
      <c r="C95" s="51"/>
      <c r="D95" s="211"/>
      <c r="E95" s="51"/>
      <c r="F95" s="51"/>
      <c r="G95" s="27"/>
    </row>
    <row r="96" spans="2:7" s="1" customFormat="1" ht="16.5" customHeight="1">
      <c r="B96" s="25"/>
      <c r="C96" s="51"/>
      <c r="D96" s="211"/>
      <c r="E96" s="51"/>
      <c r="F96" s="51"/>
      <c r="G96" s="27"/>
    </row>
    <row r="97" spans="2:7" s="1" customFormat="1" ht="16.5" customHeight="1">
      <c r="B97" s="212" t="s">
        <v>1</v>
      </c>
      <c r="C97" s="213"/>
      <c r="D97" s="214">
        <f>SUBTOTAL(109,ExpDec129142155[Amount])</f>
        <v>0</v>
      </c>
      <c r="E97" s="213"/>
      <c r="F97" s="213"/>
      <c r="G97" s="212"/>
    </row>
    <row r="99" spans="2:7" s="1" customFormat="1" ht="25.5" customHeight="1">
      <c r="B99" s="205" t="s">
        <v>163</v>
      </c>
      <c r="C99" s="117"/>
      <c r="D99" s="117"/>
      <c r="E99" s="117"/>
      <c r="F99" s="117"/>
      <c r="G99" s="117"/>
    </row>
    <row r="100" spans="2:7" s="1" customFormat="1" ht="16.5" customHeight="1">
      <c r="B100" s="117"/>
      <c r="C100" s="117"/>
      <c r="D100" s="117"/>
      <c r="E100" s="117"/>
      <c r="F100" s="117"/>
      <c r="G100" s="117"/>
    </row>
    <row r="101" spans="2:7" s="1" customFormat="1" ht="16.5" customHeight="1">
      <c r="B101" s="206" t="s">
        <v>50</v>
      </c>
      <c r="C101" s="207" t="s">
        <v>164</v>
      </c>
      <c r="D101" s="206" t="s">
        <v>48</v>
      </c>
      <c r="E101" s="207" t="s">
        <v>47</v>
      </c>
      <c r="F101" s="207" t="s">
        <v>161</v>
      </c>
      <c r="G101" s="206" t="s">
        <v>160</v>
      </c>
    </row>
    <row r="102" spans="2:7" s="1" customFormat="1" ht="16.5" customHeight="1">
      <c r="B102" s="25"/>
      <c r="C102" s="51"/>
      <c r="D102" s="211"/>
      <c r="E102" s="51"/>
      <c r="F102" s="51"/>
      <c r="G102" s="27"/>
    </row>
    <row r="103" spans="2:7" s="1" customFormat="1" ht="16.5" customHeight="1">
      <c r="B103" s="25"/>
      <c r="C103" s="51"/>
      <c r="D103" s="211"/>
      <c r="E103" s="51"/>
      <c r="F103" s="51"/>
      <c r="G103" s="27"/>
    </row>
    <row r="104" spans="2:7" s="1" customFormat="1" ht="16.5" customHeight="1">
      <c r="B104" s="25"/>
      <c r="C104" s="51"/>
      <c r="D104" s="211"/>
      <c r="E104" s="51"/>
      <c r="F104" s="51"/>
      <c r="G104" s="27"/>
    </row>
    <row r="105" spans="2:7" s="1" customFormat="1" ht="16.5" customHeight="1">
      <c r="B105" s="27"/>
      <c r="C105" s="26"/>
      <c r="D105" s="211"/>
      <c r="E105" s="26"/>
      <c r="F105" s="26"/>
      <c r="G105" s="27"/>
    </row>
    <row r="106" spans="2:7" s="1" customFormat="1" ht="16.5" customHeight="1">
      <c r="B106" s="27"/>
      <c r="C106" s="26"/>
      <c r="D106" s="211"/>
      <c r="E106" s="26"/>
      <c r="F106" s="26"/>
      <c r="G106" s="27"/>
    </row>
    <row r="107" spans="2:7" s="1" customFormat="1" ht="16.5" customHeight="1">
      <c r="B107" s="27"/>
      <c r="C107" s="26"/>
      <c r="D107" s="211"/>
      <c r="E107" s="26"/>
      <c r="F107" s="26"/>
      <c r="G107" s="27"/>
    </row>
    <row r="108" spans="2:7" s="1" customFormat="1" ht="16.5" customHeight="1">
      <c r="B108" s="27"/>
      <c r="C108" s="26"/>
      <c r="D108" s="211"/>
      <c r="E108" s="26"/>
      <c r="F108" s="26"/>
      <c r="G108" s="27"/>
    </row>
    <row r="109" spans="2:7" s="1" customFormat="1" ht="16.5" customHeight="1">
      <c r="B109" s="27"/>
      <c r="C109" s="26"/>
      <c r="D109" s="211"/>
      <c r="E109" s="26"/>
      <c r="F109" s="26"/>
      <c r="G109" s="27"/>
    </row>
    <row r="110" spans="2:7" s="1" customFormat="1" ht="16.5" customHeight="1">
      <c r="B110" s="212" t="s">
        <v>1</v>
      </c>
      <c r="C110" s="213"/>
      <c r="D110" s="214">
        <f>SUBTOTAL(109,ExpJan130143156[Amount])</f>
        <v>0</v>
      </c>
      <c r="E110" s="213"/>
      <c r="F110" s="213"/>
      <c r="G110" s="212"/>
    </row>
    <row r="112" spans="2:7" s="1" customFormat="1" ht="24" customHeight="1">
      <c r="B112" s="205" t="s">
        <v>165</v>
      </c>
      <c r="C112" s="117"/>
      <c r="D112" s="117"/>
      <c r="E112" s="117"/>
      <c r="F112" s="117"/>
      <c r="G112" s="117"/>
    </row>
    <row r="113" spans="2:7" s="1" customFormat="1" ht="16.5" customHeight="1">
      <c r="B113" s="117"/>
      <c r="C113" s="117"/>
      <c r="D113" s="117"/>
      <c r="E113" s="117"/>
      <c r="F113" s="117"/>
      <c r="G113" s="117"/>
    </row>
    <row r="114" spans="2:7" s="1" customFormat="1" ht="16.5" customHeight="1">
      <c r="B114" s="206" t="s">
        <v>50</v>
      </c>
      <c r="C114" s="207" t="s">
        <v>71</v>
      </c>
      <c r="D114" s="206" t="s">
        <v>48</v>
      </c>
      <c r="E114" s="207" t="s">
        <v>47</v>
      </c>
      <c r="F114" s="206" t="s">
        <v>660</v>
      </c>
      <c r="G114" s="206" t="s">
        <v>45</v>
      </c>
    </row>
    <row r="115" spans="2:7" s="1" customFormat="1" ht="16.5" customHeight="1">
      <c r="B115" s="25"/>
      <c r="C115" s="51"/>
      <c r="D115" s="211"/>
      <c r="E115" s="51"/>
      <c r="F115" s="27"/>
      <c r="G115" s="27"/>
    </row>
    <row r="116" spans="2:7" s="1" customFormat="1" ht="16.5" customHeight="1">
      <c r="B116" s="25"/>
      <c r="C116" s="51"/>
      <c r="D116" s="211"/>
      <c r="E116" s="51"/>
      <c r="F116" s="27"/>
      <c r="G116" s="27"/>
    </row>
    <row r="117" spans="2:7" s="1" customFormat="1" ht="16.5" customHeight="1">
      <c r="B117" s="25"/>
      <c r="C117" s="51"/>
      <c r="D117" s="211"/>
      <c r="E117" s="51"/>
      <c r="F117" s="27"/>
      <c r="G117" s="27"/>
    </row>
    <row r="118" spans="2:7" s="1" customFormat="1" ht="16.5" customHeight="1">
      <c r="B118" s="25"/>
      <c r="C118" s="51"/>
      <c r="D118" s="211"/>
      <c r="E118" s="51"/>
      <c r="F118" s="27"/>
      <c r="G118" s="27"/>
    </row>
    <row r="119" spans="2:7" s="1" customFormat="1" ht="16.5" customHeight="1">
      <c r="B119" s="25"/>
      <c r="C119" s="51"/>
      <c r="D119" s="211"/>
      <c r="E119" s="51"/>
      <c r="F119" s="27"/>
      <c r="G119" s="27"/>
    </row>
    <row r="120" spans="2:7" s="1" customFormat="1" ht="16.5" customHeight="1">
      <c r="B120" s="25"/>
      <c r="C120" s="51"/>
      <c r="D120" s="211"/>
      <c r="E120" s="51"/>
      <c r="F120" s="27"/>
      <c r="G120" s="27"/>
    </row>
    <row r="121" spans="2:7" s="1" customFormat="1" ht="16.5" customHeight="1">
      <c r="B121" s="337"/>
      <c r="C121" s="338"/>
      <c r="D121" s="339"/>
      <c r="E121" s="338"/>
      <c r="F121" s="340"/>
      <c r="G121" s="340"/>
    </row>
    <row r="122" spans="2:7" s="1" customFormat="1" ht="16.5" customHeight="1">
      <c r="B122" s="337"/>
      <c r="C122" s="338"/>
      <c r="D122" s="339"/>
      <c r="E122" s="338"/>
      <c r="F122" s="340"/>
      <c r="G122" s="340"/>
    </row>
    <row r="123" spans="2:7" s="1" customFormat="1" ht="16.5" customHeight="1">
      <c r="B123" s="337"/>
      <c r="C123" s="338"/>
      <c r="D123" s="339"/>
      <c r="E123" s="338"/>
      <c r="F123" s="340"/>
      <c r="G123" s="340"/>
    </row>
    <row r="124" spans="2:7" s="1" customFormat="1" ht="16.5" customHeight="1">
      <c r="B124" s="337"/>
      <c r="C124" s="338"/>
      <c r="D124" s="339"/>
      <c r="E124" s="338"/>
      <c r="F124" s="340"/>
      <c r="G124" s="340"/>
    </row>
    <row r="125" spans="2:7" s="1" customFormat="1" ht="16.5" customHeight="1">
      <c r="B125" s="337"/>
      <c r="C125" s="338"/>
      <c r="D125" s="339"/>
      <c r="E125" s="338"/>
      <c r="F125" s="340"/>
      <c r="G125" s="340"/>
    </row>
    <row r="126" spans="2:7" s="1" customFormat="1" ht="16.5" customHeight="1">
      <c r="B126" s="224" t="s">
        <v>1</v>
      </c>
      <c r="C126" s="225"/>
      <c r="D126" s="226">
        <f>SUBTOTAL(109,ExpFeb131144157[Amount])</f>
        <v>0</v>
      </c>
      <c r="E126" s="225"/>
      <c r="F126" s="224"/>
      <c r="G126" s="395"/>
    </row>
    <row r="128" spans="2:7" s="1" customFormat="1" ht="24" customHeight="1">
      <c r="B128" s="205" t="s">
        <v>166</v>
      </c>
      <c r="C128" s="117"/>
      <c r="D128" s="117"/>
      <c r="E128" s="117"/>
      <c r="F128" s="117"/>
      <c r="G128" s="117"/>
    </row>
    <row r="129" spans="2:7" s="1" customFormat="1" ht="16.5" customHeight="1">
      <c r="B129" s="117"/>
      <c r="C129" s="117"/>
      <c r="D129" s="117"/>
      <c r="E129" s="117"/>
      <c r="F129" s="117"/>
      <c r="G129" s="117"/>
    </row>
    <row r="130" spans="2:7" s="1" customFormat="1" ht="16.5" customHeight="1">
      <c r="B130" s="206" t="s">
        <v>50</v>
      </c>
      <c r="C130" s="207" t="s">
        <v>71</v>
      </c>
      <c r="D130" s="206" t="s">
        <v>48</v>
      </c>
      <c r="E130" s="207" t="s">
        <v>47</v>
      </c>
      <c r="F130" s="207" t="s">
        <v>660</v>
      </c>
      <c r="G130" s="206" t="s">
        <v>45</v>
      </c>
    </row>
    <row r="131" spans="2:7" s="1" customFormat="1" ht="16.5" customHeight="1">
      <c r="B131" s="25"/>
      <c r="C131" s="51"/>
      <c r="D131" s="211"/>
      <c r="E131" s="51"/>
      <c r="F131" s="51"/>
      <c r="G131" s="27"/>
    </row>
    <row r="132" spans="2:7" s="1" customFormat="1" ht="16.5" customHeight="1">
      <c r="B132" s="25"/>
      <c r="C132" s="51"/>
      <c r="D132" s="211"/>
      <c r="E132" s="51"/>
      <c r="F132" s="51"/>
      <c r="G132" s="27"/>
    </row>
    <row r="133" spans="2:7" s="1" customFormat="1" ht="16.5" customHeight="1">
      <c r="B133" s="25"/>
      <c r="C133" s="51"/>
      <c r="D133" s="211"/>
      <c r="E133" s="51"/>
      <c r="F133" s="51"/>
      <c r="G133" s="27"/>
    </row>
    <row r="134" spans="2:7" s="1" customFormat="1" ht="16.5" customHeight="1">
      <c r="B134" s="25"/>
      <c r="C134" s="51"/>
      <c r="D134" s="211"/>
      <c r="E134" s="51"/>
      <c r="F134" s="51"/>
      <c r="G134" s="27"/>
    </row>
    <row r="135" spans="2:7" s="1" customFormat="1" ht="16.5" customHeight="1">
      <c r="B135" s="25"/>
      <c r="C135" s="51"/>
      <c r="D135" s="211"/>
      <c r="E135" s="51"/>
      <c r="F135" s="51"/>
      <c r="G135" s="27"/>
    </row>
    <row r="136" spans="2:7" s="1" customFormat="1" ht="16.5" customHeight="1">
      <c r="B136" s="25"/>
      <c r="C136" s="51"/>
      <c r="D136" s="211"/>
      <c r="E136" s="51"/>
      <c r="F136" s="51"/>
      <c r="G136" s="27"/>
    </row>
    <row r="137" spans="2:7" s="1" customFormat="1" ht="16.5" customHeight="1">
      <c r="B137" s="25"/>
      <c r="C137" s="51"/>
      <c r="D137" s="211"/>
      <c r="E137" s="51"/>
      <c r="F137" s="51"/>
      <c r="G137" s="27"/>
    </row>
    <row r="138" spans="2:7" s="1" customFormat="1" ht="16.5" customHeight="1">
      <c r="B138" s="25"/>
      <c r="C138" s="51"/>
      <c r="D138" s="211"/>
      <c r="E138" s="51"/>
      <c r="F138" s="51"/>
      <c r="G138" s="27"/>
    </row>
    <row r="139" spans="2:7" s="1" customFormat="1" ht="16.5" customHeight="1">
      <c r="B139" s="25"/>
      <c r="C139" s="51"/>
      <c r="D139" s="211"/>
      <c r="E139" s="51"/>
      <c r="F139" s="51"/>
      <c r="G139" s="27"/>
    </row>
    <row r="140" spans="2:7" s="1" customFormat="1" ht="16.5" customHeight="1">
      <c r="B140" s="25"/>
      <c r="C140" s="51"/>
      <c r="D140" s="211"/>
      <c r="E140" s="51"/>
      <c r="F140" s="51"/>
      <c r="G140" s="27"/>
    </row>
    <row r="141" spans="2:7" s="1" customFormat="1" ht="16.5" customHeight="1">
      <c r="B141" s="25"/>
      <c r="C141" s="51"/>
      <c r="D141" s="211"/>
      <c r="E141" s="51"/>
      <c r="F141" s="51"/>
      <c r="G141" s="27"/>
    </row>
    <row r="142" spans="2:7" s="1" customFormat="1" ht="16.5" customHeight="1">
      <c r="B142" s="25"/>
      <c r="C142" s="51"/>
      <c r="D142" s="211"/>
      <c r="E142" s="51"/>
      <c r="F142" s="51"/>
      <c r="G142" s="27"/>
    </row>
    <row r="143" spans="2:7" s="1" customFormat="1" ht="16.5" customHeight="1">
      <c r="B143" s="25"/>
      <c r="C143" s="51"/>
      <c r="D143" s="211"/>
      <c r="E143" s="51"/>
      <c r="F143" s="51"/>
      <c r="G143" s="27"/>
    </row>
    <row r="144" spans="2:7" s="1" customFormat="1" ht="16.5" customHeight="1">
      <c r="B144" s="212" t="s">
        <v>1</v>
      </c>
      <c r="C144" s="213"/>
      <c r="D144" s="214">
        <f>SUBTOTAL(109,ExpMar132145158[Amount])</f>
        <v>0</v>
      </c>
      <c r="E144" s="213"/>
      <c r="F144" s="213"/>
      <c r="G144" s="212"/>
    </row>
    <row r="146" spans="2:7" s="1" customFormat="1" ht="25.5" customHeight="1">
      <c r="B146" s="205" t="s">
        <v>167</v>
      </c>
      <c r="C146" s="117"/>
      <c r="D146" s="117"/>
      <c r="E146" s="117"/>
      <c r="F146" s="117"/>
      <c r="G146" s="117"/>
    </row>
    <row r="147" spans="2:7" s="1" customFormat="1" ht="16.5" customHeight="1">
      <c r="B147" s="117"/>
      <c r="C147" s="117"/>
      <c r="D147" s="117"/>
      <c r="E147" s="117"/>
      <c r="F147" s="117"/>
      <c r="G147" s="117"/>
    </row>
    <row r="148" spans="2:7" s="1" customFormat="1" ht="16.5" customHeight="1">
      <c r="B148" s="206" t="s">
        <v>50</v>
      </c>
      <c r="C148" s="207" t="s">
        <v>168</v>
      </c>
      <c r="D148" s="206" t="s">
        <v>48</v>
      </c>
      <c r="E148" s="207" t="s">
        <v>47</v>
      </c>
      <c r="F148" s="207" t="s">
        <v>660</v>
      </c>
      <c r="G148" s="206" t="s">
        <v>45</v>
      </c>
    </row>
    <row r="149" spans="2:7" s="1" customFormat="1" ht="16.5" customHeight="1">
      <c r="B149" s="215"/>
      <c r="C149" s="51"/>
      <c r="D149" s="216"/>
      <c r="E149" s="51"/>
      <c r="F149" s="51"/>
      <c r="G149" s="51"/>
    </row>
    <row r="150" spans="2:7" s="1" customFormat="1" ht="16.5" customHeight="1">
      <c r="B150" s="215"/>
      <c r="C150" s="51"/>
      <c r="D150" s="216"/>
      <c r="E150" s="51"/>
      <c r="F150" s="51"/>
      <c r="G150" s="51"/>
    </row>
    <row r="151" spans="2:7" s="1" customFormat="1" ht="16.5" customHeight="1">
      <c r="B151" s="215"/>
      <c r="C151" s="51"/>
      <c r="D151" s="216"/>
      <c r="E151" s="51"/>
      <c r="F151" s="51"/>
      <c r="G151" s="51"/>
    </row>
    <row r="152" spans="2:7" s="1" customFormat="1" ht="16.5" customHeight="1">
      <c r="B152" s="215"/>
      <c r="C152" s="51"/>
      <c r="D152" s="216"/>
      <c r="E152" s="51"/>
      <c r="F152" s="51"/>
      <c r="G152" s="51"/>
    </row>
    <row r="153" spans="2:7" s="1" customFormat="1" ht="16.5" customHeight="1">
      <c r="B153" s="215"/>
      <c r="C153" s="51"/>
      <c r="D153" s="216"/>
      <c r="E153" s="51"/>
      <c r="F153" s="51"/>
      <c r="G153" s="51"/>
    </row>
    <row r="154" spans="2:7" s="1" customFormat="1" ht="16.5" customHeight="1">
      <c r="B154" s="215"/>
      <c r="C154" s="51"/>
      <c r="D154" s="216"/>
      <c r="E154" s="51"/>
      <c r="F154" s="51"/>
      <c r="G154" s="51"/>
    </row>
    <row r="155" spans="2:7" s="1" customFormat="1" ht="16.5" customHeight="1">
      <c r="B155" s="215"/>
      <c r="C155" s="51"/>
      <c r="D155" s="216"/>
      <c r="E155" s="51"/>
      <c r="F155" s="51"/>
      <c r="G155" s="51"/>
    </row>
    <row r="156" spans="2:7" s="1" customFormat="1" ht="16.5" customHeight="1">
      <c r="B156" s="215"/>
      <c r="C156" s="51"/>
      <c r="D156" s="216"/>
      <c r="E156" s="51"/>
      <c r="F156" s="51"/>
      <c r="G156" s="51"/>
    </row>
    <row r="157" spans="2:7" s="1" customFormat="1" ht="16.5" customHeight="1">
      <c r="B157" s="215"/>
      <c r="C157" s="51"/>
      <c r="D157" s="216"/>
      <c r="E157" s="51"/>
      <c r="F157" s="51"/>
      <c r="G157" s="51"/>
    </row>
    <row r="158" spans="2:7" s="1" customFormat="1" ht="16.5" customHeight="1">
      <c r="B158" s="215"/>
      <c r="C158" s="51"/>
      <c r="D158" s="216"/>
      <c r="E158" s="51"/>
      <c r="F158" s="51"/>
      <c r="G158" s="51"/>
    </row>
    <row r="159" spans="2:7" s="1" customFormat="1" ht="16.5" customHeight="1">
      <c r="B159" s="215"/>
      <c r="C159" s="51"/>
      <c r="D159" s="216"/>
      <c r="E159" s="51"/>
      <c r="F159" s="51"/>
      <c r="G159" s="51"/>
    </row>
    <row r="160" spans="2:7" s="1" customFormat="1" ht="16.5" customHeight="1">
      <c r="B160" s="212" t="s">
        <v>1</v>
      </c>
      <c r="C160" s="213"/>
      <c r="D160" s="214">
        <f>SUBTOTAL(109,ExpApr133146159[Amount])</f>
        <v>0</v>
      </c>
      <c r="E160" s="213"/>
      <c r="F160" s="213"/>
      <c r="G160" s="212"/>
    </row>
    <row r="162" spans="2:7" s="1" customFormat="1" ht="24.75" customHeight="1">
      <c r="B162" s="205" t="s">
        <v>169</v>
      </c>
      <c r="C162" s="117"/>
      <c r="D162" s="117"/>
      <c r="E162" s="117"/>
      <c r="F162" s="117"/>
      <c r="G162" s="117"/>
    </row>
    <row r="163" spans="2:7" s="1" customFormat="1" ht="16.5" customHeight="1">
      <c r="B163" s="117"/>
      <c r="C163" s="117"/>
      <c r="D163" s="117"/>
      <c r="E163" s="117"/>
      <c r="F163" s="117"/>
      <c r="G163" s="117"/>
    </row>
    <row r="164" spans="2:7" s="1" customFormat="1" ht="16.5" customHeight="1">
      <c r="B164" s="206" t="s">
        <v>50</v>
      </c>
      <c r="C164" s="207" t="s">
        <v>71</v>
      </c>
      <c r="D164" s="206" t="s">
        <v>48</v>
      </c>
      <c r="E164" s="207" t="s">
        <v>47</v>
      </c>
      <c r="F164" s="207" t="s">
        <v>660</v>
      </c>
      <c r="G164" s="206" t="s">
        <v>45</v>
      </c>
    </row>
    <row r="165" spans="2:7" s="1" customFormat="1" ht="16.5" customHeight="1">
      <c r="B165" s="25"/>
      <c r="C165" s="51"/>
      <c r="D165" s="211"/>
      <c r="E165" s="51"/>
      <c r="F165" s="51"/>
      <c r="G165" s="27"/>
    </row>
    <row r="166" spans="2:7" s="1" customFormat="1" ht="16.5" customHeight="1">
      <c r="B166" s="25"/>
      <c r="C166" s="51"/>
      <c r="D166" s="211"/>
      <c r="E166" s="51"/>
      <c r="F166" s="51"/>
      <c r="G166" s="27"/>
    </row>
    <row r="167" spans="2:7" s="1" customFormat="1" ht="16.5" customHeight="1">
      <c r="B167" s="25"/>
      <c r="C167" s="51"/>
      <c r="D167" s="211"/>
      <c r="E167" s="51"/>
      <c r="F167" s="51"/>
      <c r="G167" s="27"/>
    </row>
    <row r="168" spans="2:7" s="1" customFormat="1" ht="16.5" customHeight="1">
      <c r="B168" s="25"/>
      <c r="C168" s="51"/>
      <c r="D168" s="211"/>
      <c r="E168" s="51"/>
      <c r="F168" s="51"/>
      <c r="G168" s="27"/>
    </row>
    <row r="169" spans="2:7" s="1" customFormat="1" ht="16.5" customHeight="1">
      <c r="B169" s="25"/>
      <c r="C169" s="51"/>
      <c r="D169" s="211"/>
      <c r="E169" s="51"/>
      <c r="F169" s="51"/>
      <c r="G169" s="27"/>
    </row>
    <row r="170" spans="2:7" s="1" customFormat="1" ht="16.5" customHeight="1">
      <c r="B170" s="25"/>
      <c r="C170" s="51"/>
      <c r="D170" s="211"/>
      <c r="E170" s="51"/>
      <c r="F170" s="51"/>
      <c r="G170" s="27"/>
    </row>
    <row r="171" spans="2:7" s="1" customFormat="1" ht="16.5" customHeight="1">
      <c r="B171" s="25"/>
      <c r="C171" s="51"/>
      <c r="D171" s="211"/>
      <c r="E171" s="51"/>
      <c r="F171" s="51"/>
      <c r="G171" s="27"/>
    </row>
    <row r="172" spans="2:7" s="1" customFormat="1" ht="16.5" customHeight="1">
      <c r="B172" s="25"/>
      <c r="C172" s="51"/>
      <c r="D172" s="211"/>
      <c r="E172" s="51"/>
      <c r="F172" s="51"/>
      <c r="G172" s="27"/>
    </row>
    <row r="173" spans="2:7" s="1" customFormat="1" ht="16.5" customHeight="1">
      <c r="B173" s="25"/>
      <c r="C173" s="51"/>
      <c r="D173" s="211"/>
      <c r="E173" s="51"/>
      <c r="F173" s="51"/>
      <c r="G173" s="27"/>
    </row>
    <row r="174" spans="2:7" s="1" customFormat="1" ht="16.5" customHeight="1">
      <c r="B174" s="25"/>
      <c r="C174" s="51"/>
      <c r="D174" s="211"/>
      <c r="E174" s="51"/>
      <c r="F174" s="51"/>
      <c r="G174" s="27"/>
    </row>
    <row r="175" spans="2:7" s="1" customFormat="1" ht="16.5" customHeight="1">
      <c r="B175" s="25"/>
      <c r="C175" s="51"/>
      <c r="D175" s="211"/>
      <c r="E175" s="51"/>
      <c r="F175" s="51"/>
      <c r="G175" s="27"/>
    </row>
    <row r="176" spans="2:7" s="1" customFormat="1" ht="16.5" customHeight="1">
      <c r="B176" s="25"/>
      <c r="C176" s="51"/>
      <c r="D176" s="211"/>
      <c r="E176" s="51"/>
      <c r="F176" s="51"/>
      <c r="G176" s="27"/>
    </row>
    <row r="177" spans="2:7" s="1" customFormat="1" ht="16.5" customHeight="1">
      <c r="B177" s="224" t="s">
        <v>1</v>
      </c>
      <c r="C177" s="225"/>
      <c r="D177" s="226">
        <f>SUBTOTAL(109,ExpMay134147160[Amount])</f>
        <v>0</v>
      </c>
      <c r="E177" s="225"/>
      <c r="F177" s="225"/>
      <c r="G177" s="224"/>
    </row>
    <row r="179" spans="2:7" s="1" customFormat="1" ht="24" customHeight="1">
      <c r="B179" s="205" t="s">
        <v>170</v>
      </c>
      <c r="C179" s="117"/>
      <c r="D179" s="117"/>
      <c r="E179" s="117"/>
      <c r="F179" s="117"/>
      <c r="G179" s="117"/>
    </row>
    <row r="180" spans="2:7" s="1" customFormat="1" ht="16.5" customHeight="1">
      <c r="B180" s="117"/>
      <c r="C180" s="117"/>
      <c r="D180" s="117"/>
      <c r="E180" s="117"/>
      <c r="F180" s="117"/>
      <c r="G180" s="117"/>
    </row>
    <row r="181" spans="2:7" s="1" customFormat="1" ht="16.5" customHeight="1">
      <c r="B181" s="206" t="s">
        <v>50</v>
      </c>
      <c r="C181" s="207" t="s">
        <v>155</v>
      </c>
      <c r="D181" s="206" t="s">
        <v>48</v>
      </c>
      <c r="E181" s="207" t="s">
        <v>47</v>
      </c>
      <c r="F181" s="207" t="s">
        <v>660</v>
      </c>
      <c r="G181" s="206" t="s">
        <v>45</v>
      </c>
    </row>
    <row r="182" spans="2:7" s="1" customFormat="1" ht="16.5" customHeight="1">
      <c r="B182" s="215"/>
      <c r="C182" s="51"/>
      <c r="D182" s="216"/>
      <c r="E182" s="51"/>
      <c r="F182" s="51"/>
      <c r="G182" s="51"/>
    </row>
    <row r="183" spans="2:7" s="1" customFormat="1" ht="16.5" customHeight="1">
      <c r="B183" s="215"/>
      <c r="C183" s="51"/>
      <c r="D183" s="216"/>
      <c r="E183" s="51"/>
      <c r="F183" s="51"/>
      <c r="G183" s="51"/>
    </row>
    <row r="184" spans="2:7" s="1" customFormat="1" ht="16.5" customHeight="1">
      <c r="B184" s="215"/>
      <c r="C184" s="51"/>
      <c r="D184" s="216"/>
      <c r="E184" s="51"/>
      <c r="F184" s="51"/>
      <c r="G184" s="51"/>
    </row>
    <row r="185" spans="2:7" s="1" customFormat="1" ht="16.5" customHeight="1">
      <c r="B185" s="215"/>
      <c r="C185" s="51"/>
      <c r="D185" s="216"/>
      <c r="E185" s="51"/>
      <c r="F185" s="51"/>
      <c r="G185" s="51"/>
    </row>
    <row r="186" spans="2:7" s="1" customFormat="1" ht="16.5" customHeight="1">
      <c r="B186" s="215"/>
      <c r="C186" s="51"/>
      <c r="D186" s="216"/>
      <c r="E186" s="51"/>
      <c r="F186" s="51"/>
      <c r="G186" s="51"/>
    </row>
    <row r="187" spans="2:7" s="1" customFormat="1" ht="16.5" customHeight="1">
      <c r="B187" s="215"/>
      <c r="C187" s="51"/>
      <c r="D187" s="216"/>
      <c r="E187" s="51"/>
      <c r="F187" s="51"/>
      <c r="G187" s="51"/>
    </row>
    <row r="188" spans="2:7" s="1" customFormat="1" ht="16.5" customHeight="1">
      <c r="B188" s="215"/>
      <c r="C188" s="51"/>
      <c r="D188" s="216"/>
      <c r="E188" s="51"/>
      <c r="F188" s="51"/>
      <c r="G188" s="51"/>
    </row>
    <row r="189" spans="2:7" s="1" customFormat="1" ht="16.5" customHeight="1">
      <c r="B189" s="215"/>
      <c r="C189" s="51"/>
      <c r="D189" s="216"/>
      <c r="E189" s="51"/>
      <c r="F189" s="51"/>
      <c r="G189" s="51"/>
    </row>
    <row r="190" spans="2:7" s="1" customFormat="1" ht="16.5" customHeight="1">
      <c r="B190" s="215"/>
      <c r="C190" s="51"/>
      <c r="D190" s="216"/>
      <c r="E190" s="51"/>
      <c r="F190" s="51"/>
      <c r="G190" s="51"/>
    </row>
    <row r="191" spans="2:7" s="1" customFormat="1" ht="16.5" customHeight="1">
      <c r="B191" s="215"/>
      <c r="C191" s="51"/>
      <c r="D191" s="216"/>
      <c r="E191" s="51"/>
      <c r="F191" s="51"/>
      <c r="G191" s="51"/>
    </row>
    <row r="192" spans="2:7" s="1" customFormat="1" ht="16.5" customHeight="1">
      <c r="B192" s="215"/>
      <c r="C192" s="51"/>
      <c r="D192" s="216"/>
      <c r="E192" s="51"/>
      <c r="F192" s="51"/>
      <c r="G192" s="51"/>
    </row>
    <row r="193" spans="2:7" s="1" customFormat="1" ht="16.5" customHeight="1">
      <c r="B193" s="224" t="s">
        <v>1</v>
      </c>
      <c r="C193" s="225"/>
      <c r="D193" s="226">
        <f>SUBTOTAL(109,ExpJun135148161[Amount])</f>
        <v>0</v>
      </c>
      <c r="E193" s="225"/>
      <c r="F193" s="225"/>
      <c r="G193" s="224"/>
    </row>
  </sheetData>
  <dataValidations count="14">
    <dataValidation type="custom" errorStyle="warning" allowBlank="1" showInputMessage="1" showErrorMessage="1" errorTitle="Amount Validation" error="Amount should be a number." sqref="D5:D14 D16 D20:D32 D38:D53 D76:D85 D91:D96 D102:D109 D115:D125 D131:D143 D149:D159 D165:D176 D182:D192 D60:D71">
      <formula1>ISNUMBER($D5)</formula1>
    </dataValidation>
    <dataValidation type="custom" errorStyle="warning" allowBlank="1" showInputMessage="1" showErrorMessage="1" errorTitle="Date Validation" error="A date in July needs be entered  in order for this expense to be added to the Summary sheet." sqref="B5:B14 B16">
      <formula1>MONTH($B5)=7</formula1>
    </dataValidation>
    <dataValidation type="list" errorStyle="warning" allowBlank="1" showInputMessage="1" showErrorMessage="1" errorTitle="Unknown Category" error="An expense from the drop down should be selected in order for it to be included on the Summary sheet." sqref="E5:F14 E16:F16 E20:F32 E38:F53 E60:F71 E76:F85 E91:F96 E102:F109 E115:E125 E131:F143 E149:F159 E165:F176 E182:F192">
      <formula1>ExpenseCategories</formula1>
    </dataValidation>
    <dataValidation type="custom" errorStyle="warning" allowBlank="1" showInputMessage="1" showErrorMessage="1" errorTitle="Date Validation" error="A date in August needs be entered  in order for this expense to be added to the Summary sheet." sqref="B20:B32">
      <formula1>MONTH($B20)=8</formula1>
    </dataValidation>
    <dataValidation type="custom" errorStyle="warning" allowBlank="1" showInputMessage="1" showErrorMessage="1" errorTitle="Date Validation" error="A date in September needs be entered  in order for this expense to be added to the Summary sheet." sqref="B38:B53">
      <formula1>MONTH($B38)=9</formula1>
    </dataValidation>
    <dataValidation type="custom" errorStyle="warning" allowBlank="1" showInputMessage="1" showErrorMessage="1" errorTitle="Date Validation" error="A date in November needs be entered  in order for this expense to be added to the Summary sheet." sqref="B76:B85">
      <formula1>MONTH($B76)=11</formula1>
    </dataValidation>
    <dataValidation type="custom" errorStyle="warning" allowBlank="1" showInputMessage="1" showErrorMessage="1" errorTitle="Date Validation" error="A date in December needs be entered  in order for this expense to be added to the Summary sheet." sqref="B91:B96">
      <formula1>MONTH($B91)=12</formula1>
    </dataValidation>
    <dataValidation type="custom" errorStyle="warning" allowBlank="1" showInputMessage="1" showErrorMessage="1" errorTitle="Date Validation" error="A date in January needs be entered in order for this expense to be added to the Summary sheet." sqref="B102:B109">
      <formula1>MONTH($B102)=1</formula1>
    </dataValidation>
    <dataValidation type="custom" errorStyle="warning" allowBlank="1" showInputMessage="1" showErrorMessage="1" errorTitle="Date Validation" error="A date in February needs be entered in order for this expense to be added to the Summary sheet." sqref="B115:B125">
      <formula1>MONTH($B115)=2</formula1>
    </dataValidation>
    <dataValidation type="custom" errorStyle="warning" allowBlank="1" showInputMessage="1" showErrorMessage="1" errorTitle="Date Validation" error="A date in March needs be entered in order for this expense to be added to the Summary sheet." sqref="B131:B143">
      <formula1>MONTH($B131)=3</formula1>
    </dataValidation>
    <dataValidation type="custom" errorStyle="warning" allowBlank="1" showInputMessage="1" showErrorMessage="1" errorTitle="Date Validation" error="A date in April needs be entered  in order for this expense to be added to the Summary sheet." sqref="B149:B159">
      <formula1>MONTH($B149)=4</formula1>
    </dataValidation>
    <dataValidation type="custom" errorStyle="warning" allowBlank="1" showInputMessage="1" showErrorMessage="1" errorTitle="Date Validation" error="A date in May needs be entered  in order for this expense to be added to the Summary sheet." sqref="B165:B176">
      <formula1>MONTH($B165)=5</formula1>
    </dataValidation>
    <dataValidation type="custom" errorStyle="warning" allowBlank="1" showInputMessage="1" showErrorMessage="1" errorTitle="Date Validation" error="A date in June needs be entered  in order for this expense to be added to the Summary sheet." sqref="B182:B192">
      <formula1>MONTH($B182)=6</formula1>
    </dataValidation>
    <dataValidation type="custom" errorStyle="warning" allowBlank="1" showInputMessage="1" showErrorMessage="1" errorTitle="Date Validation" error="A date in October needs be entered  in order for this expense to be added to the Summary sheet." sqref="B60:B71">
      <formula1>MONTH($B60)=10</formula1>
    </dataValidation>
  </dataValidations>
  <printOptions horizontalCentered="1"/>
  <pageMargins left="0.25" right="0.25" top="0.75" bottom="0.75" header="0.3" footer="0.3"/>
  <pageSetup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80"/>
  <sheetViews>
    <sheetView topLeftCell="A28" workbookViewId="0">
      <selection activeCell="H43" sqref="A1:XFD1048576"/>
    </sheetView>
  </sheetViews>
  <sheetFormatPr defaultColWidth="9.140625" defaultRowHeight="12.75"/>
  <cols>
    <col min="1" max="1" width="16.140625" style="260" customWidth="1"/>
    <col min="2" max="2" width="13.42578125" style="260" customWidth="1"/>
    <col min="3" max="3" width="11.42578125" style="260" customWidth="1"/>
    <col min="4" max="4" width="14" style="260" customWidth="1"/>
    <col min="5" max="5" width="14.140625" style="260" customWidth="1"/>
    <col min="6" max="6" width="12.7109375" style="260" customWidth="1"/>
    <col min="7" max="7" width="13.28515625" style="260" customWidth="1"/>
    <col min="8" max="16384" width="9.140625" style="260"/>
  </cols>
  <sheetData>
    <row r="1" spans="1:7" ht="13.5" customHeight="1">
      <c r="A1" s="278" t="s">
        <v>155</v>
      </c>
      <c r="B1" s="279" t="s">
        <v>154</v>
      </c>
      <c r="C1" s="280"/>
      <c r="D1" s="279" t="s">
        <v>153</v>
      </c>
      <c r="E1" s="280"/>
      <c r="F1" s="279" t="s">
        <v>152</v>
      </c>
      <c r="G1" s="280"/>
    </row>
    <row r="2" spans="1:7">
      <c r="A2" s="516"/>
      <c r="B2" s="517"/>
      <c r="C2" s="361"/>
      <c r="D2" s="518" t="s">
        <v>1200</v>
      </c>
      <c r="E2" s="352">
        <v>4987</v>
      </c>
      <c r="F2" s="519"/>
      <c r="G2" s="520"/>
    </row>
    <row r="3" spans="1:7">
      <c r="A3" s="516">
        <v>7462</v>
      </c>
      <c r="B3" s="354" t="str">
        <f t="shared" ref="B3:B14" si="0">D2</f>
        <v>2.8.13</v>
      </c>
      <c r="C3" s="355">
        <v>4987</v>
      </c>
      <c r="D3" s="521" t="s">
        <v>1199</v>
      </c>
      <c r="E3" s="357">
        <v>10124</v>
      </c>
      <c r="F3" s="358">
        <f t="shared" ref="F3:F39" si="1">SUM(E3-E2)</f>
        <v>5137</v>
      </c>
      <c r="G3" s="359" t="b">
        <f t="shared" ref="G3:G39" si="2">IF(F3&gt;5250,"OVER")</f>
        <v>0</v>
      </c>
    </row>
    <row r="4" spans="1:7">
      <c r="A4" s="516">
        <v>7521</v>
      </c>
      <c r="B4" s="354" t="str">
        <f t="shared" si="0"/>
        <v>3.26.13</v>
      </c>
      <c r="C4" s="355">
        <v>10124</v>
      </c>
      <c r="D4" s="521" t="s">
        <v>1198</v>
      </c>
      <c r="E4" s="357">
        <v>15164</v>
      </c>
      <c r="F4" s="358">
        <f t="shared" si="1"/>
        <v>5040</v>
      </c>
      <c r="G4" s="359" t="b">
        <f t="shared" si="2"/>
        <v>0</v>
      </c>
    </row>
    <row r="5" spans="1:7">
      <c r="A5" s="516">
        <v>7574</v>
      </c>
      <c r="B5" s="354" t="str">
        <f t="shared" si="0"/>
        <v>5.8.13</v>
      </c>
      <c r="C5" s="355">
        <v>15164</v>
      </c>
      <c r="D5" s="521" t="s">
        <v>1197</v>
      </c>
      <c r="E5" s="357">
        <v>19943</v>
      </c>
      <c r="F5" s="358">
        <f t="shared" si="1"/>
        <v>4779</v>
      </c>
      <c r="G5" s="359" t="b">
        <f t="shared" si="2"/>
        <v>0</v>
      </c>
    </row>
    <row r="6" spans="1:7">
      <c r="A6" s="516">
        <v>7641</v>
      </c>
      <c r="B6" s="354" t="str">
        <f t="shared" si="0"/>
        <v>6.24.13</v>
      </c>
      <c r="C6" s="355">
        <v>19943</v>
      </c>
      <c r="D6" s="521" t="s">
        <v>1196</v>
      </c>
      <c r="E6" s="357">
        <v>24964</v>
      </c>
      <c r="F6" s="358">
        <f t="shared" si="1"/>
        <v>5021</v>
      </c>
      <c r="G6" s="359" t="b">
        <f t="shared" si="2"/>
        <v>0</v>
      </c>
    </row>
    <row r="7" spans="1:7">
      <c r="A7" s="516">
        <v>7754</v>
      </c>
      <c r="B7" s="354" t="str">
        <f t="shared" si="0"/>
        <v>8.15.13</v>
      </c>
      <c r="C7" s="355">
        <v>24964</v>
      </c>
      <c r="D7" s="521" t="s">
        <v>1195</v>
      </c>
      <c r="E7" s="357">
        <v>30062</v>
      </c>
      <c r="F7" s="358">
        <f t="shared" si="1"/>
        <v>5098</v>
      </c>
      <c r="G7" s="359" t="b">
        <f t="shared" si="2"/>
        <v>0</v>
      </c>
    </row>
    <row r="8" spans="1:7">
      <c r="A8" s="516">
        <v>7858</v>
      </c>
      <c r="B8" s="354" t="str">
        <f t="shared" si="0"/>
        <v>10.4.13</v>
      </c>
      <c r="C8" s="355">
        <v>30062</v>
      </c>
      <c r="D8" s="521" t="s">
        <v>1194</v>
      </c>
      <c r="E8" s="357">
        <v>34928</v>
      </c>
      <c r="F8" s="358">
        <f t="shared" si="1"/>
        <v>4866</v>
      </c>
      <c r="G8" s="359" t="b">
        <f t="shared" si="2"/>
        <v>0</v>
      </c>
    </row>
    <row r="9" spans="1:7">
      <c r="A9" s="516">
        <v>7956</v>
      </c>
      <c r="B9" s="354" t="str">
        <f t="shared" si="0"/>
        <v>11.15.13</v>
      </c>
      <c r="C9" s="355">
        <v>34928</v>
      </c>
      <c r="D9" s="521" t="s">
        <v>1193</v>
      </c>
      <c r="E9" s="357">
        <v>39916</v>
      </c>
      <c r="F9" s="358">
        <f t="shared" si="1"/>
        <v>4988</v>
      </c>
      <c r="G9" s="359" t="b">
        <f t="shared" si="2"/>
        <v>0</v>
      </c>
    </row>
    <row r="10" spans="1:7">
      <c r="A10" s="516">
        <v>8063</v>
      </c>
      <c r="B10" s="354" t="str">
        <f t="shared" si="0"/>
        <v>1.6.14</v>
      </c>
      <c r="C10" s="355">
        <v>39926</v>
      </c>
      <c r="D10" s="521" t="s">
        <v>1192</v>
      </c>
      <c r="E10" s="357">
        <v>44988</v>
      </c>
      <c r="F10" s="358">
        <f t="shared" si="1"/>
        <v>5072</v>
      </c>
      <c r="G10" s="359" t="b">
        <f t="shared" si="2"/>
        <v>0</v>
      </c>
    </row>
    <row r="11" spans="1:7">
      <c r="A11" s="516">
        <v>8148</v>
      </c>
      <c r="B11" s="354" t="str">
        <f t="shared" si="0"/>
        <v>2.17.14</v>
      </c>
      <c r="C11" s="355">
        <v>44988</v>
      </c>
      <c r="D11" s="521" t="s">
        <v>1191</v>
      </c>
      <c r="E11" s="357">
        <v>49975</v>
      </c>
      <c r="F11" s="358">
        <f t="shared" si="1"/>
        <v>4987</v>
      </c>
      <c r="G11" s="359" t="b">
        <f t="shared" si="2"/>
        <v>0</v>
      </c>
    </row>
    <row r="12" spans="1:7">
      <c r="A12" s="516">
        <v>8239</v>
      </c>
      <c r="B12" s="354" t="str">
        <f t="shared" si="0"/>
        <v>3.28.14</v>
      </c>
      <c r="C12" s="355">
        <v>49975</v>
      </c>
      <c r="D12" s="521" t="s">
        <v>346</v>
      </c>
      <c r="E12" s="357">
        <v>54948</v>
      </c>
      <c r="F12" s="358">
        <f t="shared" si="1"/>
        <v>4973</v>
      </c>
      <c r="G12" s="359" t="b">
        <f t="shared" si="2"/>
        <v>0</v>
      </c>
    </row>
    <row r="13" spans="1:7">
      <c r="A13" s="516">
        <v>8345</v>
      </c>
      <c r="B13" s="354" t="str">
        <f t="shared" si="0"/>
        <v>5.19.14</v>
      </c>
      <c r="C13" s="355">
        <v>54948</v>
      </c>
      <c r="D13" s="521" t="s">
        <v>1190</v>
      </c>
      <c r="E13" s="357">
        <v>59998</v>
      </c>
      <c r="F13" s="358">
        <f t="shared" si="1"/>
        <v>5050</v>
      </c>
      <c r="G13" s="359" t="b">
        <f t="shared" si="2"/>
        <v>0</v>
      </c>
    </row>
    <row r="14" spans="1:7">
      <c r="A14" s="516">
        <v>8439</v>
      </c>
      <c r="B14" s="354" t="str">
        <f t="shared" si="0"/>
        <v>6.25.14</v>
      </c>
      <c r="C14" s="355">
        <v>59998</v>
      </c>
      <c r="D14" s="521" t="s">
        <v>821</v>
      </c>
      <c r="E14" s="357">
        <v>64916</v>
      </c>
      <c r="F14" s="358">
        <f t="shared" si="1"/>
        <v>4918</v>
      </c>
      <c r="G14" s="359" t="b">
        <f t="shared" si="2"/>
        <v>0</v>
      </c>
    </row>
    <row r="15" spans="1:7">
      <c r="A15" s="516"/>
      <c r="B15" s="354" t="s">
        <v>821</v>
      </c>
      <c r="C15" s="355">
        <v>64916</v>
      </c>
      <c r="D15" s="521" t="s">
        <v>1189</v>
      </c>
      <c r="E15" s="538">
        <v>69954</v>
      </c>
      <c r="F15" s="358">
        <f t="shared" si="1"/>
        <v>5038</v>
      </c>
      <c r="G15" s="359" t="b">
        <f t="shared" si="2"/>
        <v>0</v>
      </c>
    </row>
    <row r="16" spans="1:7">
      <c r="A16" s="516">
        <v>8555</v>
      </c>
      <c r="B16" s="354" t="s">
        <v>1189</v>
      </c>
      <c r="C16" s="361">
        <v>69954</v>
      </c>
      <c r="D16" s="522" t="s">
        <v>1188</v>
      </c>
      <c r="E16" s="363">
        <v>74967</v>
      </c>
      <c r="F16" s="358">
        <f t="shared" si="1"/>
        <v>5013</v>
      </c>
      <c r="G16" s="359" t="b">
        <f t="shared" si="2"/>
        <v>0</v>
      </c>
    </row>
    <row r="17" spans="1:7" ht="13.5" thickBot="1">
      <c r="A17" s="523">
        <v>8700</v>
      </c>
      <c r="B17" s="354" t="str">
        <f>D16</f>
        <v>10.28.14</v>
      </c>
      <c r="C17" s="365">
        <v>74967</v>
      </c>
      <c r="D17" s="524" t="s">
        <v>1187</v>
      </c>
      <c r="E17" s="367">
        <v>80030</v>
      </c>
      <c r="F17" s="358">
        <f t="shared" si="1"/>
        <v>5063</v>
      </c>
      <c r="G17" s="359" t="b">
        <f t="shared" si="2"/>
        <v>0</v>
      </c>
    </row>
    <row r="18" spans="1:7" ht="13.5" thickBot="1">
      <c r="A18" s="525">
        <v>8784</v>
      </c>
      <c r="B18" s="354" t="str">
        <f>D17</f>
        <v>12.3.14</v>
      </c>
      <c r="C18" s="370">
        <v>80030</v>
      </c>
      <c r="D18" s="526" t="s">
        <v>1186</v>
      </c>
      <c r="E18" s="372">
        <v>85039</v>
      </c>
      <c r="F18" s="358">
        <f t="shared" si="1"/>
        <v>5009</v>
      </c>
      <c r="G18" s="359" t="b">
        <f t="shared" si="2"/>
        <v>0</v>
      </c>
    </row>
    <row r="19" spans="1:7">
      <c r="A19" s="527">
        <v>8881</v>
      </c>
      <c r="B19" s="354" t="str">
        <f>D18</f>
        <v>1.14.15</v>
      </c>
      <c r="C19" s="375">
        <v>85039</v>
      </c>
      <c r="D19" s="528" t="s">
        <v>942</v>
      </c>
      <c r="E19" s="377">
        <v>89991</v>
      </c>
      <c r="F19" s="358">
        <f t="shared" si="1"/>
        <v>4952</v>
      </c>
      <c r="G19" s="359" t="b">
        <f t="shared" si="2"/>
        <v>0</v>
      </c>
    </row>
    <row r="20" spans="1:7">
      <c r="A20" s="516">
        <v>8956</v>
      </c>
      <c r="B20" s="354" t="s">
        <v>942</v>
      </c>
      <c r="C20" s="355">
        <v>89991</v>
      </c>
      <c r="D20" s="521" t="s">
        <v>1185</v>
      </c>
      <c r="E20" s="357">
        <v>95029</v>
      </c>
      <c r="F20" s="358">
        <f t="shared" si="1"/>
        <v>5038</v>
      </c>
      <c r="G20" s="359" t="b">
        <f t="shared" si="2"/>
        <v>0</v>
      </c>
    </row>
    <row r="21" spans="1:7">
      <c r="A21" s="516">
        <v>9035</v>
      </c>
      <c r="B21" s="354" t="str">
        <f t="shared" ref="B21:B39" si="3">D20</f>
        <v>3.28.15</v>
      </c>
      <c r="C21" s="355">
        <v>95029</v>
      </c>
      <c r="D21" s="521" t="s">
        <v>1038</v>
      </c>
      <c r="E21" s="357">
        <v>100038</v>
      </c>
      <c r="F21" s="358">
        <f t="shared" si="1"/>
        <v>5009</v>
      </c>
      <c r="G21" s="359" t="b">
        <f t="shared" si="2"/>
        <v>0</v>
      </c>
    </row>
    <row r="22" spans="1:7">
      <c r="A22" s="516">
        <v>9114</v>
      </c>
      <c r="B22" s="354" t="str">
        <f t="shared" si="3"/>
        <v>5.12.15</v>
      </c>
      <c r="C22" s="355">
        <v>100038</v>
      </c>
      <c r="D22" s="521" t="s">
        <v>1184</v>
      </c>
      <c r="E22" s="357">
        <v>104907</v>
      </c>
      <c r="F22" s="358">
        <f t="shared" si="1"/>
        <v>4869</v>
      </c>
      <c r="G22" s="359" t="b">
        <f t="shared" si="2"/>
        <v>0</v>
      </c>
    </row>
    <row r="23" spans="1:7">
      <c r="A23" s="516">
        <v>9231</v>
      </c>
      <c r="B23" s="354" t="str">
        <f t="shared" si="3"/>
        <v>7.8.15</v>
      </c>
      <c r="C23" s="355">
        <v>104907</v>
      </c>
      <c r="D23" s="521" t="s">
        <v>1183</v>
      </c>
      <c r="E23" s="357">
        <v>110002</v>
      </c>
      <c r="F23" s="358">
        <f t="shared" si="1"/>
        <v>5095</v>
      </c>
      <c r="G23" s="359" t="b">
        <f t="shared" si="2"/>
        <v>0</v>
      </c>
    </row>
    <row r="24" spans="1:7">
      <c r="A24" s="516">
        <v>9316</v>
      </c>
      <c r="B24" s="354" t="str">
        <f t="shared" si="3"/>
        <v>8.29.15</v>
      </c>
      <c r="C24" s="355">
        <v>110002</v>
      </c>
      <c r="D24" s="521" t="s">
        <v>469</v>
      </c>
      <c r="E24" s="357">
        <v>114922</v>
      </c>
      <c r="F24" s="358">
        <f t="shared" si="1"/>
        <v>4920</v>
      </c>
      <c r="G24" s="359" t="b">
        <f t="shared" si="2"/>
        <v>0</v>
      </c>
    </row>
    <row r="25" spans="1:7">
      <c r="A25" s="516">
        <v>9437</v>
      </c>
      <c r="B25" s="354" t="str">
        <f t="shared" si="3"/>
        <v>10.27.15</v>
      </c>
      <c r="C25" s="355">
        <v>114922</v>
      </c>
      <c r="D25" s="521">
        <v>12.121499999999999</v>
      </c>
      <c r="E25" s="357">
        <v>119916</v>
      </c>
      <c r="F25" s="358">
        <f t="shared" si="1"/>
        <v>4994</v>
      </c>
      <c r="G25" s="359" t="b">
        <f t="shared" si="2"/>
        <v>0</v>
      </c>
    </row>
    <row r="26" spans="1:7">
      <c r="A26" s="516">
        <v>9428</v>
      </c>
      <c r="B26" s="354">
        <f t="shared" si="3"/>
        <v>12.121499999999999</v>
      </c>
      <c r="C26" s="355">
        <v>119916</v>
      </c>
      <c r="D26" s="521" t="s">
        <v>1182</v>
      </c>
      <c r="E26" s="357">
        <v>124958</v>
      </c>
      <c r="F26" s="358">
        <f t="shared" si="1"/>
        <v>5042</v>
      </c>
      <c r="G26" s="359" t="b">
        <f t="shared" si="2"/>
        <v>0</v>
      </c>
    </row>
    <row r="27" spans="1:7">
      <c r="A27" s="516">
        <v>9619</v>
      </c>
      <c r="B27" s="354" t="str">
        <f t="shared" si="3"/>
        <v>1.28.16</v>
      </c>
      <c r="C27" s="355">
        <v>124958</v>
      </c>
      <c r="D27" s="521" t="s">
        <v>1181</v>
      </c>
      <c r="E27" s="357">
        <v>130022</v>
      </c>
      <c r="F27" s="358">
        <f t="shared" si="1"/>
        <v>5064</v>
      </c>
      <c r="G27" s="359" t="b">
        <f t="shared" si="2"/>
        <v>0</v>
      </c>
    </row>
    <row r="28" spans="1:7">
      <c r="A28" s="516">
        <v>9694</v>
      </c>
      <c r="B28" s="354" t="str">
        <f t="shared" si="3"/>
        <v>3.10.16</v>
      </c>
      <c r="C28" s="355">
        <v>130022</v>
      </c>
      <c r="D28" s="521" t="s">
        <v>809</v>
      </c>
      <c r="E28" s="357">
        <v>135067</v>
      </c>
      <c r="F28" s="358">
        <f t="shared" si="1"/>
        <v>5045</v>
      </c>
      <c r="G28" s="359" t="b">
        <f t="shared" si="2"/>
        <v>0</v>
      </c>
    </row>
    <row r="29" spans="1:7">
      <c r="A29" s="516">
        <v>9772</v>
      </c>
      <c r="B29" s="354" t="str">
        <f t="shared" si="3"/>
        <v>4.21.16</v>
      </c>
      <c r="C29" s="355">
        <v>135067</v>
      </c>
      <c r="D29" s="521" t="s">
        <v>1180</v>
      </c>
      <c r="E29" s="357">
        <v>140011</v>
      </c>
      <c r="F29" s="358">
        <f t="shared" si="1"/>
        <v>4944</v>
      </c>
      <c r="G29" s="359" t="b">
        <f t="shared" si="2"/>
        <v>0</v>
      </c>
    </row>
    <row r="30" spans="1:7">
      <c r="A30" s="516">
        <v>9866</v>
      </c>
      <c r="B30" s="354" t="str">
        <f t="shared" si="3"/>
        <v>6.20.16</v>
      </c>
      <c r="C30" s="355">
        <v>140011</v>
      </c>
      <c r="D30" s="521" t="s">
        <v>1179</v>
      </c>
      <c r="E30" s="357">
        <v>145310</v>
      </c>
      <c r="F30" s="358">
        <f t="shared" si="1"/>
        <v>5299</v>
      </c>
      <c r="G30" s="360" t="str">
        <f t="shared" si="2"/>
        <v>OVER</v>
      </c>
    </row>
    <row r="31" spans="1:7">
      <c r="A31" s="516">
        <v>9973</v>
      </c>
      <c r="B31" s="354" t="str">
        <f t="shared" si="3"/>
        <v>8.15.16</v>
      </c>
      <c r="C31" s="355">
        <v>145310</v>
      </c>
      <c r="D31" s="521" t="s">
        <v>696</v>
      </c>
      <c r="E31" s="357">
        <v>150224</v>
      </c>
      <c r="F31" s="358">
        <f t="shared" si="1"/>
        <v>4914</v>
      </c>
      <c r="G31" s="359" t="b">
        <f t="shared" si="2"/>
        <v>0</v>
      </c>
    </row>
    <row r="32" spans="1:7">
      <c r="A32" s="516">
        <v>10089</v>
      </c>
      <c r="B32" s="354" t="str">
        <f t="shared" si="3"/>
        <v>10.11.16</v>
      </c>
      <c r="C32" s="355">
        <v>150224</v>
      </c>
      <c r="D32" s="521" t="s">
        <v>1178</v>
      </c>
      <c r="E32" s="357">
        <v>155097</v>
      </c>
      <c r="F32" s="358">
        <f t="shared" si="1"/>
        <v>4873</v>
      </c>
      <c r="G32" s="359" t="b">
        <f t="shared" si="2"/>
        <v>0</v>
      </c>
    </row>
    <row r="33" spans="1:7">
      <c r="A33" s="516">
        <v>10155</v>
      </c>
      <c r="B33" s="354" t="str">
        <f t="shared" si="3"/>
        <v>11.18.16</v>
      </c>
      <c r="C33" s="355">
        <v>155097</v>
      </c>
      <c r="D33" s="521" t="s">
        <v>927</v>
      </c>
      <c r="E33" s="357">
        <v>159974</v>
      </c>
      <c r="F33" s="358">
        <f t="shared" si="1"/>
        <v>4877</v>
      </c>
      <c r="G33" s="359" t="b">
        <f t="shared" si="2"/>
        <v>0</v>
      </c>
    </row>
    <row r="34" spans="1:7">
      <c r="A34" s="516">
        <v>10280</v>
      </c>
      <c r="B34" s="354" t="str">
        <f t="shared" si="3"/>
        <v>2.2.17</v>
      </c>
      <c r="C34" s="355">
        <v>159974</v>
      </c>
      <c r="D34" s="521" t="s">
        <v>1177</v>
      </c>
      <c r="E34" s="357">
        <v>164975</v>
      </c>
      <c r="F34" s="358">
        <f t="shared" si="1"/>
        <v>5001</v>
      </c>
      <c r="G34" s="359" t="b">
        <f t="shared" si="2"/>
        <v>0</v>
      </c>
    </row>
    <row r="35" spans="1:7">
      <c r="A35" s="516">
        <v>10371</v>
      </c>
      <c r="B35" s="354" t="str">
        <f t="shared" si="3"/>
        <v>3.24.17</v>
      </c>
      <c r="C35" s="355">
        <v>164975</v>
      </c>
      <c r="D35" s="521" t="s">
        <v>127</v>
      </c>
      <c r="E35" s="357">
        <v>169914</v>
      </c>
      <c r="F35" s="358">
        <f t="shared" si="1"/>
        <v>4939</v>
      </c>
      <c r="G35" s="359" t="b">
        <f t="shared" si="2"/>
        <v>0</v>
      </c>
    </row>
    <row r="36" spans="1:7">
      <c r="A36" s="516">
        <v>10504</v>
      </c>
      <c r="B36" s="354" t="str">
        <f t="shared" si="3"/>
        <v>5.26.17</v>
      </c>
      <c r="C36" s="355">
        <v>169914</v>
      </c>
      <c r="D36" s="521" t="s">
        <v>1176</v>
      </c>
      <c r="E36" s="357">
        <v>174853</v>
      </c>
      <c r="F36" s="358">
        <f t="shared" si="1"/>
        <v>4939</v>
      </c>
      <c r="G36" s="359" t="b">
        <f t="shared" si="2"/>
        <v>0</v>
      </c>
    </row>
    <row r="37" spans="1:7">
      <c r="A37" s="516">
        <v>10633</v>
      </c>
      <c r="B37" s="354" t="str">
        <f t="shared" si="3"/>
        <v>7.13.17</v>
      </c>
      <c r="C37" s="355">
        <v>174853</v>
      </c>
      <c r="D37" s="521" t="s">
        <v>1175</v>
      </c>
      <c r="E37" s="357">
        <v>179863</v>
      </c>
      <c r="F37" s="358">
        <f t="shared" si="1"/>
        <v>5010</v>
      </c>
      <c r="G37" s="359" t="b">
        <f t="shared" si="2"/>
        <v>0</v>
      </c>
    </row>
    <row r="38" spans="1:7">
      <c r="A38" s="516">
        <v>10764</v>
      </c>
      <c r="B38" s="354" t="str">
        <f t="shared" si="3"/>
        <v>9.1.17</v>
      </c>
      <c r="C38" s="355">
        <v>179863</v>
      </c>
      <c r="D38" s="521" t="s">
        <v>1669</v>
      </c>
      <c r="E38" s="357">
        <v>184537</v>
      </c>
      <c r="F38" s="358">
        <f t="shared" si="1"/>
        <v>4674</v>
      </c>
      <c r="G38" s="359" t="b">
        <f t="shared" si="2"/>
        <v>0</v>
      </c>
    </row>
    <row r="39" spans="1:7">
      <c r="A39" s="516">
        <v>10859</v>
      </c>
      <c r="B39" s="354" t="str">
        <f t="shared" si="3"/>
        <v>10.11.17</v>
      </c>
      <c r="C39" s="355">
        <v>184537</v>
      </c>
      <c r="D39" s="521"/>
      <c r="E39" s="357"/>
      <c r="F39" s="358">
        <f t="shared" si="1"/>
        <v>-184537</v>
      </c>
      <c r="G39" s="359" t="b">
        <f t="shared" si="2"/>
        <v>0</v>
      </c>
    </row>
    <row r="41" spans="1:7" ht="13.5" thickBot="1">
      <c r="A41" s="504" t="s">
        <v>836</v>
      </c>
    </row>
    <row r="42" spans="1:7">
      <c r="A42" s="278" t="s">
        <v>155</v>
      </c>
      <c r="B42" s="279" t="s">
        <v>154</v>
      </c>
      <c r="C42" s="280"/>
      <c r="D42" s="279" t="s">
        <v>153</v>
      </c>
      <c r="E42" s="280"/>
      <c r="F42" s="279" t="s">
        <v>152</v>
      </c>
      <c r="G42" s="280"/>
    </row>
    <row r="43" spans="1:7">
      <c r="A43" s="516"/>
      <c r="B43" s="517"/>
      <c r="C43" s="361"/>
      <c r="D43" s="518"/>
      <c r="E43" s="352"/>
      <c r="F43" s="519"/>
      <c r="G43" s="520"/>
    </row>
    <row r="44" spans="1:7">
      <c r="A44" s="516"/>
      <c r="B44" s="354">
        <f t="shared" ref="B44:B55" si="4">D43</f>
        <v>0</v>
      </c>
      <c r="C44" s="355"/>
      <c r="D44" s="521"/>
      <c r="E44" s="357"/>
      <c r="F44" s="358">
        <f t="shared" ref="F44:F80" si="5">SUM(E44-E43)</f>
        <v>0</v>
      </c>
      <c r="G44" s="359" t="b">
        <f t="shared" ref="G44:G80" si="6">IF(F44&gt;5250,"OVER")</f>
        <v>0</v>
      </c>
    </row>
    <row r="45" spans="1:7">
      <c r="A45" s="516"/>
      <c r="B45" s="354">
        <f t="shared" si="4"/>
        <v>0</v>
      </c>
      <c r="C45" s="355"/>
      <c r="D45" s="521"/>
      <c r="E45" s="357"/>
      <c r="F45" s="358">
        <f t="shared" si="5"/>
        <v>0</v>
      </c>
      <c r="G45" s="359" t="b">
        <f t="shared" si="6"/>
        <v>0</v>
      </c>
    </row>
    <row r="46" spans="1:7">
      <c r="A46" s="516"/>
      <c r="B46" s="354">
        <f t="shared" si="4"/>
        <v>0</v>
      </c>
      <c r="C46" s="355"/>
      <c r="D46" s="521"/>
      <c r="E46" s="357"/>
      <c r="F46" s="358">
        <f t="shared" si="5"/>
        <v>0</v>
      </c>
      <c r="G46" s="359" t="b">
        <f t="shared" si="6"/>
        <v>0</v>
      </c>
    </row>
    <row r="47" spans="1:7">
      <c r="A47" s="516"/>
      <c r="B47" s="354">
        <f t="shared" si="4"/>
        <v>0</v>
      </c>
      <c r="C47" s="355"/>
      <c r="D47" s="521"/>
      <c r="E47" s="357"/>
      <c r="F47" s="358">
        <f t="shared" si="5"/>
        <v>0</v>
      </c>
      <c r="G47" s="359" t="b">
        <f t="shared" si="6"/>
        <v>0</v>
      </c>
    </row>
    <row r="48" spans="1:7">
      <c r="A48" s="516"/>
      <c r="B48" s="354">
        <f t="shared" si="4"/>
        <v>0</v>
      </c>
      <c r="C48" s="355"/>
      <c r="D48" s="521"/>
      <c r="E48" s="357"/>
      <c r="F48" s="358">
        <f t="shared" si="5"/>
        <v>0</v>
      </c>
      <c r="G48" s="359" t="b">
        <f t="shared" si="6"/>
        <v>0</v>
      </c>
    </row>
    <row r="49" spans="1:7">
      <c r="A49" s="516"/>
      <c r="B49" s="354">
        <f t="shared" si="4"/>
        <v>0</v>
      </c>
      <c r="C49" s="355"/>
      <c r="D49" s="521"/>
      <c r="E49" s="357"/>
      <c r="F49" s="358">
        <f t="shared" si="5"/>
        <v>0</v>
      </c>
      <c r="G49" s="359" t="b">
        <f t="shared" si="6"/>
        <v>0</v>
      </c>
    </row>
    <row r="50" spans="1:7">
      <c r="A50" s="516"/>
      <c r="B50" s="354">
        <f t="shared" si="4"/>
        <v>0</v>
      </c>
      <c r="C50" s="355"/>
      <c r="D50" s="521"/>
      <c r="E50" s="357"/>
      <c r="F50" s="358">
        <f t="shared" si="5"/>
        <v>0</v>
      </c>
      <c r="G50" s="359" t="b">
        <f t="shared" si="6"/>
        <v>0</v>
      </c>
    </row>
    <row r="51" spans="1:7">
      <c r="A51" s="516"/>
      <c r="B51" s="354">
        <f t="shared" si="4"/>
        <v>0</v>
      </c>
      <c r="C51" s="355"/>
      <c r="D51" s="521"/>
      <c r="E51" s="357"/>
      <c r="F51" s="358">
        <f t="shared" si="5"/>
        <v>0</v>
      </c>
      <c r="G51" s="359" t="b">
        <f t="shared" si="6"/>
        <v>0</v>
      </c>
    </row>
    <row r="52" spans="1:7">
      <c r="A52" s="516"/>
      <c r="B52" s="354">
        <f t="shared" si="4"/>
        <v>0</v>
      </c>
      <c r="C52" s="355"/>
      <c r="D52" s="521"/>
      <c r="E52" s="357"/>
      <c r="F52" s="358">
        <f t="shared" si="5"/>
        <v>0</v>
      </c>
      <c r="G52" s="359" t="b">
        <f t="shared" si="6"/>
        <v>0</v>
      </c>
    </row>
    <row r="53" spans="1:7">
      <c r="A53" s="516"/>
      <c r="B53" s="354">
        <f t="shared" si="4"/>
        <v>0</v>
      </c>
      <c r="C53" s="355"/>
      <c r="D53" s="521"/>
      <c r="E53" s="357"/>
      <c r="F53" s="358">
        <f t="shared" si="5"/>
        <v>0</v>
      </c>
      <c r="G53" s="359" t="b">
        <f t="shared" si="6"/>
        <v>0</v>
      </c>
    </row>
    <row r="54" spans="1:7">
      <c r="A54" s="516"/>
      <c r="B54" s="354">
        <f t="shared" si="4"/>
        <v>0</v>
      </c>
      <c r="C54" s="355"/>
      <c r="D54" s="521"/>
      <c r="E54" s="357"/>
      <c r="F54" s="358">
        <f t="shared" si="5"/>
        <v>0</v>
      </c>
      <c r="G54" s="359" t="b">
        <f t="shared" si="6"/>
        <v>0</v>
      </c>
    </row>
    <row r="55" spans="1:7">
      <c r="A55" s="516"/>
      <c r="B55" s="354">
        <f t="shared" si="4"/>
        <v>0</v>
      </c>
      <c r="C55" s="355"/>
      <c r="D55" s="521"/>
      <c r="E55" s="357"/>
      <c r="F55" s="358">
        <f t="shared" si="5"/>
        <v>0</v>
      </c>
      <c r="G55" s="359" t="b">
        <f t="shared" si="6"/>
        <v>0</v>
      </c>
    </row>
    <row r="56" spans="1:7">
      <c r="A56" s="516"/>
      <c r="B56" s="354" t="s">
        <v>821</v>
      </c>
      <c r="C56" s="355"/>
      <c r="D56" s="521"/>
      <c r="E56" s="538"/>
      <c r="F56" s="358">
        <f t="shared" si="5"/>
        <v>0</v>
      </c>
      <c r="G56" s="359" t="b">
        <f t="shared" si="6"/>
        <v>0</v>
      </c>
    </row>
    <row r="57" spans="1:7">
      <c r="A57" s="516"/>
      <c r="B57" s="354" t="s">
        <v>1189</v>
      </c>
      <c r="C57" s="361"/>
      <c r="D57" s="522"/>
      <c r="E57" s="363"/>
      <c r="F57" s="358">
        <f t="shared" si="5"/>
        <v>0</v>
      </c>
      <c r="G57" s="359" t="b">
        <f t="shared" si="6"/>
        <v>0</v>
      </c>
    </row>
    <row r="58" spans="1:7" ht="13.5" thickBot="1">
      <c r="A58" s="523"/>
      <c r="B58" s="354">
        <f>D57</f>
        <v>0</v>
      </c>
      <c r="C58" s="365"/>
      <c r="D58" s="524"/>
      <c r="E58" s="367"/>
      <c r="F58" s="358">
        <f t="shared" si="5"/>
        <v>0</v>
      </c>
      <c r="G58" s="359" t="b">
        <f t="shared" si="6"/>
        <v>0</v>
      </c>
    </row>
    <row r="59" spans="1:7" ht="13.5" thickBot="1">
      <c r="A59" s="525"/>
      <c r="B59" s="354">
        <f>D58</f>
        <v>0</v>
      </c>
      <c r="C59" s="370"/>
      <c r="D59" s="526"/>
      <c r="E59" s="372"/>
      <c r="F59" s="358">
        <f t="shared" si="5"/>
        <v>0</v>
      </c>
      <c r="G59" s="359" t="b">
        <f t="shared" si="6"/>
        <v>0</v>
      </c>
    </row>
    <row r="60" spans="1:7">
      <c r="A60" s="527"/>
      <c r="B60" s="354">
        <f>D59</f>
        <v>0</v>
      </c>
      <c r="C60" s="375"/>
      <c r="D60" s="528"/>
      <c r="E60" s="377"/>
      <c r="F60" s="358">
        <f t="shared" si="5"/>
        <v>0</v>
      </c>
      <c r="G60" s="359" t="b">
        <f t="shared" si="6"/>
        <v>0</v>
      </c>
    </row>
    <row r="61" spans="1:7">
      <c r="A61" s="516"/>
      <c r="B61" s="354" t="s">
        <v>942</v>
      </c>
      <c r="C61" s="355"/>
      <c r="D61" s="521"/>
      <c r="E61" s="357"/>
      <c r="F61" s="358">
        <f t="shared" si="5"/>
        <v>0</v>
      </c>
      <c r="G61" s="359" t="b">
        <f t="shared" si="6"/>
        <v>0</v>
      </c>
    </row>
    <row r="62" spans="1:7">
      <c r="A62" s="516"/>
      <c r="B62" s="354">
        <f t="shared" ref="B62:B80" si="7">D61</f>
        <v>0</v>
      </c>
      <c r="C62" s="355"/>
      <c r="D62" s="521"/>
      <c r="E62" s="357"/>
      <c r="F62" s="358">
        <f t="shared" si="5"/>
        <v>0</v>
      </c>
      <c r="G62" s="359" t="b">
        <f t="shared" si="6"/>
        <v>0</v>
      </c>
    </row>
    <row r="63" spans="1:7">
      <c r="A63" s="516"/>
      <c r="B63" s="354">
        <f t="shared" si="7"/>
        <v>0</v>
      </c>
      <c r="C63" s="355"/>
      <c r="D63" s="521"/>
      <c r="E63" s="357"/>
      <c r="F63" s="358">
        <f t="shared" si="5"/>
        <v>0</v>
      </c>
      <c r="G63" s="359" t="b">
        <f t="shared" si="6"/>
        <v>0</v>
      </c>
    </row>
    <row r="64" spans="1:7">
      <c r="A64" s="516"/>
      <c r="B64" s="354">
        <f t="shared" si="7"/>
        <v>0</v>
      </c>
      <c r="C64" s="355"/>
      <c r="D64" s="521"/>
      <c r="E64" s="357"/>
      <c r="F64" s="358">
        <f t="shared" si="5"/>
        <v>0</v>
      </c>
      <c r="G64" s="359" t="b">
        <f t="shared" si="6"/>
        <v>0</v>
      </c>
    </row>
    <row r="65" spans="1:7">
      <c r="A65" s="516"/>
      <c r="B65" s="354">
        <f t="shared" si="7"/>
        <v>0</v>
      </c>
      <c r="C65" s="355"/>
      <c r="D65" s="521"/>
      <c r="E65" s="357"/>
      <c r="F65" s="358">
        <f t="shared" si="5"/>
        <v>0</v>
      </c>
      <c r="G65" s="359" t="b">
        <f t="shared" si="6"/>
        <v>0</v>
      </c>
    </row>
    <row r="66" spans="1:7">
      <c r="A66" s="516"/>
      <c r="B66" s="354">
        <f t="shared" si="7"/>
        <v>0</v>
      </c>
      <c r="C66" s="355"/>
      <c r="D66" s="521"/>
      <c r="E66" s="357"/>
      <c r="F66" s="358">
        <f t="shared" si="5"/>
        <v>0</v>
      </c>
      <c r="G66" s="359" t="b">
        <f t="shared" si="6"/>
        <v>0</v>
      </c>
    </row>
    <row r="67" spans="1:7">
      <c r="A67" s="516"/>
      <c r="B67" s="354">
        <f t="shared" si="7"/>
        <v>0</v>
      </c>
      <c r="C67" s="355"/>
      <c r="D67" s="521"/>
      <c r="E67" s="357"/>
      <c r="F67" s="358">
        <f t="shared" si="5"/>
        <v>0</v>
      </c>
      <c r="G67" s="359" t="b">
        <f t="shared" si="6"/>
        <v>0</v>
      </c>
    </row>
    <row r="68" spans="1:7">
      <c r="A68" s="516"/>
      <c r="B68" s="354">
        <f t="shared" si="7"/>
        <v>0</v>
      </c>
      <c r="C68" s="355"/>
      <c r="D68" s="521"/>
      <c r="E68" s="357"/>
      <c r="F68" s="358">
        <f t="shared" si="5"/>
        <v>0</v>
      </c>
      <c r="G68" s="359" t="b">
        <f t="shared" si="6"/>
        <v>0</v>
      </c>
    </row>
    <row r="69" spans="1:7">
      <c r="A69" s="516"/>
      <c r="B69" s="354">
        <f t="shared" si="7"/>
        <v>0</v>
      </c>
      <c r="C69" s="355"/>
      <c r="D69" s="521"/>
      <c r="E69" s="357"/>
      <c r="F69" s="358">
        <f t="shared" si="5"/>
        <v>0</v>
      </c>
      <c r="G69" s="359" t="b">
        <f t="shared" si="6"/>
        <v>0</v>
      </c>
    </row>
    <row r="70" spans="1:7">
      <c r="A70" s="516"/>
      <c r="B70" s="354">
        <f t="shared" si="7"/>
        <v>0</v>
      </c>
      <c r="C70" s="355"/>
      <c r="D70" s="521"/>
      <c r="E70" s="357"/>
      <c r="F70" s="358">
        <f t="shared" si="5"/>
        <v>0</v>
      </c>
      <c r="G70" s="359" t="b">
        <f t="shared" si="6"/>
        <v>0</v>
      </c>
    </row>
    <row r="71" spans="1:7">
      <c r="A71" s="516"/>
      <c r="B71" s="354">
        <f t="shared" si="7"/>
        <v>0</v>
      </c>
      <c r="C71" s="355"/>
      <c r="D71" s="521"/>
      <c r="E71" s="357"/>
      <c r="F71" s="358">
        <f t="shared" si="5"/>
        <v>0</v>
      </c>
      <c r="G71" s="360" t="b">
        <f t="shared" si="6"/>
        <v>0</v>
      </c>
    </row>
    <row r="72" spans="1:7">
      <c r="A72" s="516"/>
      <c r="B72" s="354">
        <f t="shared" si="7"/>
        <v>0</v>
      </c>
      <c r="C72" s="355"/>
      <c r="D72" s="521"/>
      <c r="E72" s="357"/>
      <c r="F72" s="358">
        <f t="shared" si="5"/>
        <v>0</v>
      </c>
      <c r="G72" s="359" t="b">
        <f t="shared" si="6"/>
        <v>0</v>
      </c>
    </row>
    <row r="73" spans="1:7">
      <c r="A73" s="516"/>
      <c r="B73" s="354">
        <f t="shared" si="7"/>
        <v>0</v>
      </c>
      <c r="C73" s="355"/>
      <c r="D73" s="521"/>
      <c r="E73" s="357"/>
      <c r="F73" s="358">
        <f t="shared" si="5"/>
        <v>0</v>
      </c>
      <c r="G73" s="359" t="b">
        <f t="shared" si="6"/>
        <v>0</v>
      </c>
    </row>
    <row r="74" spans="1:7">
      <c r="A74" s="516"/>
      <c r="B74" s="354">
        <f t="shared" si="7"/>
        <v>0</v>
      </c>
      <c r="C74" s="355"/>
      <c r="D74" s="521"/>
      <c r="E74" s="357"/>
      <c r="F74" s="358">
        <f t="shared" si="5"/>
        <v>0</v>
      </c>
      <c r="G74" s="359" t="b">
        <f t="shared" si="6"/>
        <v>0</v>
      </c>
    </row>
    <row r="75" spans="1:7">
      <c r="A75" s="516"/>
      <c r="B75" s="354">
        <f t="shared" si="7"/>
        <v>0</v>
      </c>
      <c r="C75" s="355"/>
      <c r="D75" s="521"/>
      <c r="E75" s="357"/>
      <c r="F75" s="358">
        <f t="shared" si="5"/>
        <v>0</v>
      </c>
      <c r="G75" s="359" t="b">
        <f t="shared" si="6"/>
        <v>0</v>
      </c>
    </row>
    <row r="76" spans="1:7">
      <c r="A76" s="516"/>
      <c r="B76" s="354">
        <f t="shared" si="7"/>
        <v>0</v>
      </c>
      <c r="C76" s="355"/>
      <c r="D76" s="521"/>
      <c r="E76" s="357"/>
      <c r="F76" s="358">
        <f t="shared" si="5"/>
        <v>0</v>
      </c>
      <c r="G76" s="359" t="b">
        <f t="shared" si="6"/>
        <v>0</v>
      </c>
    </row>
    <row r="77" spans="1:7">
      <c r="A77" s="516"/>
      <c r="B77" s="354">
        <f t="shared" si="7"/>
        <v>0</v>
      </c>
      <c r="C77" s="355"/>
      <c r="D77" s="521"/>
      <c r="E77" s="357"/>
      <c r="F77" s="358">
        <f t="shared" si="5"/>
        <v>0</v>
      </c>
      <c r="G77" s="359" t="b">
        <f t="shared" si="6"/>
        <v>0</v>
      </c>
    </row>
    <row r="78" spans="1:7">
      <c r="A78" s="516"/>
      <c r="B78" s="354">
        <f t="shared" si="7"/>
        <v>0</v>
      </c>
      <c r="C78" s="355"/>
      <c r="D78" s="521"/>
      <c r="E78" s="357"/>
      <c r="F78" s="358">
        <f t="shared" si="5"/>
        <v>0</v>
      </c>
      <c r="G78" s="359" t="b">
        <f t="shared" si="6"/>
        <v>0</v>
      </c>
    </row>
    <row r="79" spans="1:7">
      <c r="A79" s="516"/>
      <c r="B79" s="354">
        <f t="shared" si="7"/>
        <v>0</v>
      </c>
      <c r="C79" s="355"/>
      <c r="D79" s="521"/>
      <c r="E79" s="357"/>
      <c r="F79" s="358">
        <f t="shared" si="5"/>
        <v>0</v>
      </c>
      <c r="G79" s="359" t="b">
        <f t="shared" si="6"/>
        <v>0</v>
      </c>
    </row>
    <row r="80" spans="1:7">
      <c r="A80" s="516"/>
      <c r="B80" s="354">
        <f t="shared" si="7"/>
        <v>0</v>
      </c>
      <c r="C80" s="355"/>
      <c r="D80" s="521"/>
      <c r="E80" s="357"/>
      <c r="F80" s="358">
        <f t="shared" si="5"/>
        <v>0</v>
      </c>
      <c r="G80" s="359" t="b">
        <f t="shared" si="6"/>
        <v>0</v>
      </c>
    </row>
  </sheetData>
  <mergeCells count="6">
    <mergeCell ref="B1:C1"/>
    <mergeCell ref="D1:E1"/>
    <mergeCell ref="F1:G1"/>
    <mergeCell ref="B42:C42"/>
    <mergeCell ref="D42:E42"/>
    <mergeCell ref="F42:G42"/>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P22"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'[18]Projected Maint Practices'!Q7</f>
        <v>4913</v>
      </c>
      <c r="D6" s="264">
        <f>'[18]True Maint Practices'!Q7</f>
        <v>2827</v>
      </c>
    </row>
    <row r="7" spans="1:6" ht="15">
      <c r="B7" s="263">
        <v>2</v>
      </c>
      <c r="C7" s="264">
        <f>'[18]Projected Maint Practices'!Q8</f>
        <v>4913</v>
      </c>
      <c r="D7" s="264">
        <f>'[18]True Maint Practices'!Q8</f>
        <v>2499</v>
      </c>
    </row>
    <row r="8" spans="1:6" ht="15">
      <c r="B8" s="263">
        <v>3</v>
      </c>
      <c r="C8" s="264">
        <f>'[18]Projected Maint Practices'!Q9</f>
        <v>4913</v>
      </c>
      <c r="D8" s="264">
        <f>'[18]True Maint Practices'!Q9</f>
        <v>3530.5</v>
      </c>
    </row>
    <row r="9" spans="1:6" ht="15">
      <c r="B9" s="263">
        <v>4</v>
      </c>
      <c r="C9" s="264">
        <f>'[18]Projected Maint Practices'!Q10</f>
        <v>4913</v>
      </c>
      <c r="D9" s="264">
        <f>'[18]True Maint Practices'!Q10</f>
        <v>9602</v>
      </c>
    </row>
    <row r="10" spans="1:6" ht="15">
      <c r="B10" s="263">
        <v>5</v>
      </c>
      <c r="C10" s="264">
        <f>'[18]Projected Maint Practices'!Q11</f>
        <v>17239.669999999998</v>
      </c>
      <c r="D10" s="264">
        <f>'[18]True Maint Practices'!Q11</f>
        <v>1457.5</v>
      </c>
    </row>
    <row r="11" spans="1:6" ht="15">
      <c r="B11" s="263">
        <v>6</v>
      </c>
      <c r="C11" s="264">
        <f>'[18]Projected Maint Practices'!Q12</f>
        <v>4913</v>
      </c>
      <c r="D11" s="264">
        <f>'[18]True Maint Practices'!Q12</f>
        <v>0</v>
      </c>
    </row>
    <row r="12" spans="1:6" ht="15">
      <c r="B12" s="263">
        <v>7</v>
      </c>
      <c r="C12" s="264">
        <f>'[18]Projected Maint Practices'!Q13</f>
        <v>4913</v>
      </c>
      <c r="D12" s="264">
        <f>'[18]True Maint Practices'!Q13</f>
        <v>0</v>
      </c>
    </row>
    <row r="13" spans="1:6" ht="15">
      <c r="B13" s="263">
        <v>8</v>
      </c>
      <c r="C13" s="264">
        <f>'[18]Projected Maint Practices'!Q14</f>
        <v>4913</v>
      </c>
      <c r="D13" s="264">
        <f>'[18]True Maint Practices'!Q14</f>
        <v>0</v>
      </c>
    </row>
    <row r="14" spans="1:6" ht="15">
      <c r="B14" s="263">
        <v>9</v>
      </c>
      <c r="C14" s="264">
        <f>'[18]Projected Maint Practices'!Q15</f>
        <v>4913</v>
      </c>
      <c r="D14" s="264">
        <f>'[18]True Maint Practices'!Q15</f>
        <v>0</v>
      </c>
    </row>
    <row r="15" spans="1:6" ht="15">
      <c r="B15" s="263">
        <v>10</v>
      </c>
      <c r="C15" s="264">
        <f>'[18]Projected Maint Practices'!Q16</f>
        <v>4913</v>
      </c>
      <c r="D15" s="264">
        <f>'[18]True Maint Practices'!Q16</f>
        <v>0</v>
      </c>
    </row>
    <row r="16" spans="1:6" ht="15">
      <c r="B16" s="263">
        <v>11</v>
      </c>
      <c r="C16" s="264">
        <f>'[18]Projected Maint Practices'!Q17</f>
        <v>4913</v>
      </c>
      <c r="D16" s="264">
        <f>'[18]True Maint Practices'!Q17</f>
        <v>0</v>
      </c>
    </row>
    <row r="17" spans="2:4" ht="15">
      <c r="B17" s="263">
        <v>12</v>
      </c>
      <c r="C17" s="264">
        <f>'[18]Projected Maint Practices'!Q18</f>
        <v>4913</v>
      </c>
      <c r="D17" s="264">
        <f>'[18]True Maint Practices'!Q18</f>
        <v>0</v>
      </c>
    </row>
    <row r="18" spans="2:4" ht="15">
      <c r="B18" s="260" t="s">
        <v>1</v>
      </c>
      <c r="C18" s="264">
        <f>SUM(C6:C17)</f>
        <v>71282.67</v>
      </c>
      <c r="D18" s="264">
        <f>SUM(D6:D17)</f>
        <v>19916</v>
      </c>
    </row>
  </sheetData>
  <printOptions horizontalCentered="1" verticalCentered="1"/>
  <pageMargins left="0.5" right="0.5" top="0.75" bottom="0.75" header="0.5" footer="0.5"/>
  <pageSetup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1"/>
  <sheetViews>
    <sheetView showGridLines="0" zoomScaleNormal="100" workbookViewId="0">
      <selection activeCell="R10" sqref="A1:XFD1048576"/>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s="1" customFormat="1" ht="16.5" customHeight="1">
      <c r="B1" s="43"/>
      <c r="C1" s="43"/>
      <c r="D1" s="43"/>
      <c r="E1" s="43"/>
      <c r="F1" s="43"/>
      <c r="G1" s="43"/>
      <c r="H1" s="43"/>
      <c r="I1" s="43"/>
      <c r="J1" s="43"/>
      <c r="K1" s="43"/>
      <c r="L1" s="43"/>
      <c r="M1" s="43"/>
      <c r="N1" s="43"/>
      <c r="O1" s="43"/>
      <c r="P1" s="43"/>
    </row>
    <row r="2" spans="2:22" s="1" customFormat="1" ht="31.5" customHeight="1">
      <c r="B2" s="404" t="s">
        <v>1800</v>
      </c>
      <c r="C2" s="43"/>
      <c r="D2" s="43"/>
      <c r="E2" s="43"/>
      <c r="F2" s="43"/>
      <c r="G2" s="43"/>
      <c r="H2" s="43"/>
      <c r="I2" s="43"/>
      <c r="J2" s="43"/>
      <c r="K2" s="43"/>
      <c r="L2" s="43"/>
      <c r="M2" s="43"/>
      <c r="N2" s="43"/>
      <c r="O2" s="43" t="s">
        <v>233</v>
      </c>
      <c r="P2" s="43"/>
    </row>
    <row r="3" spans="2:22" s="1" customFormat="1" ht="16.5" customHeight="1">
      <c r="B3" s="43"/>
      <c r="C3" s="43"/>
      <c r="D3" s="43"/>
      <c r="E3" s="43"/>
      <c r="F3" s="43"/>
      <c r="G3" s="43"/>
      <c r="H3" s="43"/>
      <c r="I3" s="43"/>
      <c r="J3" s="43"/>
      <c r="K3" s="43"/>
      <c r="L3" s="43"/>
      <c r="M3" s="43"/>
      <c r="N3" s="43"/>
      <c r="O3" s="43"/>
      <c r="P3" s="43"/>
    </row>
    <row r="12" spans="2:22" s="1" customFormat="1" ht="16.5" customHeight="1">
      <c r="V12" s="1" t="s">
        <v>32</v>
      </c>
    </row>
    <row r="18" spans="2:16" s="1" customFormat="1"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s="1" customFormat="1" ht="16.5" customHeight="1">
      <c r="B19" s="101" t="s">
        <v>17</v>
      </c>
      <c r="C19" s="8"/>
      <c r="D19" s="8"/>
      <c r="E19" s="8"/>
      <c r="F19" s="8"/>
      <c r="G19" s="8"/>
      <c r="H19" s="8"/>
      <c r="I19" s="8">
        <v>371.17</v>
      </c>
      <c r="J19" s="8"/>
      <c r="K19" s="8">
        <v>335.25</v>
      </c>
      <c r="L19" s="8"/>
      <c r="M19" s="30"/>
      <c r="N19" s="8"/>
      <c r="O19" s="4">
        <f t="shared" ref="O19:O38" si="0">SUM(C19:N19)</f>
        <v>706.42000000000007</v>
      </c>
      <c r="P19" s="102"/>
    </row>
    <row r="20" spans="2:16" s="1" customFormat="1" ht="16.5" customHeight="1">
      <c r="B20" s="101" t="s">
        <v>16</v>
      </c>
      <c r="C20" s="8"/>
      <c r="D20" s="8"/>
      <c r="E20" s="8"/>
      <c r="F20" s="8"/>
      <c r="G20" s="8"/>
      <c r="H20" s="8"/>
      <c r="I20" s="8"/>
      <c r="J20" s="8"/>
      <c r="K20" s="8"/>
      <c r="L20" s="8"/>
      <c r="M20" s="30"/>
      <c r="N20" s="8"/>
      <c r="O20" s="4">
        <f t="shared" si="0"/>
        <v>0</v>
      </c>
      <c r="P20" s="102"/>
    </row>
    <row r="21" spans="2:16" s="1" customFormat="1" ht="16.5" customHeight="1">
      <c r="B21" s="101" t="s">
        <v>15</v>
      </c>
      <c r="C21" s="8"/>
      <c r="D21" s="8"/>
      <c r="E21" s="8"/>
      <c r="F21" s="8"/>
      <c r="G21" s="8"/>
      <c r="H21" s="8"/>
      <c r="I21" s="8"/>
      <c r="J21" s="8"/>
      <c r="K21" s="8"/>
      <c r="L21" s="8"/>
      <c r="M21" s="30"/>
      <c r="N21" s="8"/>
      <c r="O21" s="4">
        <f t="shared" si="0"/>
        <v>0</v>
      </c>
      <c r="P21" s="102"/>
    </row>
    <row r="22" spans="2:16" s="1" customFormat="1" ht="16.5" customHeight="1">
      <c r="B22" s="101" t="s">
        <v>232</v>
      </c>
      <c r="C22" s="8"/>
      <c r="D22" s="8"/>
      <c r="E22" s="8"/>
      <c r="F22" s="8"/>
      <c r="G22" s="8"/>
      <c r="H22" s="8"/>
      <c r="I22" s="8"/>
      <c r="J22" s="8"/>
      <c r="K22" s="8"/>
      <c r="L22" s="8"/>
      <c r="M22" s="30"/>
      <c r="N22" s="8"/>
      <c r="O22" s="4">
        <f t="shared" si="0"/>
        <v>0</v>
      </c>
      <c r="P22" s="102"/>
    </row>
    <row r="23" spans="2:16" s="1" customFormat="1" ht="16.5" customHeight="1">
      <c r="B23" s="101" t="s">
        <v>1245</v>
      </c>
      <c r="C23" s="8"/>
      <c r="D23" s="8"/>
      <c r="E23" s="8"/>
      <c r="F23" s="8"/>
      <c r="G23" s="8"/>
      <c r="H23" s="8"/>
      <c r="I23" s="8">
        <v>128.69999999999999</v>
      </c>
      <c r="J23" s="8"/>
      <c r="K23" s="8"/>
      <c r="L23" s="8"/>
      <c r="M23" s="30"/>
      <c r="N23" s="8"/>
      <c r="O23" s="4">
        <f t="shared" si="0"/>
        <v>128.69999999999999</v>
      </c>
      <c r="P23" s="102"/>
    </row>
    <row r="24" spans="2:16" s="1" customFormat="1" ht="16.5" customHeight="1">
      <c r="B24" s="103" t="s">
        <v>12</v>
      </c>
      <c r="C24" s="17"/>
      <c r="D24" s="17"/>
      <c r="E24" s="17"/>
      <c r="F24" s="17"/>
      <c r="G24" s="17"/>
      <c r="H24" s="17"/>
      <c r="I24" s="17"/>
      <c r="J24" s="17"/>
      <c r="K24" s="17"/>
      <c r="L24" s="17"/>
      <c r="M24" s="35"/>
      <c r="N24" s="17"/>
      <c r="O24" s="4">
        <f t="shared" si="0"/>
        <v>0</v>
      </c>
      <c r="P24" s="102"/>
    </row>
    <row r="25" spans="2:16" s="1" customFormat="1" ht="16.5" customHeight="1">
      <c r="B25" s="103" t="s">
        <v>11</v>
      </c>
      <c r="C25" s="17"/>
      <c r="D25" s="17"/>
      <c r="E25" s="17"/>
      <c r="F25" s="17"/>
      <c r="G25" s="17"/>
      <c r="H25" s="17"/>
      <c r="I25" s="17"/>
      <c r="J25" s="17"/>
      <c r="K25" s="17"/>
      <c r="L25" s="17"/>
      <c r="M25" s="35"/>
      <c r="N25" s="17"/>
      <c r="O25" s="4">
        <f t="shared" si="0"/>
        <v>0</v>
      </c>
      <c r="P25" s="102"/>
    </row>
    <row r="26" spans="2:16" s="1" customFormat="1" ht="16.5" customHeight="1">
      <c r="B26" s="103" t="s">
        <v>10</v>
      </c>
      <c r="C26" s="17"/>
      <c r="D26" s="17"/>
      <c r="E26" s="17"/>
      <c r="F26" s="17"/>
      <c r="G26" s="17"/>
      <c r="H26" s="17"/>
      <c r="I26" s="17"/>
      <c r="J26" s="17"/>
      <c r="K26" s="17"/>
      <c r="L26" s="17"/>
      <c r="M26" s="35"/>
      <c r="N26" s="17"/>
      <c r="O26" s="4">
        <f t="shared" si="0"/>
        <v>0</v>
      </c>
      <c r="P26" s="102"/>
    </row>
    <row r="27" spans="2:16" s="1" customFormat="1" ht="16.5" customHeight="1">
      <c r="B27" s="103" t="s">
        <v>9</v>
      </c>
      <c r="C27" s="17"/>
      <c r="D27" s="17"/>
      <c r="E27" s="17"/>
      <c r="F27" s="17"/>
      <c r="G27" s="17"/>
      <c r="H27" s="17"/>
      <c r="I27" s="17"/>
      <c r="J27" s="17"/>
      <c r="K27" s="17"/>
      <c r="L27" s="17"/>
      <c r="M27" s="35"/>
      <c r="N27" s="17"/>
      <c r="O27" s="4">
        <f t="shared" si="0"/>
        <v>0</v>
      </c>
      <c r="P27" s="102"/>
    </row>
    <row r="28" spans="2:16" s="1" customFormat="1" ht="16.5" hidden="1" customHeight="1">
      <c r="B28" s="103"/>
      <c r="C28" s="15"/>
      <c r="D28" s="15"/>
      <c r="E28" s="15"/>
      <c r="F28" s="15"/>
      <c r="G28" s="15"/>
      <c r="H28" s="15"/>
      <c r="I28" s="15"/>
      <c r="J28" s="15"/>
      <c r="K28" s="15"/>
      <c r="L28" s="15"/>
      <c r="M28" s="16"/>
      <c r="N28" s="15"/>
      <c r="O28" s="4">
        <f t="shared" si="0"/>
        <v>0</v>
      </c>
      <c r="P28" s="102"/>
    </row>
    <row r="29" spans="2:16" s="1" customFormat="1" ht="16.5" hidden="1" customHeight="1">
      <c r="B29" s="103"/>
      <c r="C29" s="15"/>
      <c r="D29" s="15"/>
      <c r="E29" s="15"/>
      <c r="F29" s="15"/>
      <c r="G29" s="15"/>
      <c r="H29" s="15"/>
      <c r="I29" s="15"/>
      <c r="J29" s="15"/>
      <c r="K29" s="15"/>
      <c r="L29" s="15"/>
      <c r="M29" s="16"/>
      <c r="N29" s="15"/>
      <c r="O29" s="4">
        <f t="shared" si="0"/>
        <v>0</v>
      </c>
      <c r="P29" s="102"/>
    </row>
    <row r="30" spans="2:16" s="1" customFormat="1" ht="16.5" hidden="1" customHeight="1">
      <c r="B30" s="103"/>
      <c r="C30" s="15"/>
      <c r="D30" s="15"/>
      <c r="E30" s="15"/>
      <c r="F30" s="15"/>
      <c r="G30" s="15"/>
      <c r="H30" s="15"/>
      <c r="I30" s="15"/>
      <c r="J30" s="15"/>
      <c r="K30" s="15"/>
      <c r="L30" s="15"/>
      <c r="M30" s="16"/>
      <c r="N30" s="15"/>
      <c r="O30" s="4">
        <f t="shared" si="0"/>
        <v>0</v>
      </c>
      <c r="P30" s="102"/>
    </row>
    <row r="31" spans="2:16" s="1" customFormat="1" ht="16.5" hidden="1" customHeight="1">
      <c r="B31" s="103"/>
      <c r="C31" s="15"/>
      <c r="D31" s="15"/>
      <c r="E31" s="15"/>
      <c r="F31" s="15"/>
      <c r="G31" s="15"/>
      <c r="H31" s="15"/>
      <c r="I31" s="15"/>
      <c r="J31" s="15"/>
      <c r="K31" s="15"/>
      <c r="L31" s="15"/>
      <c r="M31" s="16"/>
      <c r="N31" s="15"/>
      <c r="O31" s="4">
        <f t="shared" si="0"/>
        <v>0</v>
      </c>
      <c r="P31" s="102"/>
    </row>
    <row r="32" spans="2:16" s="1" customFormat="1" ht="16.5" customHeight="1">
      <c r="B32" s="103" t="s">
        <v>8</v>
      </c>
      <c r="C32" s="4"/>
      <c r="D32" s="4"/>
      <c r="E32" s="4"/>
      <c r="F32" s="4"/>
      <c r="G32" s="4"/>
      <c r="H32" s="4"/>
      <c r="I32" s="4"/>
      <c r="J32" s="4"/>
      <c r="K32" s="4"/>
      <c r="L32" s="4"/>
      <c r="M32" s="33"/>
      <c r="N32" s="4"/>
      <c r="O32" s="4">
        <f t="shared" si="0"/>
        <v>0</v>
      </c>
      <c r="P32" s="102"/>
    </row>
    <row r="33" spans="2:18" s="1" customFormat="1" ht="16.5" customHeight="1">
      <c r="B33" s="103" t="s">
        <v>7</v>
      </c>
      <c r="C33" s="12"/>
      <c r="D33" s="12"/>
      <c r="E33" s="12"/>
      <c r="F33" s="12"/>
      <c r="G33" s="12"/>
      <c r="H33" s="12"/>
      <c r="I33" s="12"/>
      <c r="J33" s="12"/>
      <c r="K33" s="12"/>
      <c r="L33" s="12"/>
      <c r="M33" s="32"/>
      <c r="N33" s="12"/>
      <c r="O33" s="4">
        <f t="shared" si="0"/>
        <v>0</v>
      </c>
      <c r="P33" s="102"/>
    </row>
    <row r="34" spans="2:18" s="1" customFormat="1" ht="16.5" customHeight="1">
      <c r="B34" s="103" t="s">
        <v>6</v>
      </c>
      <c r="C34" s="41"/>
      <c r="D34" s="41"/>
      <c r="E34" s="41"/>
      <c r="F34" s="41"/>
      <c r="G34" s="41"/>
      <c r="H34" s="41"/>
      <c r="I34" s="41"/>
      <c r="J34" s="41"/>
      <c r="K34" s="41"/>
      <c r="L34" s="41">
        <v>95.79</v>
      </c>
      <c r="M34" s="42"/>
      <c r="N34" s="41"/>
      <c r="O34" s="4">
        <f t="shared" si="0"/>
        <v>95.79</v>
      </c>
      <c r="P34" s="102"/>
    </row>
    <row r="35" spans="2:18" s="1" customFormat="1" ht="16.5" customHeight="1">
      <c r="B35" s="103" t="s">
        <v>5</v>
      </c>
      <c r="C35" s="8"/>
      <c r="D35" s="8"/>
      <c r="E35" s="8"/>
      <c r="F35" s="8"/>
      <c r="G35" s="8"/>
      <c r="H35" s="8"/>
      <c r="I35" s="8"/>
      <c r="J35" s="8">
        <v>15.66</v>
      </c>
      <c r="K35" s="8">
        <v>23.49</v>
      </c>
      <c r="L35" s="8"/>
      <c r="M35" s="30"/>
      <c r="N35" s="8"/>
      <c r="O35" s="4">
        <f t="shared" si="0"/>
        <v>39.15</v>
      </c>
      <c r="P35" s="102"/>
    </row>
    <row r="36" spans="2:18" s="1" customFormat="1" ht="16.5" customHeight="1">
      <c r="B36" s="103" t="s">
        <v>171</v>
      </c>
      <c r="C36" s="8"/>
      <c r="D36" s="8"/>
      <c r="E36" s="8"/>
      <c r="F36" s="8"/>
      <c r="G36" s="8"/>
      <c r="H36" s="8"/>
      <c r="I36" s="8"/>
      <c r="J36" s="8"/>
      <c r="K36" s="8"/>
      <c r="L36" s="8"/>
      <c r="M36" s="30"/>
      <c r="N36" s="8"/>
      <c r="O36" s="4">
        <f t="shared" si="0"/>
        <v>0</v>
      </c>
      <c r="P36" s="102"/>
    </row>
    <row r="37" spans="2:18" s="1" customFormat="1" ht="16.5" customHeight="1">
      <c r="B37" s="103" t="s">
        <v>3</v>
      </c>
      <c r="C37" s="8"/>
      <c r="D37" s="8"/>
      <c r="E37" s="8"/>
      <c r="F37" s="8"/>
      <c r="G37" s="8"/>
      <c r="H37" s="8"/>
      <c r="I37" s="8">
        <v>214.81</v>
      </c>
      <c r="J37" s="8">
        <v>129.15</v>
      </c>
      <c r="K37" s="8">
        <v>23.71</v>
      </c>
      <c r="L37" s="8"/>
      <c r="M37" s="30"/>
      <c r="N37" s="8"/>
      <c r="O37" s="4">
        <f t="shared" si="0"/>
        <v>367.67</v>
      </c>
      <c r="P37" s="102"/>
    </row>
    <row r="38" spans="2:18" s="1" customFormat="1" ht="16.5" customHeight="1">
      <c r="B38" s="103" t="s">
        <v>2</v>
      </c>
      <c r="C38" s="5"/>
      <c r="D38" s="5"/>
      <c r="E38" s="5"/>
      <c r="F38" s="5"/>
      <c r="G38" s="5"/>
      <c r="H38" s="5"/>
      <c r="I38" s="5">
        <v>310</v>
      </c>
      <c r="J38" s="5">
        <v>80</v>
      </c>
      <c r="K38" s="5">
        <v>40</v>
      </c>
      <c r="L38" s="5"/>
      <c r="M38" s="29"/>
      <c r="N38" s="5"/>
      <c r="O38" s="4">
        <f t="shared" si="0"/>
        <v>430</v>
      </c>
      <c r="P38" s="102"/>
    </row>
    <row r="39" spans="2:18" s="1" customFormat="1" ht="16.5" customHeight="1">
      <c r="B39" s="101" t="s">
        <v>1</v>
      </c>
      <c r="C39" s="104">
        <f>SUBTOTAL(109,ExpenseSummary162[Jan])</f>
        <v>0</v>
      </c>
      <c r="D39" s="105">
        <f>SUBTOTAL(109,ExpenseSummary162[Feb])</f>
        <v>0</v>
      </c>
      <c r="E39" s="104">
        <f>SUBTOTAL(109,ExpenseSummary162[Mar])</f>
        <v>0</v>
      </c>
      <c r="F39" s="105">
        <f>SUBTOTAL(109,ExpenseSummary162[Apr])</f>
        <v>0</v>
      </c>
      <c r="G39" s="104">
        <f>SUBTOTAL(109,ExpenseSummary162[May])</f>
        <v>0</v>
      </c>
      <c r="H39" s="105">
        <f>SUBTOTAL(109,ExpenseSummary162[Jun])</f>
        <v>0</v>
      </c>
      <c r="I39" s="104">
        <f>SUBTOTAL(109,ExpenseSummary162[Jul])</f>
        <v>1024.68</v>
      </c>
      <c r="J39" s="105">
        <f>SUBTOTAL(109,ExpenseSummary162[Aug])</f>
        <v>224.81</v>
      </c>
      <c r="K39" s="104">
        <f>SUBTOTAL(109,ExpenseSummary162[Sep])</f>
        <v>422.45</v>
      </c>
      <c r="L39" s="105">
        <f>SUBTOTAL(109,ExpenseSummary162[Oct])</f>
        <v>95.79</v>
      </c>
      <c r="M39" s="267">
        <f>SUBTOTAL(109,ExpenseSummary162[Nov])</f>
        <v>0</v>
      </c>
      <c r="N39" s="105">
        <f>SUBTOTAL(109,ExpenseSummary162[Dec])</f>
        <v>0</v>
      </c>
      <c r="O39" s="106">
        <f>SUBTOTAL(109,ExpenseSummary162[Total])</f>
        <v>1767.73</v>
      </c>
      <c r="P39" s="102"/>
    </row>
    <row r="40" spans="2:18" s="1" customFormat="1" ht="16.5" customHeight="1">
      <c r="B40" s="28"/>
      <c r="C40" s="28"/>
    </row>
    <row r="41" spans="2:18" s="1" customFormat="1" ht="16.5" customHeight="1">
      <c r="B41" s="268"/>
      <c r="C41" s="268"/>
      <c r="D41" s="269"/>
      <c r="E41" s="270" t="s">
        <v>118</v>
      </c>
      <c r="F41" s="270"/>
      <c r="G41" s="270"/>
      <c r="H41" s="270"/>
      <c r="I41" s="270"/>
      <c r="J41" s="270"/>
      <c r="K41" s="270"/>
      <c r="L41" s="270"/>
      <c r="M41" s="270"/>
      <c r="N41" s="270"/>
      <c r="O41" s="270"/>
      <c r="P41" s="270"/>
      <c r="Q41" s="270"/>
      <c r="R41" s="270"/>
    </row>
    <row r="42" spans="2:18" s="1" customFormat="1" ht="16.5" customHeight="1">
      <c r="B42" s="271" t="s">
        <v>1300</v>
      </c>
      <c r="C42" s="272" t="s">
        <v>1301</v>
      </c>
      <c r="D42" s="269"/>
      <c r="E42" s="273" t="s">
        <v>1801</v>
      </c>
      <c r="F42" s="273"/>
      <c r="G42" s="273"/>
      <c r="H42" s="273"/>
      <c r="I42" s="273"/>
      <c r="J42" s="273"/>
      <c r="K42" s="273"/>
      <c r="L42" s="273"/>
      <c r="M42" s="273"/>
      <c r="N42" s="273"/>
      <c r="O42" s="273"/>
      <c r="P42" s="273"/>
      <c r="Q42" s="273"/>
      <c r="R42" s="273"/>
    </row>
    <row r="43" spans="2:18" s="1" customFormat="1" ht="16.5" customHeight="1">
      <c r="B43" s="274" t="s">
        <v>115</v>
      </c>
      <c r="C43" s="275" t="s">
        <v>289</v>
      </c>
      <c r="D43" s="269"/>
      <c r="E43" s="270" t="s">
        <v>113</v>
      </c>
      <c r="F43" s="270"/>
      <c r="G43" s="270"/>
      <c r="H43" s="270"/>
      <c r="I43" s="270"/>
      <c r="J43" s="270"/>
      <c r="K43" s="270"/>
      <c r="L43" s="270"/>
      <c r="M43" s="270"/>
      <c r="N43" s="270"/>
      <c r="O43" s="270"/>
      <c r="P43" s="270"/>
      <c r="Q43" s="270"/>
      <c r="R43" s="270"/>
    </row>
    <row r="44" spans="2:18" s="1" customFormat="1" ht="16.5" customHeight="1" thickBot="1">
      <c r="B44" s="274" t="s">
        <v>112</v>
      </c>
      <c r="C44" s="276">
        <v>93175</v>
      </c>
      <c r="D44" s="268"/>
      <c r="E44" s="273" t="s">
        <v>1302</v>
      </c>
      <c r="F44" s="273"/>
      <c r="G44" s="273"/>
      <c r="H44" s="273"/>
      <c r="I44" s="273"/>
      <c r="J44" s="273"/>
      <c r="K44" s="273"/>
      <c r="L44" s="273"/>
      <c r="M44" s="273"/>
      <c r="N44" s="273"/>
      <c r="O44" s="273"/>
      <c r="P44" s="273"/>
      <c r="Q44" s="273"/>
      <c r="R44" s="273"/>
    </row>
    <row r="45" spans="2:18" s="1" customFormat="1" ht="16.5" customHeight="1">
      <c r="B45" s="274" t="s">
        <v>110</v>
      </c>
      <c r="C45" s="277"/>
      <c r="D45" s="260"/>
      <c r="E45" s="278" t="s">
        <v>109</v>
      </c>
      <c r="F45" s="279" t="s">
        <v>108</v>
      </c>
      <c r="G45" s="280"/>
      <c r="H45" s="279" t="s">
        <v>107</v>
      </c>
      <c r="I45" s="280"/>
      <c r="J45" s="279" t="s">
        <v>106</v>
      </c>
      <c r="K45" s="280"/>
      <c r="L45" s="279" t="s">
        <v>105</v>
      </c>
      <c r="M45" s="280"/>
      <c r="N45" s="279" t="s">
        <v>96</v>
      </c>
      <c r="O45" s="280"/>
      <c r="P45" s="279" t="s">
        <v>104</v>
      </c>
      <c r="Q45" s="280"/>
      <c r="R45" s="281" t="s">
        <v>103</v>
      </c>
    </row>
    <row r="46" spans="2:18" s="1" customFormat="1" ht="16.5" customHeight="1">
      <c r="B46" s="282" t="s">
        <v>102</v>
      </c>
      <c r="C46" s="283">
        <v>283</v>
      </c>
      <c r="D46" s="262"/>
      <c r="E46" s="284"/>
      <c r="F46" s="285" t="s">
        <v>101</v>
      </c>
      <c r="G46" s="286" t="s">
        <v>100</v>
      </c>
      <c r="H46" s="285" t="s">
        <v>101</v>
      </c>
      <c r="I46" s="286" t="s">
        <v>100</v>
      </c>
      <c r="J46" s="285" t="s">
        <v>101</v>
      </c>
      <c r="K46" s="286" t="s">
        <v>100</v>
      </c>
      <c r="L46" s="287" t="s">
        <v>101</v>
      </c>
      <c r="M46" s="405" t="s">
        <v>100</v>
      </c>
      <c r="N46" s="287" t="s">
        <v>101</v>
      </c>
      <c r="O46" s="286" t="s">
        <v>100</v>
      </c>
      <c r="P46" s="287" t="s">
        <v>101</v>
      </c>
      <c r="Q46" s="286" t="s">
        <v>100</v>
      </c>
      <c r="R46" s="284"/>
    </row>
    <row r="47" spans="2:18" s="1" customFormat="1" ht="16.5" customHeight="1">
      <c r="B47" s="274" t="s">
        <v>99</v>
      </c>
      <c r="C47" s="288">
        <v>6867</v>
      </c>
      <c r="D47" s="260"/>
      <c r="E47" s="289" t="s">
        <v>87</v>
      </c>
      <c r="F47" s="290">
        <v>7</v>
      </c>
      <c r="G47" s="291">
        <f t="shared" ref="G47:G58" si="1">SUM($B$6*F47)*C59</f>
        <v>0</v>
      </c>
      <c r="H47" s="292"/>
      <c r="I47" s="291">
        <f>IF(H47&gt;0,($B$7*C59),0)</f>
        <v>0</v>
      </c>
      <c r="J47" s="293"/>
      <c r="K47" s="291">
        <f>IF(J47&gt;0,($B$8*C59),0)</f>
        <v>0</v>
      </c>
      <c r="L47" s="292">
        <v>2</v>
      </c>
      <c r="M47" s="406">
        <f t="shared" ref="M47:M58" si="2">IF(L47&gt;0,($B$9*L47),0)</f>
        <v>0</v>
      </c>
      <c r="N47" s="294">
        <v>2</v>
      </c>
      <c r="O47" s="291">
        <f t="shared" ref="O47:O58" si="3">IF(N47&gt;0,($B$10*N47),0)</f>
        <v>0</v>
      </c>
      <c r="P47" s="295">
        <v>2</v>
      </c>
      <c r="Q47" s="291">
        <f t="shared" ref="Q47:Q58" si="4">SUM(P47*$B$17)*C59</f>
        <v>0</v>
      </c>
      <c r="R47" s="296">
        <f t="shared" ref="R47:R58" si="5">SUM(Q47+O47+M47+K47+I47+G47)</f>
        <v>0</v>
      </c>
    </row>
    <row r="48" spans="2:18" s="1" customFormat="1" ht="16.5" customHeight="1">
      <c r="B48" s="274" t="s">
        <v>98</v>
      </c>
      <c r="C48" s="288">
        <v>5460</v>
      </c>
      <c r="D48" s="260"/>
      <c r="E48" s="289" t="s">
        <v>86</v>
      </c>
      <c r="F48" s="290">
        <v>7</v>
      </c>
      <c r="G48" s="291">
        <f t="shared" si="1"/>
        <v>0</v>
      </c>
      <c r="H48" s="292"/>
      <c r="I48" s="291">
        <f>IF(H48&gt;0,($B$7*C60),0)</f>
        <v>0</v>
      </c>
      <c r="J48" s="293"/>
      <c r="K48" s="291">
        <f>IF(J48&gt;0,($B$8*C60),0)</f>
        <v>0</v>
      </c>
      <c r="L48" s="292">
        <v>2</v>
      </c>
      <c r="M48" s="406">
        <f t="shared" si="2"/>
        <v>0</v>
      </c>
      <c r="N48" s="294">
        <v>2</v>
      </c>
      <c r="O48" s="291">
        <f t="shared" si="3"/>
        <v>0</v>
      </c>
      <c r="P48" s="295">
        <v>2</v>
      </c>
      <c r="Q48" s="291">
        <f t="shared" si="4"/>
        <v>0</v>
      </c>
      <c r="R48" s="296">
        <f t="shared" si="5"/>
        <v>0</v>
      </c>
    </row>
    <row r="49" spans="2:18" s="1" customFormat="1" ht="16.5" customHeight="1">
      <c r="B49" s="407" t="s">
        <v>97</v>
      </c>
      <c r="C49" s="288">
        <v>324</v>
      </c>
      <c r="D49" s="260"/>
      <c r="E49" s="289" t="s">
        <v>84</v>
      </c>
      <c r="F49" s="290">
        <v>7</v>
      </c>
      <c r="G49" s="291">
        <f t="shared" si="1"/>
        <v>0</v>
      </c>
      <c r="H49" s="292"/>
      <c r="I49" s="291">
        <f>IF(H49&gt;0,($B$7*C61),0)</f>
        <v>0</v>
      </c>
      <c r="J49" s="293"/>
      <c r="K49" s="291">
        <f>IF(J49&gt;0,($B$8*C61),0)</f>
        <v>0</v>
      </c>
      <c r="L49" s="292">
        <v>2</v>
      </c>
      <c r="M49" s="406">
        <f t="shared" si="2"/>
        <v>0</v>
      </c>
      <c r="N49" s="294">
        <v>2</v>
      </c>
      <c r="O49" s="291">
        <f t="shared" si="3"/>
        <v>0</v>
      </c>
      <c r="P49" s="295">
        <v>2</v>
      </c>
      <c r="Q49" s="291">
        <f t="shared" si="4"/>
        <v>0</v>
      </c>
      <c r="R49" s="296">
        <f t="shared" si="5"/>
        <v>0</v>
      </c>
    </row>
    <row r="50" spans="2:18" s="1" customFormat="1" ht="16.5" customHeight="1">
      <c r="B50" s="408" t="s">
        <v>96</v>
      </c>
      <c r="C50" s="288">
        <v>1050</v>
      </c>
      <c r="D50" s="260"/>
      <c r="E50" s="289" t="s">
        <v>83</v>
      </c>
      <c r="F50" s="290">
        <v>7</v>
      </c>
      <c r="G50" s="291">
        <f t="shared" si="1"/>
        <v>0</v>
      </c>
      <c r="H50" s="292"/>
      <c r="I50" s="291">
        <f>IF(H50&gt;0,($B$7*C62),0)</f>
        <v>0</v>
      </c>
      <c r="J50" s="293"/>
      <c r="K50" s="291">
        <f>IF(J50&gt;0,($B$8*C62),0)</f>
        <v>0</v>
      </c>
      <c r="L50" s="292">
        <v>2</v>
      </c>
      <c r="M50" s="406">
        <f t="shared" si="2"/>
        <v>0</v>
      </c>
      <c r="N50" s="294">
        <v>2</v>
      </c>
      <c r="O50" s="291">
        <f t="shared" si="3"/>
        <v>0</v>
      </c>
      <c r="P50" s="295">
        <v>2</v>
      </c>
      <c r="Q50" s="291">
        <f t="shared" si="4"/>
        <v>0</v>
      </c>
      <c r="R50" s="296">
        <f t="shared" si="5"/>
        <v>0</v>
      </c>
    </row>
    <row r="51" spans="2:18" s="1" customFormat="1" ht="16.5" customHeight="1">
      <c r="B51" s="274" t="s">
        <v>95</v>
      </c>
      <c r="C51" s="141">
        <v>35000</v>
      </c>
      <c r="D51" s="260"/>
      <c r="E51" s="289" t="s">
        <v>82</v>
      </c>
      <c r="F51" s="290">
        <v>7</v>
      </c>
      <c r="G51" s="291">
        <f t="shared" si="1"/>
        <v>0</v>
      </c>
      <c r="H51" s="292"/>
      <c r="I51" s="291">
        <v>6866.67</v>
      </c>
      <c r="J51" s="293"/>
      <c r="K51" s="291">
        <v>5460</v>
      </c>
      <c r="L51" s="292">
        <v>2</v>
      </c>
      <c r="M51" s="406">
        <f t="shared" si="2"/>
        <v>0</v>
      </c>
      <c r="N51" s="294">
        <v>2</v>
      </c>
      <c r="O51" s="291">
        <f t="shared" si="3"/>
        <v>0</v>
      </c>
      <c r="P51" s="295">
        <v>2</v>
      </c>
      <c r="Q51" s="291">
        <f t="shared" si="4"/>
        <v>0</v>
      </c>
      <c r="R51" s="296">
        <f t="shared" si="5"/>
        <v>12326.67</v>
      </c>
    </row>
    <row r="52" spans="2:18" s="1" customFormat="1" ht="16.5" customHeight="1">
      <c r="B52" s="274" t="s">
        <v>94</v>
      </c>
      <c r="C52" s="141">
        <v>5000</v>
      </c>
      <c r="D52" s="260"/>
      <c r="E52" s="289" t="s">
        <v>80</v>
      </c>
      <c r="F52" s="290">
        <v>7</v>
      </c>
      <c r="G52" s="291">
        <f t="shared" si="1"/>
        <v>0</v>
      </c>
      <c r="H52" s="292"/>
      <c r="I52" s="291">
        <f t="shared" ref="I52:I58" si="6">IF(H52&gt;0,($B$7*C64),0)</f>
        <v>0</v>
      </c>
      <c r="J52" s="293"/>
      <c r="K52" s="291">
        <f t="shared" ref="K52:K58" si="7">IF(J52&gt;0,($B$8*C64),0)</f>
        <v>0</v>
      </c>
      <c r="L52" s="292">
        <v>2</v>
      </c>
      <c r="M52" s="406">
        <f t="shared" si="2"/>
        <v>0</v>
      </c>
      <c r="N52" s="294">
        <v>2</v>
      </c>
      <c r="O52" s="291">
        <f t="shared" si="3"/>
        <v>0</v>
      </c>
      <c r="P52" s="295">
        <v>2</v>
      </c>
      <c r="Q52" s="291">
        <f t="shared" si="4"/>
        <v>0</v>
      </c>
      <c r="R52" s="296">
        <f t="shared" si="5"/>
        <v>0</v>
      </c>
    </row>
    <row r="53" spans="2:18" s="1" customFormat="1" ht="16.5" customHeight="1">
      <c r="B53" s="274" t="s">
        <v>93</v>
      </c>
      <c r="C53" s="141">
        <v>175000</v>
      </c>
      <c r="D53" s="260"/>
      <c r="E53" s="289" t="s">
        <v>79</v>
      </c>
      <c r="F53" s="290">
        <v>7</v>
      </c>
      <c r="G53" s="291">
        <f t="shared" si="1"/>
        <v>0</v>
      </c>
      <c r="H53" s="292"/>
      <c r="I53" s="291">
        <f t="shared" si="6"/>
        <v>0</v>
      </c>
      <c r="J53" s="293"/>
      <c r="K53" s="291">
        <f t="shared" si="7"/>
        <v>0</v>
      </c>
      <c r="L53" s="292">
        <v>2</v>
      </c>
      <c r="M53" s="406">
        <f t="shared" si="2"/>
        <v>0</v>
      </c>
      <c r="N53" s="294">
        <v>2</v>
      </c>
      <c r="O53" s="291">
        <f t="shared" si="3"/>
        <v>0</v>
      </c>
      <c r="P53" s="295">
        <v>2</v>
      </c>
      <c r="Q53" s="291">
        <f t="shared" si="4"/>
        <v>0</v>
      </c>
      <c r="R53" s="296">
        <f t="shared" si="5"/>
        <v>0</v>
      </c>
    </row>
    <row r="54" spans="2:18" s="1" customFormat="1" ht="16.5" customHeight="1">
      <c r="B54" s="274" t="s">
        <v>92</v>
      </c>
      <c r="C54" s="141">
        <v>175000</v>
      </c>
      <c r="D54" s="260"/>
      <c r="E54" s="289" t="s">
        <v>78</v>
      </c>
      <c r="F54" s="290">
        <v>7</v>
      </c>
      <c r="G54" s="291">
        <f t="shared" si="1"/>
        <v>0</v>
      </c>
      <c r="H54" s="292"/>
      <c r="I54" s="291">
        <f t="shared" si="6"/>
        <v>0</v>
      </c>
      <c r="J54" s="293"/>
      <c r="K54" s="291">
        <f t="shared" si="7"/>
        <v>0</v>
      </c>
      <c r="L54" s="292">
        <v>2</v>
      </c>
      <c r="M54" s="406">
        <f t="shared" si="2"/>
        <v>0</v>
      </c>
      <c r="N54" s="294">
        <v>2</v>
      </c>
      <c r="O54" s="291">
        <f t="shared" si="3"/>
        <v>0</v>
      </c>
      <c r="P54" s="295">
        <v>2</v>
      </c>
      <c r="Q54" s="291">
        <f t="shared" si="4"/>
        <v>0</v>
      </c>
      <c r="R54" s="296">
        <f t="shared" si="5"/>
        <v>0</v>
      </c>
    </row>
    <row r="55" spans="2:18" s="1" customFormat="1" ht="16.5" customHeight="1">
      <c r="B55" s="274" t="s">
        <v>91</v>
      </c>
      <c r="C55" s="141">
        <v>12000</v>
      </c>
      <c r="D55" s="260"/>
      <c r="E55" s="289" t="s">
        <v>77</v>
      </c>
      <c r="F55" s="290">
        <v>7</v>
      </c>
      <c r="G55" s="291">
        <f t="shared" si="1"/>
        <v>0</v>
      </c>
      <c r="H55" s="292"/>
      <c r="I55" s="291">
        <f t="shared" si="6"/>
        <v>0</v>
      </c>
      <c r="J55" s="293"/>
      <c r="K55" s="291">
        <f t="shared" si="7"/>
        <v>0</v>
      </c>
      <c r="L55" s="292">
        <v>2</v>
      </c>
      <c r="M55" s="406">
        <f t="shared" si="2"/>
        <v>0</v>
      </c>
      <c r="N55" s="294">
        <v>2</v>
      </c>
      <c r="O55" s="291">
        <f t="shared" si="3"/>
        <v>0</v>
      </c>
      <c r="P55" s="295">
        <v>2</v>
      </c>
      <c r="Q55" s="291">
        <f t="shared" si="4"/>
        <v>0</v>
      </c>
      <c r="R55" s="296">
        <f t="shared" si="5"/>
        <v>0</v>
      </c>
    </row>
    <row r="56" spans="2:18" s="1" customFormat="1" ht="16.5" customHeight="1">
      <c r="B56" s="274" t="s">
        <v>90</v>
      </c>
      <c r="C56" s="141">
        <v>25000</v>
      </c>
      <c r="D56" s="260"/>
      <c r="E56" s="289" t="s">
        <v>76</v>
      </c>
      <c r="F56" s="290">
        <v>7</v>
      </c>
      <c r="G56" s="291">
        <f t="shared" si="1"/>
        <v>0</v>
      </c>
      <c r="H56" s="292"/>
      <c r="I56" s="291">
        <f t="shared" si="6"/>
        <v>0</v>
      </c>
      <c r="J56" s="293"/>
      <c r="K56" s="291">
        <f t="shared" si="7"/>
        <v>0</v>
      </c>
      <c r="L56" s="292">
        <v>2</v>
      </c>
      <c r="M56" s="406">
        <f t="shared" si="2"/>
        <v>0</v>
      </c>
      <c r="N56" s="294">
        <v>2</v>
      </c>
      <c r="O56" s="291">
        <f t="shared" si="3"/>
        <v>0</v>
      </c>
      <c r="P56" s="295">
        <v>2</v>
      </c>
      <c r="Q56" s="291">
        <f t="shared" si="4"/>
        <v>0</v>
      </c>
      <c r="R56" s="296">
        <f t="shared" si="5"/>
        <v>0</v>
      </c>
    </row>
    <row r="57" spans="2:18" s="1" customFormat="1" ht="16.5" customHeight="1">
      <c r="B57" s="297" t="s">
        <v>89</v>
      </c>
      <c r="C57" s="298">
        <v>92</v>
      </c>
      <c r="D57" s="260"/>
      <c r="E57" s="289" t="s">
        <v>75</v>
      </c>
      <c r="F57" s="290">
        <v>7</v>
      </c>
      <c r="G57" s="291">
        <f t="shared" si="1"/>
        <v>0</v>
      </c>
      <c r="H57" s="292"/>
      <c r="I57" s="291">
        <f t="shared" si="6"/>
        <v>0</v>
      </c>
      <c r="J57" s="293"/>
      <c r="K57" s="291">
        <f t="shared" si="7"/>
        <v>0</v>
      </c>
      <c r="L57" s="292">
        <v>2</v>
      </c>
      <c r="M57" s="406">
        <f t="shared" si="2"/>
        <v>0</v>
      </c>
      <c r="N57" s="294">
        <v>2</v>
      </c>
      <c r="O57" s="291">
        <f t="shared" si="3"/>
        <v>0</v>
      </c>
      <c r="P57" s="295">
        <v>2</v>
      </c>
      <c r="Q57" s="291">
        <f t="shared" si="4"/>
        <v>0</v>
      </c>
      <c r="R57" s="296">
        <f t="shared" si="5"/>
        <v>0</v>
      </c>
    </row>
    <row r="58" spans="2:18" s="1" customFormat="1" ht="16.5" customHeight="1">
      <c r="B58" s="299" t="s">
        <v>88</v>
      </c>
      <c r="C58" s="300"/>
      <c r="D58" s="260"/>
      <c r="E58" s="289" t="s">
        <v>74</v>
      </c>
      <c r="F58" s="290">
        <v>7</v>
      </c>
      <c r="G58" s="291">
        <f t="shared" si="1"/>
        <v>0</v>
      </c>
      <c r="H58" s="292"/>
      <c r="I58" s="291">
        <f t="shared" si="6"/>
        <v>0</v>
      </c>
      <c r="J58" s="293"/>
      <c r="K58" s="291">
        <f t="shared" si="7"/>
        <v>0</v>
      </c>
      <c r="L58" s="292">
        <v>2</v>
      </c>
      <c r="M58" s="406">
        <f t="shared" si="2"/>
        <v>0</v>
      </c>
      <c r="N58" s="294">
        <v>2</v>
      </c>
      <c r="O58" s="291">
        <f t="shared" si="3"/>
        <v>0</v>
      </c>
      <c r="P58" s="295">
        <v>2</v>
      </c>
      <c r="Q58" s="291">
        <f t="shared" si="4"/>
        <v>0</v>
      </c>
      <c r="R58" s="296">
        <f t="shared" si="5"/>
        <v>0</v>
      </c>
    </row>
    <row r="59" spans="2:18" s="1" customFormat="1" ht="16.5" customHeight="1">
      <c r="B59" s="513" t="s">
        <v>87</v>
      </c>
      <c r="C59" s="514">
        <v>1</v>
      </c>
      <c r="D59" s="260"/>
      <c r="E59" s="303"/>
      <c r="F59" s="304"/>
      <c r="G59" s="305"/>
      <c r="H59" s="306"/>
      <c r="I59" s="307"/>
      <c r="J59" s="308"/>
      <c r="K59" s="307"/>
      <c r="L59" s="306"/>
      <c r="M59" s="409"/>
      <c r="N59" s="304"/>
      <c r="O59" s="305"/>
      <c r="P59" s="306"/>
      <c r="Q59" s="307"/>
      <c r="R59" s="309"/>
    </row>
    <row r="60" spans="2:18" s="1" customFormat="1" ht="16.5" customHeight="1" thickBot="1">
      <c r="B60" s="513" t="s">
        <v>86</v>
      </c>
      <c r="C60" s="513">
        <f t="shared" ref="C60:C70" si="8">SUM(C59+(C59*$B$5))</f>
        <v>1</v>
      </c>
      <c r="D60" s="260"/>
      <c r="E60" s="310" t="s">
        <v>85</v>
      </c>
      <c r="F60" s="311"/>
      <c r="G60" s="312">
        <f>SUM(G47:G58)</f>
        <v>0</v>
      </c>
      <c r="H60" s="313"/>
      <c r="I60" s="312">
        <f>SUM(I47:I58)</f>
        <v>6866.67</v>
      </c>
      <c r="J60" s="314"/>
      <c r="K60" s="312">
        <f>SUM(K47:K58)</f>
        <v>5460</v>
      </c>
      <c r="L60" s="313"/>
      <c r="M60" s="410">
        <f>SUM(M47:M58)</f>
        <v>0</v>
      </c>
      <c r="N60" s="315"/>
      <c r="O60" s="312">
        <f>SUM(O47:O58)</f>
        <v>0</v>
      </c>
      <c r="P60" s="313"/>
      <c r="Q60" s="312">
        <f>SUM(Q47:Q58)</f>
        <v>0</v>
      </c>
      <c r="R60" s="316">
        <f>SUM(R47:R58)</f>
        <v>12326.67</v>
      </c>
    </row>
    <row r="61" spans="2:18" s="1" customFormat="1" ht="16.5" customHeight="1" thickTop="1" thickBot="1">
      <c r="B61" s="513" t="s">
        <v>84</v>
      </c>
      <c r="C61" s="513">
        <f t="shared" si="8"/>
        <v>1</v>
      </c>
      <c r="D61" s="269"/>
      <c r="E61" s="317"/>
      <c r="F61" s="318"/>
      <c r="G61" s="319"/>
      <c r="H61" s="320"/>
      <c r="I61" s="319"/>
      <c r="J61" s="321"/>
      <c r="K61" s="319"/>
      <c r="L61" s="320"/>
      <c r="M61" s="411"/>
      <c r="N61" s="318"/>
      <c r="O61" s="322"/>
      <c r="P61" s="320"/>
      <c r="Q61" s="319"/>
      <c r="R61" s="323"/>
    </row>
    <row r="62" spans="2:18" s="1" customFormat="1" ht="16.5" customHeight="1">
      <c r="B62" s="513" t="s">
        <v>83</v>
      </c>
      <c r="C62" s="515">
        <f t="shared" si="8"/>
        <v>1</v>
      </c>
      <c r="D62" s="269"/>
      <c r="E62" s="269"/>
      <c r="F62" s="325"/>
      <c r="G62" s="269"/>
      <c r="H62" s="326"/>
      <c r="I62" s="269"/>
      <c r="J62" s="327"/>
      <c r="K62" s="269"/>
      <c r="L62" s="326"/>
      <c r="M62" s="412"/>
      <c r="N62" s="325"/>
      <c r="O62" s="269"/>
      <c r="P62" s="326"/>
      <c r="Q62" s="269"/>
      <c r="R62" s="269"/>
    </row>
    <row r="63" spans="2:18" s="1" customFormat="1" ht="16.5" customHeight="1">
      <c r="B63" s="513" t="s">
        <v>82</v>
      </c>
      <c r="C63" s="515">
        <f t="shared" si="8"/>
        <v>1</v>
      </c>
      <c r="D63" s="269"/>
      <c r="E63" s="269" t="s">
        <v>81</v>
      </c>
      <c r="F63" s="325"/>
      <c r="G63" s="269"/>
      <c r="H63" s="326"/>
      <c r="I63" s="269"/>
      <c r="J63" s="327"/>
      <c r="K63" s="269"/>
      <c r="L63" s="326"/>
      <c r="M63" s="412"/>
      <c r="N63" s="325"/>
      <c r="O63" s="269"/>
      <c r="P63" s="326"/>
      <c r="Q63" s="269"/>
      <c r="R63" s="269"/>
    </row>
    <row r="64" spans="2:18" s="1" customFormat="1" ht="16.5" customHeight="1">
      <c r="B64" s="513" t="s">
        <v>80</v>
      </c>
      <c r="C64" s="515">
        <f t="shared" si="8"/>
        <v>1</v>
      </c>
      <c r="D64" s="269"/>
      <c r="E64" s="269"/>
      <c r="F64" s="325"/>
      <c r="G64" s="269"/>
      <c r="H64" s="326"/>
      <c r="I64" s="269"/>
      <c r="J64" s="327"/>
      <c r="K64" s="269"/>
      <c r="L64" s="326"/>
      <c r="M64" s="412"/>
      <c r="N64" s="325"/>
      <c r="O64" s="269"/>
      <c r="P64" s="326"/>
      <c r="Q64" s="269"/>
      <c r="R64" s="269"/>
    </row>
    <row r="65" spans="2:18" s="1" customFormat="1" ht="16.5" customHeight="1">
      <c r="B65" s="513" t="s">
        <v>79</v>
      </c>
      <c r="C65" s="515">
        <f t="shared" si="8"/>
        <v>1</v>
      </c>
      <c r="D65" s="269"/>
      <c r="E65" s="413" t="s">
        <v>291</v>
      </c>
      <c r="F65" s="414"/>
      <c r="G65" s="415"/>
      <c r="H65" s="416"/>
      <c r="I65" s="413"/>
      <c r="J65" s="417"/>
      <c r="K65" s="413"/>
      <c r="L65" s="417"/>
      <c r="M65" s="413"/>
      <c r="N65" s="417"/>
      <c r="O65" s="413"/>
      <c r="P65" s="326"/>
      <c r="Q65" s="269"/>
      <c r="R65" s="269"/>
    </row>
    <row r="66" spans="2:18" s="1" customFormat="1" ht="16.5" customHeight="1">
      <c r="B66" s="513" t="s">
        <v>78</v>
      </c>
      <c r="C66" s="515">
        <f t="shared" si="8"/>
        <v>1</v>
      </c>
      <c r="D66" s="269"/>
      <c r="E66" s="418" t="s">
        <v>292</v>
      </c>
      <c r="F66" s="419"/>
      <c r="G66" s="418"/>
      <c r="H66" s="420"/>
      <c r="I66" s="269"/>
      <c r="J66" s="326"/>
      <c r="K66" s="269"/>
      <c r="L66" s="326"/>
      <c r="M66" s="269"/>
      <c r="N66" s="326"/>
      <c r="O66" s="269"/>
      <c r="P66" s="326"/>
      <c r="Q66" s="269"/>
      <c r="R66" s="269"/>
    </row>
    <row r="67" spans="2:18" s="1" customFormat="1" ht="16.5" customHeight="1">
      <c r="B67" s="513" t="s">
        <v>77</v>
      </c>
      <c r="C67" s="515">
        <f t="shared" si="8"/>
        <v>1</v>
      </c>
      <c r="D67" s="269"/>
      <c r="E67" s="269"/>
      <c r="F67" s="325"/>
      <c r="G67" s="269"/>
      <c r="H67" s="326"/>
      <c r="I67" s="269"/>
      <c r="J67" s="327"/>
      <c r="K67" s="269"/>
      <c r="L67" s="326"/>
      <c r="M67" s="412"/>
      <c r="N67" s="325"/>
      <c r="O67" s="269"/>
      <c r="P67" s="326"/>
      <c r="Q67" s="269"/>
      <c r="R67" s="269"/>
    </row>
    <row r="68" spans="2:18" s="1" customFormat="1" ht="16.5" customHeight="1">
      <c r="B68" s="513" t="s">
        <v>76</v>
      </c>
      <c r="C68" s="515">
        <f t="shared" si="8"/>
        <v>1</v>
      </c>
      <c r="D68" s="269"/>
      <c r="E68" s="269"/>
      <c r="F68" s="325"/>
      <c r="G68" s="269"/>
      <c r="H68" s="326"/>
      <c r="I68" s="269"/>
      <c r="J68" s="327"/>
      <c r="K68" s="269"/>
      <c r="L68" s="326"/>
      <c r="M68" s="412"/>
      <c r="N68" s="325"/>
      <c r="O68" s="269"/>
      <c r="P68" s="326"/>
      <c r="Q68" s="269"/>
      <c r="R68" s="269"/>
    </row>
    <row r="69" spans="2:18" s="1" customFormat="1" ht="16.5" customHeight="1">
      <c r="B69" s="513" t="s">
        <v>75</v>
      </c>
      <c r="C69" s="515">
        <f t="shared" si="8"/>
        <v>1</v>
      </c>
      <c r="D69" s="269"/>
      <c r="E69" s="269"/>
      <c r="F69" s="325"/>
      <c r="G69" s="269"/>
      <c r="H69" s="326"/>
      <c r="I69" s="269"/>
      <c r="J69" s="327"/>
      <c r="K69" s="269"/>
      <c r="L69" s="326"/>
      <c r="M69" s="412"/>
      <c r="N69" s="325"/>
      <c r="O69" s="269"/>
      <c r="P69" s="326"/>
      <c r="Q69" s="269"/>
      <c r="R69" s="269"/>
    </row>
    <row r="70" spans="2:18" s="1" customFormat="1" ht="16.5" customHeight="1">
      <c r="B70" s="513" t="s">
        <v>74</v>
      </c>
      <c r="C70" s="515">
        <f t="shared" si="8"/>
        <v>1</v>
      </c>
      <c r="D70" s="269"/>
      <c r="E70" s="269"/>
      <c r="F70" s="325"/>
      <c r="G70" s="269"/>
      <c r="H70" s="326"/>
      <c r="I70" s="269"/>
      <c r="J70" s="327"/>
      <c r="K70" s="269"/>
      <c r="L70" s="326"/>
      <c r="M70" s="412"/>
      <c r="N70" s="325"/>
      <c r="O70" s="269"/>
      <c r="P70" s="326"/>
      <c r="Q70" s="269"/>
      <c r="R70" s="269"/>
    </row>
    <row r="72" spans="2:18" s="1" customFormat="1" ht="16.5" customHeight="1">
      <c r="B72" s="268"/>
      <c r="C72" s="268"/>
      <c r="D72" s="269"/>
      <c r="E72" s="270" t="s">
        <v>118</v>
      </c>
      <c r="F72" s="270"/>
      <c r="G72" s="270"/>
      <c r="H72" s="270"/>
      <c r="I72" s="270"/>
      <c r="J72" s="270"/>
      <c r="K72" s="270"/>
      <c r="L72" s="270"/>
      <c r="M72" s="270"/>
      <c r="N72" s="270"/>
      <c r="O72" s="270"/>
      <c r="P72" s="270"/>
      <c r="Q72" s="270"/>
      <c r="R72" s="270"/>
    </row>
    <row r="73" spans="2:18" s="1" customFormat="1" ht="16.5" customHeight="1">
      <c r="B73" s="271" t="s">
        <v>1300</v>
      </c>
      <c r="C73" s="272" t="s">
        <v>1301</v>
      </c>
      <c r="D73" s="269"/>
      <c r="E73" s="273" t="s">
        <v>1802</v>
      </c>
      <c r="F73" s="273"/>
      <c r="G73" s="273"/>
      <c r="H73" s="273"/>
      <c r="I73" s="273"/>
      <c r="J73" s="273"/>
      <c r="K73" s="273"/>
      <c r="L73" s="273"/>
      <c r="M73" s="273"/>
      <c r="N73" s="273"/>
      <c r="O73" s="273"/>
      <c r="P73" s="273"/>
      <c r="Q73" s="273"/>
      <c r="R73" s="273"/>
    </row>
    <row r="74" spans="2:18" s="1" customFormat="1" ht="16.5" customHeight="1">
      <c r="B74" s="274" t="s">
        <v>115</v>
      </c>
      <c r="C74" s="275" t="s">
        <v>289</v>
      </c>
      <c r="D74" s="269"/>
      <c r="E74" s="270" t="s">
        <v>119</v>
      </c>
      <c r="F74" s="270"/>
      <c r="G74" s="270"/>
      <c r="H74" s="270"/>
      <c r="I74" s="270"/>
      <c r="J74" s="270"/>
      <c r="K74" s="270"/>
      <c r="L74" s="270"/>
      <c r="M74" s="270"/>
      <c r="N74" s="270"/>
      <c r="O74" s="270"/>
      <c r="P74" s="270"/>
      <c r="Q74" s="270"/>
      <c r="R74" s="270"/>
    </row>
    <row r="75" spans="2:18" s="1" customFormat="1" ht="16.5" customHeight="1" thickBot="1">
      <c r="B75" s="274" t="s">
        <v>112</v>
      </c>
      <c r="C75" s="276">
        <v>93175</v>
      </c>
      <c r="D75" s="268"/>
      <c r="E75" s="330" t="s">
        <v>1303</v>
      </c>
      <c r="F75" s="330"/>
      <c r="G75" s="330"/>
      <c r="H75" s="330"/>
      <c r="I75" s="330"/>
      <c r="J75" s="330"/>
      <c r="K75" s="330"/>
      <c r="L75" s="330"/>
      <c r="M75" s="330"/>
      <c r="N75" s="330"/>
      <c r="O75" s="330"/>
      <c r="P75" s="330"/>
      <c r="Q75" s="330"/>
      <c r="R75" s="330"/>
    </row>
    <row r="76" spans="2:18" s="1" customFormat="1" ht="16.5" customHeight="1">
      <c r="B76" s="274" t="s">
        <v>110</v>
      </c>
      <c r="C76" s="277"/>
      <c r="D76" s="260"/>
      <c r="E76" s="278" t="s">
        <v>109</v>
      </c>
      <c r="F76" s="279" t="s">
        <v>108</v>
      </c>
      <c r="G76" s="280"/>
      <c r="H76" s="279" t="s">
        <v>107</v>
      </c>
      <c r="I76" s="280"/>
      <c r="J76" s="279" t="s">
        <v>106</v>
      </c>
      <c r="K76" s="280"/>
      <c r="L76" s="279" t="s">
        <v>105</v>
      </c>
      <c r="M76" s="280"/>
      <c r="N76" s="279" t="s">
        <v>96</v>
      </c>
      <c r="O76" s="280"/>
      <c r="P76" s="279" t="s">
        <v>104</v>
      </c>
      <c r="Q76" s="280"/>
      <c r="R76" s="281" t="s">
        <v>103</v>
      </c>
    </row>
    <row r="77" spans="2:18" s="1" customFormat="1" ht="16.5" customHeight="1">
      <c r="B77" s="274" t="s">
        <v>102</v>
      </c>
      <c r="C77" s="283">
        <v>283</v>
      </c>
      <c r="D77" s="260"/>
      <c r="E77" s="289"/>
      <c r="F77" s="285" t="s">
        <v>101</v>
      </c>
      <c r="G77" s="331" t="s">
        <v>100</v>
      </c>
      <c r="H77" s="285" t="s">
        <v>101</v>
      </c>
      <c r="I77" s="331" t="s">
        <v>100</v>
      </c>
      <c r="J77" s="285" t="s">
        <v>101</v>
      </c>
      <c r="K77" s="331" t="s">
        <v>100</v>
      </c>
      <c r="L77" s="285" t="s">
        <v>101</v>
      </c>
      <c r="M77" s="331" t="s">
        <v>100</v>
      </c>
      <c r="N77" s="285" t="s">
        <v>101</v>
      </c>
      <c r="O77" s="331" t="s">
        <v>100</v>
      </c>
      <c r="P77" s="287" t="s">
        <v>101</v>
      </c>
      <c r="Q77" s="331" t="s">
        <v>100</v>
      </c>
      <c r="R77" s="289"/>
    </row>
    <row r="78" spans="2:18" s="1" customFormat="1" ht="16.5" customHeight="1">
      <c r="B78" s="274" t="s">
        <v>107</v>
      </c>
      <c r="C78" s="288">
        <v>6867</v>
      </c>
      <c r="D78" s="260"/>
      <c r="E78" s="289" t="s">
        <v>87</v>
      </c>
      <c r="F78" s="290">
        <v>8</v>
      </c>
      <c r="G78" s="291">
        <f t="shared" ref="G78:G89" si="9">SUM($B$6*F78)*C90</f>
        <v>0</v>
      </c>
      <c r="H78" s="292"/>
      <c r="I78" s="291">
        <f t="shared" ref="I78:I89" si="10">IF(H78&gt;0,($B$7*C90),0)</f>
        <v>0</v>
      </c>
      <c r="J78" s="293"/>
      <c r="K78" s="291">
        <f t="shared" ref="K78:K89" si="11">IF(J78&gt;0,($B$8*C90),0)</f>
        <v>0</v>
      </c>
      <c r="L78" s="292">
        <v>1.5</v>
      </c>
      <c r="M78" s="406">
        <f t="shared" ref="M78:M89" si="12">IF(L78&gt;0,($B$9*L78),0)</f>
        <v>0</v>
      </c>
      <c r="N78" s="290"/>
      <c r="O78" s="291">
        <f t="shared" ref="O78:O89" si="13">IF(N78&gt;0,($B$10*N78),0)</f>
        <v>0</v>
      </c>
      <c r="P78" s="295"/>
      <c r="Q78" s="291">
        <f t="shared" ref="Q78:Q89" si="14">SUM(P78*$B$17)*C90</f>
        <v>0</v>
      </c>
      <c r="R78" s="296">
        <f t="shared" ref="R78:R89" si="15">SUM(Q78+O78+M78+K78+I78+G78)</f>
        <v>0</v>
      </c>
    </row>
    <row r="79" spans="2:18" s="1" customFormat="1" ht="16.5" customHeight="1">
      <c r="B79" s="274" t="s">
        <v>121</v>
      </c>
      <c r="C79" s="288">
        <v>2844.96</v>
      </c>
      <c r="D79" s="260"/>
      <c r="E79" s="289" t="s">
        <v>86</v>
      </c>
      <c r="F79" s="290">
        <v>9</v>
      </c>
      <c r="G79" s="291">
        <f t="shared" si="9"/>
        <v>0</v>
      </c>
      <c r="H79" s="292"/>
      <c r="I79" s="291">
        <f t="shared" si="10"/>
        <v>0</v>
      </c>
      <c r="J79" s="293">
        <v>1</v>
      </c>
      <c r="K79" s="291">
        <f t="shared" si="11"/>
        <v>0</v>
      </c>
      <c r="L79" s="469">
        <v>3.5</v>
      </c>
      <c r="M79" s="406">
        <f t="shared" si="12"/>
        <v>0</v>
      </c>
      <c r="N79" s="294">
        <v>1</v>
      </c>
      <c r="O79" s="291">
        <f t="shared" si="13"/>
        <v>0</v>
      </c>
      <c r="P79" s="295"/>
      <c r="Q79" s="291">
        <f t="shared" si="14"/>
        <v>0</v>
      </c>
      <c r="R79" s="296">
        <f t="shared" si="15"/>
        <v>0</v>
      </c>
    </row>
    <row r="80" spans="2:18" s="1" customFormat="1" ht="16.5" customHeight="1">
      <c r="B80" s="407" t="s">
        <v>122</v>
      </c>
      <c r="C80" s="288">
        <v>324</v>
      </c>
      <c r="D80" s="260"/>
      <c r="E80" s="289" t="s">
        <v>84</v>
      </c>
      <c r="F80" s="290">
        <v>8</v>
      </c>
      <c r="G80" s="291">
        <f t="shared" si="9"/>
        <v>0</v>
      </c>
      <c r="H80" s="292"/>
      <c r="I80" s="291">
        <f t="shared" si="10"/>
        <v>0</v>
      </c>
      <c r="J80" s="293"/>
      <c r="K80" s="291">
        <f t="shared" si="11"/>
        <v>0</v>
      </c>
      <c r="L80" s="292">
        <v>3</v>
      </c>
      <c r="M80" s="406">
        <f t="shared" si="12"/>
        <v>0</v>
      </c>
      <c r="N80" s="290">
        <v>2</v>
      </c>
      <c r="O80" s="291">
        <f t="shared" si="13"/>
        <v>0</v>
      </c>
      <c r="P80" s="295"/>
      <c r="Q80" s="291">
        <f t="shared" si="14"/>
        <v>0</v>
      </c>
      <c r="R80" s="296">
        <f t="shared" si="15"/>
        <v>0</v>
      </c>
    </row>
    <row r="81" spans="2:18" s="1" customFormat="1" ht="16.5" customHeight="1">
      <c r="B81" s="408" t="s">
        <v>123</v>
      </c>
      <c r="C81" s="288">
        <v>1050</v>
      </c>
      <c r="D81" s="260"/>
      <c r="E81" s="289" t="s">
        <v>83</v>
      </c>
      <c r="F81" s="290">
        <v>7</v>
      </c>
      <c r="G81" s="291">
        <f t="shared" si="9"/>
        <v>0</v>
      </c>
      <c r="H81" s="292"/>
      <c r="I81" s="291">
        <f t="shared" si="10"/>
        <v>0</v>
      </c>
      <c r="J81" s="293"/>
      <c r="K81" s="291">
        <f t="shared" si="11"/>
        <v>0</v>
      </c>
      <c r="L81" s="292">
        <v>3</v>
      </c>
      <c r="M81" s="406">
        <f t="shared" si="12"/>
        <v>0</v>
      </c>
      <c r="N81" s="539">
        <v>1</v>
      </c>
      <c r="O81" s="291">
        <f t="shared" si="13"/>
        <v>0</v>
      </c>
      <c r="P81" s="295">
        <v>1</v>
      </c>
      <c r="Q81" s="291">
        <f t="shared" si="14"/>
        <v>0</v>
      </c>
      <c r="R81" s="296">
        <f t="shared" si="15"/>
        <v>0</v>
      </c>
    </row>
    <row r="82" spans="2:18" s="1" customFormat="1" ht="16.5" customHeight="1">
      <c r="B82" s="274" t="s">
        <v>95</v>
      </c>
      <c r="C82" s="141">
        <v>35000</v>
      </c>
      <c r="D82" s="260"/>
      <c r="E82" s="289" t="s">
        <v>82</v>
      </c>
      <c r="F82" s="290">
        <v>6</v>
      </c>
      <c r="G82" s="291">
        <f t="shared" si="9"/>
        <v>0</v>
      </c>
      <c r="H82" s="292"/>
      <c r="I82" s="291">
        <f t="shared" si="10"/>
        <v>0</v>
      </c>
      <c r="J82" s="293"/>
      <c r="K82" s="291">
        <f t="shared" si="11"/>
        <v>0</v>
      </c>
      <c r="L82" s="292">
        <v>3</v>
      </c>
      <c r="M82" s="406">
        <f t="shared" si="12"/>
        <v>0</v>
      </c>
      <c r="N82" s="290">
        <v>1</v>
      </c>
      <c r="O82" s="291">
        <f t="shared" si="13"/>
        <v>0</v>
      </c>
      <c r="P82" s="295">
        <v>1</v>
      </c>
      <c r="Q82" s="291">
        <f t="shared" si="14"/>
        <v>0</v>
      </c>
      <c r="R82" s="296">
        <f t="shared" si="15"/>
        <v>0</v>
      </c>
    </row>
    <row r="83" spans="2:18" s="1" customFormat="1" ht="16.5" customHeight="1">
      <c r="B83" s="274" t="s">
        <v>94</v>
      </c>
      <c r="C83" s="141">
        <v>5000</v>
      </c>
      <c r="D83" s="260"/>
      <c r="E83" s="289" t="s">
        <v>80</v>
      </c>
      <c r="F83" s="290"/>
      <c r="G83" s="291">
        <f t="shared" si="9"/>
        <v>0</v>
      </c>
      <c r="H83" s="292"/>
      <c r="I83" s="291">
        <f t="shared" si="10"/>
        <v>0</v>
      </c>
      <c r="J83" s="293"/>
      <c r="K83" s="291">
        <f t="shared" si="11"/>
        <v>0</v>
      </c>
      <c r="L83" s="292"/>
      <c r="M83" s="406">
        <f t="shared" si="12"/>
        <v>0</v>
      </c>
      <c r="N83" s="334"/>
      <c r="O83" s="291">
        <f t="shared" si="13"/>
        <v>0</v>
      </c>
      <c r="P83" s="295"/>
      <c r="Q83" s="291">
        <f t="shared" si="14"/>
        <v>0</v>
      </c>
      <c r="R83" s="296">
        <f t="shared" si="15"/>
        <v>0</v>
      </c>
    </row>
    <row r="84" spans="2:18" s="1" customFormat="1" ht="16.5" customHeight="1">
      <c r="B84" s="274" t="s">
        <v>93</v>
      </c>
      <c r="C84" s="141">
        <v>175000</v>
      </c>
      <c r="D84" s="260"/>
      <c r="E84" s="289" t="s">
        <v>79</v>
      </c>
      <c r="F84" s="290"/>
      <c r="G84" s="291">
        <f t="shared" si="9"/>
        <v>0</v>
      </c>
      <c r="H84" s="292"/>
      <c r="I84" s="291">
        <f t="shared" si="10"/>
        <v>0</v>
      </c>
      <c r="J84" s="293"/>
      <c r="K84" s="291">
        <f t="shared" si="11"/>
        <v>0</v>
      </c>
      <c r="L84" s="292"/>
      <c r="M84" s="406">
        <f t="shared" si="12"/>
        <v>0</v>
      </c>
      <c r="N84" s="334"/>
      <c r="O84" s="291">
        <f t="shared" si="13"/>
        <v>0</v>
      </c>
      <c r="P84" s="295"/>
      <c r="Q84" s="291">
        <f t="shared" si="14"/>
        <v>0</v>
      </c>
      <c r="R84" s="296">
        <f t="shared" si="15"/>
        <v>0</v>
      </c>
    </row>
    <row r="85" spans="2:18" s="1" customFormat="1" ht="16.5" customHeight="1">
      <c r="B85" s="274" t="s">
        <v>92</v>
      </c>
      <c r="C85" s="141">
        <v>175000</v>
      </c>
      <c r="D85" s="260"/>
      <c r="E85" s="289" t="s">
        <v>78</v>
      </c>
      <c r="F85" s="290"/>
      <c r="G85" s="291">
        <f t="shared" si="9"/>
        <v>0</v>
      </c>
      <c r="H85" s="292"/>
      <c r="I85" s="291">
        <f t="shared" si="10"/>
        <v>0</v>
      </c>
      <c r="J85" s="293"/>
      <c r="K85" s="291">
        <f t="shared" si="11"/>
        <v>0</v>
      </c>
      <c r="L85" s="292"/>
      <c r="M85" s="406">
        <f t="shared" si="12"/>
        <v>0</v>
      </c>
      <c r="N85" s="334"/>
      <c r="O85" s="291">
        <f t="shared" si="13"/>
        <v>0</v>
      </c>
      <c r="P85" s="295"/>
      <c r="Q85" s="291">
        <f t="shared" si="14"/>
        <v>0</v>
      </c>
      <c r="R85" s="296">
        <f t="shared" si="15"/>
        <v>0</v>
      </c>
    </row>
    <row r="86" spans="2:18" s="1" customFormat="1" ht="16.5" customHeight="1">
      <c r="B86" s="274" t="s">
        <v>91</v>
      </c>
      <c r="C86" s="141">
        <v>12000</v>
      </c>
      <c r="D86" s="260"/>
      <c r="E86" s="289" t="s">
        <v>77</v>
      </c>
      <c r="F86" s="290"/>
      <c r="G86" s="291">
        <f t="shared" si="9"/>
        <v>0</v>
      </c>
      <c r="H86" s="292"/>
      <c r="I86" s="291">
        <f t="shared" si="10"/>
        <v>0</v>
      </c>
      <c r="J86" s="293"/>
      <c r="K86" s="291">
        <f t="shared" si="11"/>
        <v>0</v>
      </c>
      <c r="L86" s="292"/>
      <c r="M86" s="406">
        <f t="shared" si="12"/>
        <v>0</v>
      </c>
      <c r="N86" s="290"/>
      <c r="O86" s="291">
        <f t="shared" si="13"/>
        <v>0</v>
      </c>
      <c r="P86" s="295"/>
      <c r="Q86" s="291">
        <f t="shared" si="14"/>
        <v>0</v>
      </c>
      <c r="R86" s="296">
        <f t="shared" si="15"/>
        <v>0</v>
      </c>
    </row>
    <row r="87" spans="2:18" s="1" customFormat="1" ht="16.5" customHeight="1">
      <c r="B87" s="274" t="s">
        <v>90</v>
      </c>
      <c r="C87" s="141">
        <v>25000</v>
      </c>
      <c r="D87" s="260"/>
      <c r="E87" s="289" t="s">
        <v>76</v>
      </c>
      <c r="F87" s="290"/>
      <c r="G87" s="291">
        <f t="shared" si="9"/>
        <v>0</v>
      </c>
      <c r="H87" s="292"/>
      <c r="I87" s="291">
        <f t="shared" si="10"/>
        <v>0</v>
      </c>
      <c r="J87" s="293"/>
      <c r="K87" s="291">
        <f t="shared" si="11"/>
        <v>0</v>
      </c>
      <c r="L87" s="292"/>
      <c r="M87" s="406">
        <f t="shared" si="12"/>
        <v>0</v>
      </c>
      <c r="N87" s="334"/>
      <c r="O87" s="291">
        <f t="shared" si="13"/>
        <v>0</v>
      </c>
      <c r="P87" s="295"/>
      <c r="Q87" s="291">
        <f t="shared" si="14"/>
        <v>0</v>
      </c>
      <c r="R87" s="296">
        <f t="shared" si="15"/>
        <v>0</v>
      </c>
    </row>
    <row r="88" spans="2:18" s="1" customFormat="1" ht="16.5" customHeight="1">
      <c r="B88" s="297" t="s">
        <v>89</v>
      </c>
      <c r="C88" s="298">
        <v>92</v>
      </c>
      <c r="D88" s="260"/>
      <c r="E88" s="289" t="s">
        <v>75</v>
      </c>
      <c r="F88" s="290"/>
      <c r="G88" s="291">
        <f t="shared" si="9"/>
        <v>0</v>
      </c>
      <c r="H88" s="292"/>
      <c r="I88" s="291">
        <f t="shared" si="10"/>
        <v>0</v>
      </c>
      <c r="J88" s="293"/>
      <c r="K88" s="291">
        <f t="shared" si="11"/>
        <v>0</v>
      </c>
      <c r="L88" s="292"/>
      <c r="M88" s="406">
        <f t="shared" si="12"/>
        <v>0</v>
      </c>
      <c r="N88" s="334"/>
      <c r="O88" s="291">
        <f t="shared" si="13"/>
        <v>0</v>
      </c>
      <c r="P88" s="295"/>
      <c r="Q88" s="291">
        <f t="shared" si="14"/>
        <v>0</v>
      </c>
      <c r="R88" s="296">
        <f t="shared" si="15"/>
        <v>0</v>
      </c>
    </row>
    <row r="89" spans="2:18" s="1" customFormat="1" ht="16.5" customHeight="1">
      <c r="B89" s="299" t="s">
        <v>88</v>
      </c>
      <c r="C89" s="300"/>
      <c r="D89" s="260"/>
      <c r="E89" s="289" t="s">
        <v>74</v>
      </c>
      <c r="F89" s="290"/>
      <c r="G89" s="291">
        <f t="shared" si="9"/>
        <v>0</v>
      </c>
      <c r="H89" s="292"/>
      <c r="I89" s="291">
        <f t="shared" si="10"/>
        <v>0</v>
      </c>
      <c r="J89" s="293"/>
      <c r="K89" s="291">
        <f t="shared" si="11"/>
        <v>0</v>
      </c>
      <c r="L89" s="292"/>
      <c r="M89" s="406">
        <f t="shared" si="12"/>
        <v>0</v>
      </c>
      <c r="N89" s="334"/>
      <c r="O89" s="291">
        <f t="shared" si="13"/>
        <v>0</v>
      </c>
      <c r="P89" s="295"/>
      <c r="Q89" s="291">
        <f t="shared" si="14"/>
        <v>0</v>
      </c>
      <c r="R89" s="296">
        <f t="shared" si="15"/>
        <v>0</v>
      </c>
    </row>
    <row r="90" spans="2:18" s="1" customFormat="1" ht="16.5" customHeight="1">
      <c r="B90" s="421" t="s">
        <v>87</v>
      </c>
      <c r="C90" s="422">
        <v>1</v>
      </c>
      <c r="D90" s="260"/>
      <c r="E90" s="303"/>
      <c r="F90" s="304"/>
      <c r="G90" s="305"/>
      <c r="H90" s="306"/>
      <c r="I90" s="307"/>
      <c r="J90" s="308"/>
      <c r="K90" s="307"/>
      <c r="L90" s="306"/>
      <c r="M90" s="307"/>
      <c r="N90" s="304"/>
      <c r="O90" s="307"/>
      <c r="P90" s="306"/>
      <c r="Q90" s="307"/>
      <c r="R90" s="309"/>
    </row>
    <row r="91" spans="2:18" s="1" customFormat="1" ht="16.5" customHeight="1" thickBot="1">
      <c r="B91" s="421" t="s">
        <v>86</v>
      </c>
      <c r="C91" s="421">
        <f t="shared" ref="C91:C101" si="16">SUM(C90+(C90*$B$5))</f>
        <v>1</v>
      </c>
      <c r="D91" s="260"/>
      <c r="E91" s="310" t="s">
        <v>85</v>
      </c>
      <c r="F91" s="311"/>
      <c r="G91" s="312">
        <f>SUM(G78:G89)</f>
        <v>0</v>
      </c>
      <c r="H91" s="313"/>
      <c r="I91" s="312">
        <f>SUM(I78:I89)</f>
        <v>0</v>
      </c>
      <c r="J91" s="314"/>
      <c r="K91" s="312">
        <f>SUM(K78:K89)</f>
        <v>0</v>
      </c>
      <c r="L91" s="313"/>
      <c r="M91" s="312">
        <f>SUM(M78:M89)</f>
        <v>0</v>
      </c>
      <c r="N91" s="315"/>
      <c r="O91" s="312">
        <f>SUM(O78:O89)</f>
        <v>0</v>
      </c>
      <c r="P91" s="313"/>
      <c r="Q91" s="312">
        <f>SUM(Q78:Q89)</f>
        <v>0</v>
      </c>
      <c r="R91" s="316">
        <f>SUM(R78:R89)</f>
        <v>0</v>
      </c>
    </row>
    <row r="92" spans="2:18" s="1" customFormat="1" ht="16.5" customHeight="1" thickTop="1" thickBot="1">
      <c r="B92" s="421" t="s">
        <v>84</v>
      </c>
      <c r="C92" s="421">
        <f t="shared" si="16"/>
        <v>1</v>
      </c>
      <c r="D92" s="269"/>
      <c r="E92" s="317"/>
      <c r="F92" s="318"/>
      <c r="G92" s="319"/>
      <c r="H92" s="320"/>
      <c r="I92" s="319"/>
      <c r="J92" s="321"/>
      <c r="K92" s="319"/>
      <c r="L92" s="320"/>
      <c r="M92" s="319"/>
      <c r="N92" s="318"/>
      <c r="O92" s="319"/>
      <c r="P92" s="320"/>
      <c r="Q92" s="319"/>
      <c r="R92" s="323"/>
    </row>
    <row r="93" spans="2:18" s="1" customFormat="1" ht="16.5" customHeight="1">
      <c r="B93" s="421" t="s">
        <v>83</v>
      </c>
      <c r="C93" s="423">
        <f t="shared" si="16"/>
        <v>1</v>
      </c>
      <c r="D93" s="269"/>
      <c r="E93" s="269"/>
      <c r="F93" s="335"/>
      <c r="G93" s="269"/>
      <c r="H93" s="326"/>
      <c r="I93" s="269"/>
      <c r="J93" s="326"/>
      <c r="K93" s="269"/>
      <c r="L93" s="326"/>
      <c r="M93" s="269"/>
      <c r="N93" s="326"/>
      <c r="O93" s="269"/>
      <c r="P93" s="326"/>
      <c r="Q93" s="269"/>
      <c r="R93" s="269"/>
    </row>
    <row r="94" spans="2:18" s="1" customFormat="1" ht="16.5" customHeight="1">
      <c r="B94" s="421" t="s">
        <v>82</v>
      </c>
      <c r="C94" s="423">
        <f t="shared" si="16"/>
        <v>1</v>
      </c>
      <c r="D94" s="269"/>
      <c r="E94" s="269" t="s">
        <v>124</v>
      </c>
      <c r="F94" s="335"/>
      <c r="G94" s="269"/>
      <c r="H94" s="326"/>
      <c r="I94" s="269"/>
      <c r="J94" s="326"/>
      <c r="K94" s="269"/>
      <c r="L94" s="326"/>
      <c r="M94" s="269"/>
      <c r="N94" s="326"/>
      <c r="O94" s="269"/>
      <c r="P94" s="326"/>
      <c r="Q94" s="269"/>
      <c r="R94" s="269"/>
    </row>
    <row r="95" spans="2:18" s="1" customFormat="1" ht="16.5" customHeight="1">
      <c r="B95" s="421" t="s">
        <v>80</v>
      </c>
      <c r="C95" s="423">
        <f t="shared" si="16"/>
        <v>1</v>
      </c>
      <c r="D95" s="269"/>
      <c r="E95" s="269"/>
      <c r="F95" s="335"/>
      <c r="G95" s="269"/>
      <c r="H95" s="326"/>
      <c r="I95" s="269"/>
      <c r="J95" s="326"/>
      <c r="K95" s="269"/>
      <c r="L95" s="326"/>
      <c r="M95" s="269"/>
      <c r="N95" s="326"/>
      <c r="O95" s="269"/>
      <c r="P95" s="326"/>
      <c r="Q95" s="269"/>
      <c r="R95" s="269"/>
    </row>
    <row r="96" spans="2:18" s="1" customFormat="1" ht="16.5" customHeight="1">
      <c r="B96" s="421" t="s">
        <v>79</v>
      </c>
      <c r="C96" s="423">
        <f t="shared" si="16"/>
        <v>1</v>
      </c>
      <c r="D96" s="269"/>
      <c r="E96" s="413" t="s">
        <v>291</v>
      </c>
      <c r="F96" s="414"/>
      <c r="G96" s="415"/>
      <c r="H96" s="416"/>
      <c r="I96" s="413"/>
      <c r="J96" s="417"/>
      <c r="K96" s="413"/>
      <c r="L96" s="417"/>
      <c r="M96" s="413"/>
      <c r="N96" s="417"/>
      <c r="O96" s="413"/>
      <c r="P96" s="326"/>
      <c r="Q96" s="269"/>
      <c r="R96" s="269"/>
    </row>
    <row r="97" spans="2:18" s="1" customFormat="1" ht="16.5" customHeight="1">
      <c r="B97" s="421" t="s">
        <v>78</v>
      </c>
      <c r="C97" s="423">
        <f t="shared" si="16"/>
        <v>1</v>
      </c>
      <c r="D97" s="269"/>
      <c r="E97" s="418" t="s">
        <v>292</v>
      </c>
      <c r="F97" s="419"/>
      <c r="G97" s="418"/>
      <c r="H97" s="420"/>
      <c r="I97" s="540"/>
      <c r="J97" s="541"/>
      <c r="K97" s="540"/>
      <c r="L97" s="541"/>
      <c r="M97" s="540"/>
      <c r="N97" s="542"/>
      <c r="O97" s="543"/>
      <c r="P97" s="542"/>
      <c r="Q97" s="269"/>
      <c r="R97" s="269"/>
    </row>
    <row r="98" spans="2:18" s="1" customFormat="1" ht="16.5" customHeight="1">
      <c r="B98" s="421" t="s">
        <v>77</v>
      </c>
      <c r="C98" s="423">
        <f t="shared" si="16"/>
        <v>1</v>
      </c>
      <c r="D98" s="269"/>
      <c r="E98" s="540"/>
      <c r="F98" s="544"/>
      <c r="G98" s="540"/>
      <c r="H98" s="541"/>
      <c r="I98" s="540"/>
      <c r="J98" s="542"/>
      <c r="K98" s="543"/>
      <c r="L98" s="326"/>
      <c r="M98" s="269"/>
      <c r="N98" s="326"/>
      <c r="O98" s="269"/>
      <c r="P98" s="326"/>
      <c r="Q98" s="269"/>
      <c r="R98" s="269"/>
    </row>
    <row r="99" spans="2:18" s="1" customFormat="1" ht="16.5" customHeight="1">
      <c r="B99" s="421" t="s">
        <v>76</v>
      </c>
      <c r="C99" s="423">
        <f t="shared" si="16"/>
        <v>1</v>
      </c>
      <c r="D99" s="269"/>
      <c r="E99" s="477" t="s">
        <v>1304</v>
      </c>
      <c r="F99" s="335"/>
      <c r="G99" s="269"/>
      <c r="H99" s="326"/>
      <c r="I99" s="269"/>
      <c r="J99" s="326"/>
      <c r="K99" s="269"/>
      <c r="L99" s="326"/>
      <c r="M99" s="269"/>
      <c r="N99" s="326"/>
      <c r="O99" s="269"/>
      <c r="P99" s="326"/>
      <c r="Q99" s="269"/>
      <c r="R99" s="269"/>
    </row>
    <row r="100" spans="2:18" s="1" customFormat="1" ht="16.5" customHeight="1">
      <c r="B100" s="421" t="s">
        <v>75</v>
      </c>
      <c r="C100" s="423">
        <f t="shared" si="16"/>
        <v>1</v>
      </c>
      <c r="D100" s="269"/>
      <c r="E100" s="477" t="s">
        <v>1305</v>
      </c>
      <c r="F100" s="545"/>
      <c r="G100" s="477"/>
      <c r="H100" s="546"/>
      <c r="I100" s="477"/>
      <c r="J100" s="326"/>
      <c r="K100" s="269"/>
      <c r="L100" s="326"/>
      <c r="M100" s="269"/>
      <c r="N100" s="326"/>
      <c r="O100" s="269"/>
      <c r="P100" s="326"/>
      <c r="Q100" s="269"/>
      <c r="R100" s="269"/>
    </row>
    <row r="101" spans="2:18" s="1" customFormat="1" ht="16.5" customHeight="1">
      <c r="B101" s="421" t="s">
        <v>74</v>
      </c>
      <c r="C101" s="423">
        <f t="shared" si="16"/>
        <v>1</v>
      </c>
      <c r="D101" s="269"/>
      <c r="E101" s="269"/>
      <c r="F101" s="335"/>
      <c r="G101" s="269"/>
      <c r="H101" s="326"/>
      <c r="I101" s="269"/>
      <c r="J101" s="326"/>
      <c r="K101" s="269"/>
      <c r="L101" s="326"/>
      <c r="M101" s="269"/>
      <c r="N101" s="326"/>
      <c r="O101" s="269"/>
      <c r="P101" s="326"/>
      <c r="Q101" s="269"/>
      <c r="R101" s="269"/>
    </row>
  </sheetData>
  <mergeCells count="20">
    <mergeCell ref="E72:R72"/>
    <mergeCell ref="E73:R73"/>
    <mergeCell ref="E74:R74"/>
    <mergeCell ref="E75:R75"/>
    <mergeCell ref="F76:G76"/>
    <mergeCell ref="H76:I76"/>
    <mergeCell ref="J76:K76"/>
    <mergeCell ref="L76:M76"/>
    <mergeCell ref="N76:O76"/>
    <mergeCell ref="P76:Q76"/>
    <mergeCell ref="E41:R41"/>
    <mergeCell ref="E42:R42"/>
    <mergeCell ref="E43:R43"/>
    <mergeCell ref="E44:R44"/>
    <mergeCell ref="F45:G45"/>
    <mergeCell ref="H45:I45"/>
    <mergeCell ref="J45:K45"/>
    <mergeCell ref="L45:M45"/>
    <mergeCell ref="N45:O45"/>
    <mergeCell ref="P45:Q45"/>
  </mergeCells>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markers="1" last="1">
          <x14:colorSeries rgb="FF323232"/>
          <x14:colorNegative rgb="FFD00000"/>
          <x14:colorAxis rgb="FF000000"/>
          <x14:colorMarkers rgb="FFD00000"/>
          <x14:colorFirst rgb="FFD00000"/>
          <x14:colorLast rgb="FFD00000"/>
          <x14:colorHigh rgb="FFD00000"/>
          <x14:colorLow rgb="FFD00000"/>
          <x14:sparklines>
            <x14:sparkline>
              <xm:f>'Bus 311 summary'!C19:N19</xm:f>
              <xm:sqref>P19</xm:sqref>
            </x14:sparkline>
            <x14:sparkline>
              <xm:f>'Bus 311 summary'!C20:N20</xm:f>
              <xm:sqref>P20</xm:sqref>
            </x14:sparkline>
            <x14:sparkline>
              <xm:f>'Bus 311 summary'!C21:N21</xm:f>
              <xm:sqref>P21</xm:sqref>
            </x14:sparkline>
            <x14:sparkline>
              <xm:f>'Bus 311 summary'!C22:N22</xm:f>
              <xm:sqref>P22</xm:sqref>
            </x14:sparkline>
            <x14:sparkline>
              <xm:f>'Bus 311 summary'!C23:N23</xm:f>
              <xm:sqref>P23</xm:sqref>
            </x14:sparkline>
            <x14:sparkline>
              <xm:f>'Bus 311 summary'!C24:N24</xm:f>
              <xm:sqref>P24</xm:sqref>
            </x14:sparkline>
            <x14:sparkline>
              <xm:f>'Bus 311 summary'!C25:N25</xm:f>
              <xm:sqref>P25</xm:sqref>
            </x14:sparkline>
            <x14:sparkline>
              <xm:f>'Bus 311 summary'!C26:N26</xm:f>
              <xm:sqref>P26</xm:sqref>
            </x14:sparkline>
            <x14:sparkline>
              <xm:f>'Bus 311 summary'!C27:N27</xm:f>
              <xm:sqref>P27</xm:sqref>
            </x14:sparkline>
            <x14:sparkline>
              <xm:f>'Bus 311 summary'!C28:N28</xm:f>
              <xm:sqref>P28</xm:sqref>
            </x14:sparkline>
            <x14:sparkline>
              <xm:f>'Bus 311 summary'!C29:N29</xm:f>
              <xm:sqref>P29</xm:sqref>
            </x14:sparkline>
            <x14:sparkline>
              <xm:f>'Bus 311 summary'!C30:N30</xm:f>
              <xm:sqref>P30</xm:sqref>
            </x14:sparkline>
            <x14:sparkline>
              <xm:f>'Bus 311 summary'!C31:N31</xm:f>
              <xm:sqref>P31</xm:sqref>
            </x14:sparkline>
            <x14:sparkline>
              <xm:f>'Bus 311 summary'!C32:N32</xm:f>
              <xm:sqref>P32</xm:sqref>
            </x14:sparkline>
            <x14:sparkline>
              <xm:f>'Bus 311 summary'!C33:N33</xm:f>
              <xm:sqref>P33</xm:sqref>
            </x14:sparkline>
            <x14:sparkline>
              <xm:f>'Bus 311 summary'!C34:N34</xm:f>
              <xm:sqref>P34</xm:sqref>
            </x14:sparkline>
            <x14:sparkline>
              <xm:f>'Bus 311 summary'!C35:N35</xm:f>
              <xm:sqref>P35</xm:sqref>
            </x14:sparkline>
            <x14:sparkline>
              <xm:f>'Bus 311 summary'!C36:N36</xm:f>
              <xm:sqref>P36</xm:sqref>
            </x14:sparkline>
            <x14:sparkline>
              <xm:f>'Bus 311 summary'!C37:N37</xm:f>
              <xm:sqref>P37</xm:sqref>
            </x14:sparkline>
            <x14:sparkline>
              <xm:f>'Bus 311 summary'!C38:N38</xm:f>
              <xm:sqref>P38</xm:sqref>
            </x14:sparkline>
          </x14:sparklines>
        </x14:sparklineGroup>
        <x14:sparklineGroup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311 summary'!C39:N39</xm:f>
              <xm:sqref>P39</xm:sqref>
            </x14:sparkline>
          </x14:sparklines>
        </x14:sparklineGroup>
      </x14:sparklineGroup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201"/>
  <sheetViews>
    <sheetView showGridLines="0" topLeftCell="A64" zoomScale="115" zoomScaleNormal="115" workbookViewId="0">
      <selection activeCell="I74" sqref="A1:XFD1048576"/>
    </sheetView>
  </sheetViews>
  <sheetFormatPr defaultColWidth="9.140625" defaultRowHeight="16.5" customHeight="1"/>
  <cols>
    <col min="1" max="1" width="3.140625" style="1" customWidth="1"/>
    <col min="2" max="4" width="12.28515625" style="1" customWidth="1"/>
    <col min="5" max="5" width="15.7109375" style="1" customWidth="1"/>
    <col min="6" max="6" width="41"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660</v>
      </c>
      <c r="G4" s="185" t="s">
        <v>45</v>
      </c>
    </row>
    <row r="5" spans="2:8" s="1" customFormat="1" ht="16.5" customHeight="1">
      <c r="B5" s="189">
        <v>42921</v>
      </c>
      <c r="C5" s="190">
        <v>10615</v>
      </c>
      <c r="D5" s="52">
        <v>86.45</v>
      </c>
      <c r="E5" s="190" t="s">
        <v>3</v>
      </c>
      <c r="F5" s="190" t="s">
        <v>1269</v>
      </c>
      <c r="G5" s="191" t="s">
        <v>1268</v>
      </c>
    </row>
    <row r="6" spans="2:8" s="1" customFormat="1" ht="16.5" customHeight="1">
      <c r="B6" s="189">
        <v>42921</v>
      </c>
      <c r="C6" s="190">
        <v>10615</v>
      </c>
      <c r="D6" s="52">
        <v>20</v>
      </c>
      <c r="E6" s="190" t="s">
        <v>2</v>
      </c>
      <c r="F6" s="190" t="s">
        <v>178</v>
      </c>
      <c r="G6" s="191"/>
    </row>
    <row r="7" spans="2:8" s="1" customFormat="1" ht="16.5" customHeight="1">
      <c r="B7" s="189">
        <v>42927</v>
      </c>
      <c r="C7" s="190">
        <v>10630</v>
      </c>
      <c r="D7" s="52">
        <v>12.12</v>
      </c>
      <c r="E7" s="190" t="s">
        <v>3</v>
      </c>
      <c r="F7" s="190" t="s">
        <v>1267</v>
      </c>
      <c r="G7" s="191" t="s">
        <v>1266</v>
      </c>
    </row>
    <row r="8" spans="2:8" s="1" customFormat="1" ht="16.5" customHeight="1">
      <c r="B8" s="189">
        <v>42927</v>
      </c>
      <c r="C8" s="190">
        <v>10630</v>
      </c>
      <c r="D8" s="52">
        <v>200</v>
      </c>
      <c r="E8" s="190" t="s">
        <v>2</v>
      </c>
      <c r="F8" s="547" t="s">
        <v>1265</v>
      </c>
      <c r="G8" s="548"/>
    </row>
    <row r="9" spans="2:8" s="1" customFormat="1" ht="16.5" customHeight="1">
      <c r="B9" s="189">
        <v>42934</v>
      </c>
      <c r="C9" s="190">
        <v>10642</v>
      </c>
      <c r="D9" s="52">
        <v>128.69999999999999</v>
      </c>
      <c r="E9" s="190" t="s">
        <v>1245</v>
      </c>
      <c r="F9" s="190" t="s">
        <v>1264</v>
      </c>
      <c r="G9" s="191" t="s">
        <v>1263</v>
      </c>
    </row>
    <row r="10" spans="2:8" s="1" customFormat="1" ht="16.5" customHeight="1">
      <c r="B10" s="189">
        <v>42934</v>
      </c>
      <c r="C10" s="190">
        <v>10642</v>
      </c>
      <c r="D10" s="52">
        <v>60</v>
      </c>
      <c r="E10" s="190" t="s">
        <v>2</v>
      </c>
      <c r="F10" s="190" t="s">
        <v>919</v>
      </c>
      <c r="G10" s="191"/>
    </row>
    <row r="11" spans="2:8" s="1" customFormat="1" ht="16.5" customHeight="1">
      <c r="B11" s="189">
        <v>42942</v>
      </c>
      <c r="C11" s="190">
        <v>10659</v>
      </c>
      <c r="D11" s="52">
        <v>105.18</v>
      </c>
      <c r="E11" s="190" t="s">
        <v>3</v>
      </c>
      <c r="F11" s="190" t="s">
        <v>1262</v>
      </c>
      <c r="G11" s="191" t="s">
        <v>1261</v>
      </c>
    </row>
    <row r="12" spans="2:8" s="1" customFormat="1" ht="16.5" customHeight="1">
      <c r="B12" s="189">
        <v>42942</v>
      </c>
      <c r="C12" s="190">
        <v>10659</v>
      </c>
      <c r="D12" s="52">
        <v>20</v>
      </c>
      <c r="E12" s="190" t="s">
        <v>2</v>
      </c>
      <c r="F12" s="190" t="s">
        <v>1260</v>
      </c>
      <c r="G12" s="191"/>
    </row>
    <row r="13" spans="2:8" s="1" customFormat="1" ht="16.5" customHeight="1">
      <c r="B13" s="189">
        <v>42944</v>
      </c>
      <c r="C13" s="190">
        <v>10667</v>
      </c>
      <c r="D13" s="52">
        <v>6.06</v>
      </c>
      <c r="E13" s="190" t="s">
        <v>3</v>
      </c>
      <c r="F13" s="190" t="s">
        <v>1259</v>
      </c>
      <c r="G13" s="191" t="s">
        <v>1258</v>
      </c>
    </row>
    <row r="14" spans="2:8" s="1" customFormat="1" ht="16.5" customHeight="1">
      <c r="B14" s="189">
        <v>42944</v>
      </c>
      <c r="C14" s="190">
        <v>10667</v>
      </c>
      <c r="D14" s="52">
        <v>5</v>
      </c>
      <c r="E14" s="190" t="s">
        <v>3</v>
      </c>
      <c r="F14" s="190" t="s">
        <v>1257</v>
      </c>
      <c r="G14" s="191" t="s">
        <v>1256</v>
      </c>
    </row>
    <row r="15" spans="2:8" s="1" customFormat="1" ht="16.5" customHeight="1">
      <c r="B15" s="189">
        <v>42944</v>
      </c>
      <c r="C15" s="190">
        <v>10667</v>
      </c>
      <c r="D15" s="52">
        <v>10</v>
      </c>
      <c r="E15" s="190" t="s">
        <v>2</v>
      </c>
      <c r="F15" s="190" t="s">
        <v>555</v>
      </c>
      <c r="G15" s="191"/>
    </row>
    <row r="16" spans="2:8" s="1" customFormat="1" ht="16.5" customHeight="1">
      <c r="B16" s="187">
        <v>42947</v>
      </c>
      <c r="C16" s="188">
        <v>10673</v>
      </c>
      <c r="D16" s="8">
        <v>29.33</v>
      </c>
      <c r="E16" s="188" t="s">
        <v>17</v>
      </c>
      <c r="F16" s="188" t="s">
        <v>1255</v>
      </c>
      <c r="G16" s="188" t="s">
        <v>1254</v>
      </c>
    </row>
    <row r="17" spans="2:7" s="1" customFormat="1" ht="16.5" customHeight="1">
      <c r="B17" s="187">
        <v>42947</v>
      </c>
      <c r="C17" s="188">
        <v>10673</v>
      </c>
      <c r="D17" s="8">
        <v>2.87</v>
      </c>
      <c r="E17" s="188" t="s">
        <v>17</v>
      </c>
      <c r="F17" s="188" t="s">
        <v>1253</v>
      </c>
      <c r="G17" s="188" t="s">
        <v>1252</v>
      </c>
    </row>
    <row r="18" spans="2:7" s="1" customFormat="1" ht="16.5" customHeight="1">
      <c r="B18" s="187">
        <v>42947</v>
      </c>
      <c r="C18" s="188">
        <v>10673</v>
      </c>
      <c r="D18" s="8">
        <v>7.83</v>
      </c>
      <c r="E18" s="188" t="s">
        <v>17</v>
      </c>
      <c r="F18" s="188" t="s">
        <v>1251</v>
      </c>
      <c r="G18" s="188" t="s">
        <v>1250</v>
      </c>
    </row>
    <row r="19" spans="2:7" s="1" customFormat="1" ht="16.5" customHeight="1">
      <c r="B19" s="187">
        <v>42947</v>
      </c>
      <c r="C19" s="188">
        <v>10673</v>
      </c>
      <c r="D19" s="8">
        <v>157.13999999999999</v>
      </c>
      <c r="E19" s="188" t="s">
        <v>17</v>
      </c>
      <c r="F19" s="188" t="s">
        <v>1249</v>
      </c>
      <c r="G19" s="188" t="s">
        <v>1248</v>
      </c>
    </row>
    <row r="20" spans="2:7" s="1" customFormat="1" ht="16.5" customHeight="1">
      <c r="B20" s="187">
        <v>42947</v>
      </c>
      <c r="C20" s="188">
        <v>10673</v>
      </c>
      <c r="D20" s="8">
        <v>14</v>
      </c>
      <c r="E20" s="188" t="s">
        <v>17</v>
      </c>
      <c r="F20" s="188" t="s">
        <v>1247</v>
      </c>
      <c r="G20" s="188" t="s">
        <v>1246</v>
      </c>
    </row>
    <row r="21" spans="2:7" s="1" customFormat="1" ht="16.5" customHeight="1">
      <c r="B21" s="187">
        <v>42947</v>
      </c>
      <c r="C21" s="188">
        <v>10673</v>
      </c>
      <c r="D21" s="8">
        <v>160</v>
      </c>
      <c r="E21" s="188" t="s">
        <v>17</v>
      </c>
      <c r="F21" s="188" t="s">
        <v>69</v>
      </c>
      <c r="G21" s="188"/>
    </row>
    <row r="22" spans="2:7" s="1" customFormat="1" ht="16.5" customHeight="1">
      <c r="B22" s="189"/>
      <c r="C22" s="190"/>
      <c r="D22" s="52"/>
      <c r="E22" s="190"/>
      <c r="F22" s="190"/>
      <c r="G22" s="191"/>
    </row>
    <row r="23" spans="2:7" s="1" customFormat="1" ht="16.5" customHeight="1">
      <c r="B23" s="192" t="s">
        <v>1</v>
      </c>
      <c r="C23" s="193"/>
      <c r="D23" s="194">
        <f>SUBTOTAL(109,ExpJul163[Amount])</f>
        <v>1024.68</v>
      </c>
      <c r="E23" s="193"/>
      <c r="F23" s="193"/>
      <c r="G23" s="192"/>
    </row>
    <row r="24" spans="2:7" s="1" customFormat="1" ht="16.5" customHeight="1">
      <c r="B24" s="195"/>
      <c r="C24" s="196"/>
      <c r="D24" s="197"/>
      <c r="E24" s="196"/>
      <c r="F24" s="196"/>
      <c r="G24" s="196"/>
    </row>
    <row r="25" spans="2:7" s="1" customFormat="1" ht="27" customHeight="1">
      <c r="B25" s="205" t="s">
        <v>52</v>
      </c>
      <c r="C25" s="36"/>
      <c r="D25" s="36"/>
      <c r="E25" s="36"/>
      <c r="F25" s="36"/>
      <c r="G25" s="36"/>
    </row>
    <row r="26" spans="2:7" s="1" customFormat="1" ht="16.5" customHeight="1">
      <c r="B26" s="36"/>
      <c r="C26" s="36"/>
      <c r="D26" s="36"/>
      <c r="E26" s="36"/>
      <c r="F26" s="36"/>
      <c r="G26" s="36"/>
    </row>
    <row r="27" spans="2:7" s="1" customFormat="1" ht="16.5" customHeight="1">
      <c r="B27" s="206" t="s">
        <v>50</v>
      </c>
      <c r="C27" s="207" t="s">
        <v>53</v>
      </c>
      <c r="D27" s="206" t="s">
        <v>48</v>
      </c>
      <c r="E27" s="207" t="s">
        <v>47</v>
      </c>
      <c r="F27" s="207" t="s">
        <v>660</v>
      </c>
      <c r="G27" s="206" t="s">
        <v>45</v>
      </c>
    </row>
    <row r="28" spans="2:7" s="1" customFormat="1" ht="16.5" customHeight="1">
      <c r="B28" s="25">
        <v>42948</v>
      </c>
      <c r="C28" s="51">
        <v>10677</v>
      </c>
      <c r="D28" s="211">
        <v>7.83</v>
      </c>
      <c r="E28" s="51" t="s">
        <v>5</v>
      </c>
      <c r="F28" s="51" t="s">
        <v>1143</v>
      </c>
      <c r="G28" s="27" t="s">
        <v>1306</v>
      </c>
    </row>
    <row r="29" spans="2:7" s="1" customFormat="1" ht="16.5" customHeight="1">
      <c r="B29" s="25">
        <v>42948</v>
      </c>
      <c r="C29" s="51">
        <v>10677</v>
      </c>
      <c r="D29" s="211">
        <v>10</v>
      </c>
      <c r="E29" s="51" t="s">
        <v>2</v>
      </c>
      <c r="F29" s="51" t="s">
        <v>1307</v>
      </c>
      <c r="G29" s="27"/>
    </row>
    <row r="30" spans="2:7" s="1" customFormat="1" ht="16.5" customHeight="1">
      <c r="B30" s="25">
        <v>42971</v>
      </c>
      <c r="C30" s="51">
        <v>10740</v>
      </c>
      <c r="D30" s="211">
        <v>6.06</v>
      </c>
      <c r="E30" s="51" t="s">
        <v>3</v>
      </c>
      <c r="F30" s="51" t="s">
        <v>1308</v>
      </c>
      <c r="G30" s="27" t="s">
        <v>1309</v>
      </c>
    </row>
    <row r="31" spans="2:7" s="1" customFormat="1" ht="16.5" customHeight="1">
      <c r="B31" s="25">
        <v>42971</v>
      </c>
      <c r="C31" s="51">
        <v>10740</v>
      </c>
      <c r="D31" s="211">
        <v>10</v>
      </c>
      <c r="E31" s="51" t="s">
        <v>2</v>
      </c>
      <c r="F31" s="51" t="s">
        <v>663</v>
      </c>
      <c r="G31" s="27"/>
    </row>
    <row r="32" spans="2:7" s="1" customFormat="1" ht="16.5" customHeight="1">
      <c r="B32" s="25">
        <v>42972</v>
      </c>
      <c r="C32" s="51">
        <v>10742</v>
      </c>
      <c r="D32" s="211">
        <v>7.83</v>
      </c>
      <c r="E32" s="51" t="s">
        <v>5</v>
      </c>
      <c r="F32" s="51" t="s">
        <v>1310</v>
      </c>
      <c r="G32" s="27" t="s">
        <v>1311</v>
      </c>
    </row>
    <row r="33" spans="2:7" s="1" customFormat="1" ht="16.5" customHeight="1">
      <c r="B33" s="25">
        <v>42972</v>
      </c>
      <c r="C33" s="51">
        <v>10742</v>
      </c>
      <c r="D33" s="211">
        <v>10</v>
      </c>
      <c r="E33" s="51" t="s">
        <v>2</v>
      </c>
      <c r="F33" s="51" t="s">
        <v>772</v>
      </c>
      <c r="G33" s="27"/>
    </row>
    <row r="34" spans="2:7" s="1" customFormat="1" ht="16.5" customHeight="1">
      <c r="B34" s="25">
        <v>42975</v>
      </c>
      <c r="C34" s="51">
        <v>10749</v>
      </c>
      <c r="D34" s="211">
        <v>44.61</v>
      </c>
      <c r="E34" s="51" t="s">
        <v>3</v>
      </c>
      <c r="F34" s="51" t="s">
        <v>768</v>
      </c>
      <c r="G34" s="27" t="s">
        <v>1312</v>
      </c>
    </row>
    <row r="35" spans="2:7" s="1" customFormat="1" ht="16.5" customHeight="1">
      <c r="B35" s="25">
        <v>42975</v>
      </c>
      <c r="C35" s="51">
        <v>10749</v>
      </c>
      <c r="D35" s="211">
        <v>35.29</v>
      </c>
      <c r="E35" s="51" t="s">
        <v>3</v>
      </c>
      <c r="F35" s="51" t="s">
        <v>1313</v>
      </c>
      <c r="G35" s="27" t="s">
        <v>1314</v>
      </c>
    </row>
    <row r="36" spans="2:7" s="1" customFormat="1" ht="16.5" customHeight="1">
      <c r="B36" s="25">
        <v>42975</v>
      </c>
      <c r="C36" s="51">
        <v>10749</v>
      </c>
      <c r="D36" s="211">
        <v>10</v>
      </c>
      <c r="E36" s="51" t="s">
        <v>2</v>
      </c>
      <c r="F36" s="51" t="s">
        <v>772</v>
      </c>
      <c r="G36" s="27"/>
    </row>
    <row r="37" spans="2:7" s="1" customFormat="1" ht="16.5" customHeight="1">
      <c r="B37" s="25">
        <v>42978</v>
      </c>
      <c r="C37" s="51">
        <v>10759</v>
      </c>
      <c r="D37" s="211">
        <v>43.19</v>
      </c>
      <c r="E37" s="51" t="s">
        <v>3</v>
      </c>
      <c r="F37" s="51" t="s">
        <v>1315</v>
      </c>
      <c r="G37" s="27" t="s">
        <v>1316</v>
      </c>
    </row>
    <row r="38" spans="2:7" s="1" customFormat="1" ht="16.5" customHeight="1">
      <c r="B38" s="25">
        <v>42978</v>
      </c>
      <c r="C38" s="51">
        <v>10759</v>
      </c>
      <c r="D38" s="211">
        <v>40</v>
      </c>
      <c r="E38" s="51" t="s">
        <v>2</v>
      </c>
      <c r="F38" s="51" t="s">
        <v>552</v>
      </c>
      <c r="G38" s="27"/>
    </row>
    <row r="39" spans="2:7" s="1" customFormat="1" ht="16.5" customHeight="1">
      <c r="B39" s="337"/>
      <c r="C39" s="338"/>
      <c r="D39" s="339"/>
      <c r="E39" s="338"/>
      <c r="F39" s="338"/>
      <c r="G39" s="340"/>
    </row>
    <row r="40" spans="2:7" s="1" customFormat="1" ht="16.5" customHeight="1">
      <c r="B40" s="212" t="s">
        <v>1</v>
      </c>
      <c r="C40" s="213"/>
      <c r="D40" s="214">
        <f>SUBTOTAL(109,ExpAug164[Amount])</f>
        <v>224.81</v>
      </c>
      <c r="E40" s="213"/>
      <c r="F40" s="213"/>
      <c r="G40" s="212"/>
    </row>
    <row r="42" spans="2:7" s="1" customFormat="1" ht="25.5" customHeight="1">
      <c r="B42" s="205" t="s">
        <v>56</v>
      </c>
      <c r="C42" s="117"/>
      <c r="D42" s="117"/>
      <c r="E42" s="117"/>
      <c r="F42" s="117"/>
      <c r="G42" s="117"/>
    </row>
    <row r="43" spans="2:7" s="1" customFormat="1" ht="16.5" customHeight="1">
      <c r="B43" s="117"/>
      <c r="C43" s="117"/>
      <c r="D43" s="117"/>
      <c r="E43" s="117"/>
      <c r="F43" s="117"/>
      <c r="G43" s="117"/>
    </row>
    <row r="44" spans="2:7" s="1" customFormat="1" ht="16.5" customHeight="1">
      <c r="B44" s="206" t="s">
        <v>50</v>
      </c>
      <c r="C44" s="207" t="s">
        <v>53</v>
      </c>
      <c r="D44" s="206" t="s">
        <v>48</v>
      </c>
      <c r="E44" s="207" t="s">
        <v>47</v>
      </c>
      <c r="F44" s="207" t="s">
        <v>660</v>
      </c>
      <c r="G44" s="206" t="s">
        <v>45</v>
      </c>
    </row>
    <row r="45" spans="2:7" s="1" customFormat="1" ht="16.5" customHeight="1">
      <c r="B45" s="25">
        <v>42979</v>
      </c>
      <c r="C45" s="51">
        <v>10765</v>
      </c>
      <c r="D45" s="211">
        <v>15.15</v>
      </c>
      <c r="E45" s="51" t="s">
        <v>3</v>
      </c>
      <c r="F45" s="51" t="s">
        <v>1317</v>
      </c>
      <c r="G45" s="27" t="s">
        <v>1318</v>
      </c>
    </row>
    <row r="46" spans="2:7" s="1" customFormat="1" ht="16.5" customHeight="1">
      <c r="B46" s="25">
        <v>42979</v>
      </c>
      <c r="C46" s="51">
        <v>10765</v>
      </c>
      <c r="D46" s="211">
        <v>10</v>
      </c>
      <c r="E46" s="51" t="s">
        <v>2</v>
      </c>
      <c r="F46" s="51" t="s">
        <v>1083</v>
      </c>
      <c r="G46" s="27"/>
    </row>
    <row r="47" spans="2:7" s="1" customFormat="1" ht="16.5" customHeight="1">
      <c r="B47" s="25">
        <v>42984</v>
      </c>
      <c r="C47" s="51">
        <v>10773</v>
      </c>
      <c r="D47" s="211">
        <v>7.83</v>
      </c>
      <c r="E47" s="51" t="s">
        <v>5</v>
      </c>
      <c r="F47" s="51" t="s">
        <v>1319</v>
      </c>
      <c r="G47" s="27" t="s">
        <v>1320</v>
      </c>
    </row>
    <row r="48" spans="2:7" s="1" customFormat="1" ht="16.5" customHeight="1">
      <c r="B48" s="25">
        <v>42984</v>
      </c>
      <c r="C48" s="51">
        <v>10773</v>
      </c>
      <c r="D48" s="211">
        <v>10</v>
      </c>
      <c r="E48" s="51" t="s">
        <v>2</v>
      </c>
      <c r="F48" s="51" t="s">
        <v>1083</v>
      </c>
      <c r="G48" s="27"/>
    </row>
    <row r="49" spans="2:7" s="1" customFormat="1" ht="16.5" customHeight="1">
      <c r="B49" s="208">
        <v>42992</v>
      </c>
      <c r="C49" s="209">
        <v>10796</v>
      </c>
      <c r="D49" s="210">
        <v>2.87</v>
      </c>
      <c r="E49" s="209" t="s">
        <v>17</v>
      </c>
      <c r="F49" s="209" t="s">
        <v>1321</v>
      </c>
      <c r="G49" s="209" t="s">
        <v>1322</v>
      </c>
    </row>
    <row r="50" spans="2:7" s="1" customFormat="1" ht="16.5" customHeight="1">
      <c r="B50" s="208">
        <v>42992</v>
      </c>
      <c r="C50" s="209">
        <v>10796</v>
      </c>
      <c r="D50" s="210">
        <v>42.89</v>
      </c>
      <c r="E50" s="209" t="s">
        <v>17</v>
      </c>
      <c r="F50" s="209" t="s">
        <v>1323</v>
      </c>
      <c r="G50" s="209" t="s">
        <v>1324</v>
      </c>
    </row>
    <row r="51" spans="2:7" s="1" customFormat="1" ht="16.5" customHeight="1">
      <c r="B51" s="208">
        <v>42992</v>
      </c>
      <c r="C51" s="209">
        <v>10796</v>
      </c>
      <c r="D51" s="210">
        <v>96.18</v>
      </c>
      <c r="E51" s="209" t="s">
        <v>17</v>
      </c>
      <c r="F51" s="209" t="s">
        <v>1325</v>
      </c>
      <c r="G51" s="209" t="s">
        <v>1326</v>
      </c>
    </row>
    <row r="52" spans="2:7" s="1" customFormat="1" ht="16.5" customHeight="1">
      <c r="B52" s="208">
        <v>42992</v>
      </c>
      <c r="C52" s="209">
        <v>10796</v>
      </c>
      <c r="D52" s="210">
        <v>10.44</v>
      </c>
      <c r="E52" s="209" t="s">
        <v>17</v>
      </c>
      <c r="F52" s="209" t="s">
        <v>1327</v>
      </c>
      <c r="G52" s="209" t="s">
        <v>1328</v>
      </c>
    </row>
    <row r="53" spans="2:7" s="1" customFormat="1" ht="16.5" customHeight="1">
      <c r="B53" s="208">
        <v>42992</v>
      </c>
      <c r="C53" s="209">
        <v>10796</v>
      </c>
      <c r="D53" s="210">
        <v>2.79</v>
      </c>
      <c r="E53" s="209" t="s">
        <v>17</v>
      </c>
      <c r="F53" s="209" t="s">
        <v>1329</v>
      </c>
      <c r="G53" s="209" t="s">
        <v>1330</v>
      </c>
    </row>
    <row r="54" spans="2:7" s="1" customFormat="1" ht="16.5" customHeight="1">
      <c r="B54" s="208">
        <v>42992</v>
      </c>
      <c r="C54" s="209">
        <v>10796</v>
      </c>
      <c r="D54" s="210">
        <v>6.08</v>
      </c>
      <c r="E54" s="209" t="s">
        <v>17</v>
      </c>
      <c r="F54" s="209" t="s">
        <v>1331</v>
      </c>
      <c r="G54" s="209" t="s">
        <v>1332</v>
      </c>
    </row>
    <row r="55" spans="2:7" s="1" customFormat="1" ht="16.5" customHeight="1">
      <c r="B55" s="341">
        <v>42992</v>
      </c>
      <c r="C55" s="342">
        <v>10796</v>
      </c>
      <c r="D55" s="343">
        <v>14</v>
      </c>
      <c r="E55" s="342" t="s">
        <v>17</v>
      </c>
      <c r="F55" s="342" t="s">
        <v>1333</v>
      </c>
      <c r="G55" s="342" t="s">
        <v>1334</v>
      </c>
    </row>
    <row r="56" spans="2:7" s="1" customFormat="1" ht="16.5" customHeight="1">
      <c r="B56" s="341">
        <v>42992</v>
      </c>
      <c r="C56" s="342">
        <v>10796</v>
      </c>
      <c r="D56" s="343">
        <v>160</v>
      </c>
      <c r="E56" s="342" t="s">
        <v>17</v>
      </c>
      <c r="F56" s="342" t="s">
        <v>69</v>
      </c>
      <c r="G56" s="342"/>
    </row>
    <row r="57" spans="2:7" s="1" customFormat="1" ht="16.5" customHeight="1">
      <c r="B57" s="337">
        <v>43003</v>
      </c>
      <c r="C57" s="338">
        <v>10815</v>
      </c>
      <c r="D57" s="339">
        <v>15.66</v>
      </c>
      <c r="E57" s="338" t="s">
        <v>5</v>
      </c>
      <c r="F57" s="338" t="s">
        <v>1335</v>
      </c>
      <c r="G57" s="340" t="s">
        <v>1336</v>
      </c>
    </row>
    <row r="58" spans="2:7" s="1" customFormat="1" ht="16.5" customHeight="1">
      <c r="B58" s="337">
        <v>43003</v>
      </c>
      <c r="C58" s="338">
        <v>10815</v>
      </c>
      <c r="D58" s="339">
        <v>6.06</v>
      </c>
      <c r="E58" s="338" t="s">
        <v>3</v>
      </c>
      <c r="F58" s="338" t="s">
        <v>1337</v>
      </c>
      <c r="G58" s="340" t="s">
        <v>1338</v>
      </c>
    </row>
    <row r="59" spans="2:7" s="1" customFormat="1" ht="16.5" customHeight="1">
      <c r="B59" s="337">
        <v>43003</v>
      </c>
      <c r="C59" s="338">
        <v>10815</v>
      </c>
      <c r="D59" s="339">
        <v>2.5</v>
      </c>
      <c r="E59" s="338" t="s">
        <v>3</v>
      </c>
      <c r="F59" s="338" t="s">
        <v>1339</v>
      </c>
      <c r="G59" s="340" t="s">
        <v>1340</v>
      </c>
    </row>
    <row r="60" spans="2:7" s="1" customFormat="1" ht="16.5" customHeight="1">
      <c r="B60" s="337">
        <v>43003</v>
      </c>
      <c r="C60" s="338">
        <v>10815</v>
      </c>
      <c r="D60" s="339">
        <v>20</v>
      </c>
      <c r="E60" s="338" t="s">
        <v>2</v>
      </c>
      <c r="F60" s="338" t="s">
        <v>178</v>
      </c>
      <c r="G60" s="340"/>
    </row>
    <row r="61" spans="2:7" s="1" customFormat="1" ht="16.5" customHeight="1">
      <c r="B61" s="337"/>
      <c r="C61" s="338"/>
      <c r="D61" s="339"/>
      <c r="E61" s="338"/>
      <c r="F61" s="338"/>
      <c r="G61" s="340"/>
    </row>
    <row r="62" spans="2:7" s="1" customFormat="1" ht="16.5" customHeight="1">
      <c r="B62" s="212" t="s">
        <v>1</v>
      </c>
      <c r="C62" s="213"/>
      <c r="D62" s="214">
        <f>SUBTOTAL(109,ExpSep165[Amount])</f>
        <v>422.45000000000005</v>
      </c>
      <c r="E62" s="213"/>
      <c r="F62" s="213"/>
      <c r="G62" s="212"/>
    </row>
    <row r="64" spans="2:7" s="1" customFormat="1" ht="26.25" customHeight="1">
      <c r="B64" s="205" t="s">
        <v>70</v>
      </c>
      <c r="C64" s="117"/>
      <c r="D64" s="117"/>
      <c r="E64" s="117"/>
      <c r="F64" s="117"/>
      <c r="G64" s="117"/>
    </row>
    <row r="65" spans="2:7" s="1" customFormat="1" ht="16.5" customHeight="1">
      <c r="B65" s="117"/>
      <c r="C65" s="117"/>
      <c r="D65" s="117"/>
      <c r="E65" s="117"/>
      <c r="F65" s="117"/>
      <c r="G65" s="117"/>
    </row>
    <row r="66" spans="2:7" s="1" customFormat="1" ht="16.5" customHeight="1">
      <c r="B66" s="206" t="s">
        <v>50</v>
      </c>
      <c r="C66" s="207" t="s">
        <v>71</v>
      </c>
      <c r="D66" s="206" t="s">
        <v>48</v>
      </c>
      <c r="E66" s="207" t="s">
        <v>47</v>
      </c>
      <c r="F66" s="207" t="s">
        <v>660</v>
      </c>
      <c r="G66" s="206" t="s">
        <v>45</v>
      </c>
    </row>
    <row r="67" spans="2:7" s="1" customFormat="1" ht="16.5" customHeight="1">
      <c r="B67" s="478">
        <v>43017</v>
      </c>
      <c r="C67" s="479">
        <v>10850</v>
      </c>
      <c r="D67" s="480">
        <v>42.89</v>
      </c>
      <c r="E67" s="479" t="s">
        <v>6</v>
      </c>
      <c r="F67" s="479" t="s">
        <v>1341</v>
      </c>
      <c r="G67" s="479" t="s">
        <v>1342</v>
      </c>
    </row>
    <row r="68" spans="2:7" s="1" customFormat="1" ht="16.5" customHeight="1">
      <c r="B68" s="478">
        <v>43017</v>
      </c>
      <c r="C68" s="479">
        <v>10850</v>
      </c>
      <c r="D68" s="480">
        <v>6.15</v>
      </c>
      <c r="E68" s="479" t="s">
        <v>6</v>
      </c>
      <c r="F68" s="479" t="s">
        <v>1343</v>
      </c>
      <c r="G68" s="479" t="s">
        <v>1344</v>
      </c>
    </row>
    <row r="69" spans="2:7" s="1" customFormat="1" ht="16.5" customHeight="1">
      <c r="B69" s="478">
        <v>43017</v>
      </c>
      <c r="C69" s="479">
        <v>10850</v>
      </c>
      <c r="D69" s="480">
        <v>1.79</v>
      </c>
      <c r="E69" s="479" t="s">
        <v>6</v>
      </c>
      <c r="F69" s="479" t="s">
        <v>1345</v>
      </c>
      <c r="G69" s="479" t="s">
        <v>1346</v>
      </c>
    </row>
    <row r="70" spans="2:7" s="1" customFormat="1" ht="16.5" customHeight="1">
      <c r="B70" s="478">
        <v>43017</v>
      </c>
      <c r="C70" s="479">
        <v>10850</v>
      </c>
      <c r="D70" s="480">
        <v>4.96</v>
      </c>
      <c r="E70" s="479" t="s">
        <v>6</v>
      </c>
      <c r="F70" s="479" t="s">
        <v>1347</v>
      </c>
      <c r="G70" s="479" t="s">
        <v>1348</v>
      </c>
    </row>
    <row r="71" spans="2:7" s="1" customFormat="1" ht="16.5" customHeight="1">
      <c r="B71" s="478">
        <v>43017</v>
      </c>
      <c r="C71" s="479">
        <v>10850</v>
      </c>
      <c r="D71" s="480">
        <v>40</v>
      </c>
      <c r="E71" s="479" t="s">
        <v>6</v>
      </c>
      <c r="F71" s="479" t="s">
        <v>409</v>
      </c>
      <c r="G71" s="479"/>
    </row>
    <row r="72" spans="2:7" s="1" customFormat="1" ht="16.5" customHeight="1">
      <c r="B72" s="25">
        <v>43021</v>
      </c>
      <c r="C72" s="51">
        <v>10868</v>
      </c>
      <c r="D72" s="211">
        <v>7.83</v>
      </c>
      <c r="E72" s="51" t="s">
        <v>5</v>
      </c>
      <c r="F72" s="51" t="s">
        <v>1710</v>
      </c>
      <c r="G72" s="27" t="s">
        <v>1711</v>
      </c>
    </row>
    <row r="73" spans="2:7" s="1" customFormat="1" ht="16.5" customHeight="1">
      <c r="B73" s="25">
        <v>43021</v>
      </c>
      <c r="C73" s="51">
        <v>10868</v>
      </c>
      <c r="D73" s="211">
        <v>10</v>
      </c>
      <c r="E73" s="51" t="s">
        <v>2</v>
      </c>
      <c r="F73" s="51" t="s">
        <v>33</v>
      </c>
      <c r="G73" s="27"/>
    </row>
    <row r="74" spans="2:7" s="1" customFormat="1" ht="16.5" customHeight="1">
      <c r="B74" s="25">
        <v>43022</v>
      </c>
      <c r="C74" s="51">
        <v>10869</v>
      </c>
      <c r="D74" s="211">
        <v>1.21</v>
      </c>
      <c r="E74" s="51" t="s">
        <v>12</v>
      </c>
      <c r="F74" s="51" t="s">
        <v>1712</v>
      </c>
      <c r="G74" s="27" t="s">
        <v>1713</v>
      </c>
    </row>
    <row r="75" spans="2:7" s="1" customFormat="1" ht="16.5" customHeight="1">
      <c r="B75" s="25">
        <v>43022</v>
      </c>
      <c r="C75" s="51">
        <v>10869</v>
      </c>
      <c r="D75" s="211">
        <v>40</v>
      </c>
      <c r="E75" s="51" t="s">
        <v>2</v>
      </c>
      <c r="F75" s="51" t="s">
        <v>1714</v>
      </c>
      <c r="G75" s="27"/>
    </row>
    <row r="76" spans="2:7" s="1" customFormat="1" ht="16.5" customHeight="1">
      <c r="B76" s="25">
        <v>43024</v>
      </c>
      <c r="C76" s="51" t="s">
        <v>1723</v>
      </c>
      <c r="D76" s="211">
        <v>12</v>
      </c>
      <c r="E76" s="51" t="s">
        <v>1724</v>
      </c>
      <c r="F76" s="51" t="s">
        <v>1725</v>
      </c>
      <c r="G76" s="27" t="s">
        <v>1726</v>
      </c>
    </row>
    <row r="77" spans="2:7" s="1" customFormat="1" ht="16.5" customHeight="1">
      <c r="B77" s="25"/>
      <c r="C77" s="51"/>
      <c r="D77" s="211"/>
      <c r="E77" s="51"/>
      <c r="F77" s="51"/>
      <c r="G77" s="27"/>
    </row>
    <row r="78" spans="2:7" s="1" customFormat="1" ht="16.5" customHeight="1">
      <c r="B78" s="212" t="s">
        <v>1</v>
      </c>
      <c r="C78" s="213"/>
      <c r="D78" s="214">
        <f>SUBTOTAL(109,ExpOct166[Amount])</f>
        <v>166.82999999999998</v>
      </c>
      <c r="E78" s="213"/>
      <c r="F78" s="213"/>
      <c r="G78" s="212"/>
    </row>
    <row r="79" spans="2:7" s="1" customFormat="1" ht="16.5" customHeight="1">
      <c r="B79" s="212"/>
      <c r="C79" s="213"/>
      <c r="D79" s="214"/>
      <c r="E79" s="213"/>
      <c r="F79" s="213"/>
      <c r="G79" s="212"/>
    </row>
    <row r="81" spans="2:7" s="1" customFormat="1" ht="25.5" customHeight="1">
      <c r="B81" s="205" t="s">
        <v>159</v>
      </c>
      <c r="C81" s="117"/>
      <c r="D81" s="117"/>
      <c r="E81" s="117"/>
      <c r="F81" s="117"/>
      <c r="G81" s="117"/>
    </row>
    <row r="82" spans="2:7" s="1" customFormat="1" ht="16.5" customHeight="1">
      <c r="B82" s="117"/>
      <c r="C82" s="117"/>
      <c r="D82" s="117"/>
      <c r="E82" s="117"/>
      <c r="F82" s="117"/>
      <c r="G82" s="117"/>
    </row>
    <row r="83" spans="2:7" s="1" customFormat="1" ht="16.5" customHeight="1">
      <c r="B83" s="206" t="s">
        <v>50</v>
      </c>
      <c r="C83" s="207" t="s">
        <v>71</v>
      </c>
      <c r="D83" s="206" t="s">
        <v>48</v>
      </c>
      <c r="E83" s="207" t="s">
        <v>47</v>
      </c>
      <c r="F83" s="207" t="s">
        <v>161</v>
      </c>
      <c r="G83" s="206" t="s">
        <v>160</v>
      </c>
    </row>
    <row r="84" spans="2:7" s="1" customFormat="1" ht="16.5" customHeight="1">
      <c r="B84" s="25"/>
      <c r="C84" s="51"/>
      <c r="D84" s="211"/>
      <c r="E84" s="51"/>
      <c r="F84" s="51"/>
      <c r="G84" s="27"/>
    </row>
    <row r="85" spans="2:7" s="1" customFormat="1" ht="16.5" customHeight="1">
      <c r="B85" s="25"/>
      <c r="C85" s="51"/>
      <c r="D85" s="211"/>
      <c r="E85" s="51"/>
      <c r="F85" s="51"/>
      <c r="G85" s="27"/>
    </row>
    <row r="86" spans="2:7" s="1" customFormat="1" ht="16.5" customHeight="1">
      <c r="B86" s="25"/>
      <c r="C86" s="51"/>
      <c r="D86" s="211"/>
      <c r="E86" s="51"/>
      <c r="F86" s="51"/>
      <c r="G86" s="27"/>
    </row>
    <row r="87" spans="2:7" s="1" customFormat="1" ht="16.5" customHeight="1">
      <c r="B87" s="25"/>
      <c r="C87" s="51"/>
      <c r="D87" s="211"/>
      <c r="E87" s="51"/>
      <c r="F87" s="51"/>
      <c r="G87" s="27"/>
    </row>
    <row r="88" spans="2:7" s="1" customFormat="1" ht="16.5" customHeight="1">
      <c r="B88" s="25"/>
      <c r="C88" s="51"/>
      <c r="D88" s="211"/>
      <c r="E88" s="51"/>
      <c r="F88" s="51"/>
      <c r="G88" s="27"/>
    </row>
    <row r="89" spans="2:7" s="1" customFormat="1" ht="16.5" customHeight="1">
      <c r="B89" s="25"/>
      <c r="C89" s="51"/>
      <c r="D89" s="211"/>
      <c r="E89" s="51"/>
      <c r="F89" s="51"/>
      <c r="G89" s="27"/>
    </row>
    <row r="90" spans="2:7" s="1" customFormat="1" ht="16.5" customHeight="1">
      <c r="B90" s="25"/>
      <c r="C90" s="51"/>
      <c r="D90" s="211"/>
      <c r="E90" s="51"/>
      <c r="F90" s="51"/>
      <c r="G90" s="27"/>
    </row>
    <row r="91" spans="2:7" s="1" customFormat="1" ht="16.5" customHeight="1">
      <c r="B91" s="25"/>
      <c r="C91" s="51"/>
      <c r="D91" s="211"/>
      <c r="E91" s="51"/>
      <c r="F91" s="51"/>
      <c r="G91" s="27"/>
    </row>
    <row r="92" spans="2:7" s="1" customFormat="1" ht="16.5" customHeight="1">
      <c r="B92" s="25"/>
      <c r="C92" s="51"/>
      <c r="D92" s="211"/>
      <c r="E92" s="51"/>
      <c r="F92" s="51"/>
      <c r="G92" s="27"/>
    </row>
    <row r="93" spans="2:7" s="1" customFormat="1" ht="16.5" customHeight="1">
      <c r="B93" s="25"/>
      <c r="C93" s="51"/>
      <c r="D93" s="211"/>
      <c r="E93" s="51"/>
      <c r="F93" s="51"/>
      <c r="G93" s="27"/>
    </row>
    <row r="94" spans="2:7" s="1" customFormat="1" ht="16.5" customHeight="1">
      <c r="B94" s="212" t="s">
        <v>1</v>
      </c>
      <c r="C94" s="213"/>
      <c r="D94" s="214">
        <f>SUBTOTAL(109,ExpNov128141154167[Amount])</f>
        <v>0</v>
      </c>
      <c r="E94" s="213"/>
      <c r="F94" s="213"/>
      <c r="G94" s="212"/>
    </row>
    <row r="96" spans="2:7" s="1" customFormat="1" ht="25.5" customHeight="1">
      <c r="B96" s="205" t="s">
        <v>162</v>
      </c>
      <c r="C96" s="117"/>
      <c r="D96" s="117"/>
      <c r="E96" s="117"/>
      <c r="F96" s="117"/>
      <c r="G96" s="117"/>
    </row>
    <row r="97" spans="2:7" s="1" customFormat="1" ht="16.5" customHeight="1">
      <c r="B97" s="117"/>
      <c r="C97" s="117"/>
      <c r="D97" s="117"/>
      <c r="E97" s="117"/>
      <c r="F97" s="117"/>
      <c r="G97" s="117"/>
    </row>
    <row r="98" spans="2:7" s="1" customFormat="1" ht="16.5" customHeight="1">
      <c r="B98" s="206" t="s">
        <v>50</v>
      </c>
      <c r="C98" s="207" t="s">
        <v>71</v>
      </c>
      <c r="D98" s="206" t="s">
        <v>48</v>
      </c>
      <c r="E98" s="207" t="s">
        <v>47</v>
      </c>
      <c r="F98" s="207" t="s">
        <v>161</v>
      </c>
      <c r="G98" s="206" t="s">
        <v>160</v>
      </c>
    </row>
    <row r="99" spans="2:7" s="1" customFormat="1" ht="16.5" customHeight="1">
      <c r="B99" s="25"/>
      <c r="C99" s="51"/>
      <c r="D99" s="211"/>
      <c r="E99" s="51"/>
      <c r="F99" s="51"/>
      <c r="G99" s="27"/>
    </row>
    <row r="100" spans="2:7" s="1" customFormat="1" ht="16.5" customHeight="1">
      <c r="B100" s="25"/>
      <c r="C100" s="51"/>
      <c r="D100" s="211"/>
      <c r="E100" s="51"/>
      <c r="F100" s="51"/>
      <c r="G100" s="27"/>
    </row>
    <row r="101" spans="2:7" s="1" customFormat="1" ht="16.5" customHeight="1">
      <c r="B101" s="25"/>
      <c r="C101" s="51"/>
      <c r="D101" s="211"/>
      <c r="E101" s="51"/>
      <c r="F101" s="51"/>
      <c r="G101" s="27"/>
    </row>
    <row r="102" spans="2:7" s="1" customFormat="1" ht="16.5" customHeight="1">
      <c r="B102" s="25"/>
      <c r="C102" s="51"/>
      <c r="D102" s="211"/>
      <c r="E102" s="51"/>
      <c r="F102" s="51"/>
      <c r="G102" s="27"/>
    </row>
    <row r="103" spans="2:7" s="1" customFormat="1" ht="16.5" customHeight="1">
      <c r="B103" s="25"/>
      <c r="C103" s="51"/>
      <c r="D103" s="211"/>
      <c r="E103" s="51"/>
      <c r="F103" s="51"/>
      <c r="G103" s="27"/>
    </row>
    <row r="104" spans="2:7" s="1" customFormat="1" ht="16.5" customHeight="1">
      <c r="B104" s="25"/>
      <c r="C104" s="51"/>
      <c r="D104" s="211"/>
      <c r="E104" s="51"/>
      <c r="F104" s="51"/>
      <c r="G104" s="27"/>
    </row>
    <row r="105" spans="2:7" s="1" customFormat="1" ht="16.5" customHeight="1">
      <c r="B105" s="212" t="s">
        <v>1</v>
      </c>
      <c r="C105" s="213"/>
      <c r="D105" s="214">
        <f>SUBTOTAL(109,ExpDec129142155168[Amount])</f>
        <v>0</v>
      </c>
      <c r="E105" s="213"/>
      <c r="F105" s="213"/>
      <c r="G105" s="212"/>
    </row>
    <row r="107" spans="2:7" s="1" customFormat="1" ht="27" customHeight="1">
      <c r="B107" s="205" t="s">
        <v>163</v>
      </c>
      <c r="C107" s="117"/>
      <c r="D107" s="117"/>
      <c r="E107" s="117"/>
      <c r="F107" s="117"/>
      <c r="G107" s="117"/>
    </row>
    <row r="108" spans="2:7" s="1" customFormat="1" ht="16.5" customHeight="1">
      <c r="B108" s="117"/>
      <c r="C108" s="117"/>
      <c r="D108" s="117"/>
      <c r="E108" s="117"/>
      <c r="F108" s="117"/>
      <c r="G108" s="117"/>
    </row>
    <row r="109" spans="2:7" s="1" customFormat="1" ht="16.5" customHeight="1">
      <c r="B109" s="206" t="s">
        <v>50</v>
      </c>
      <c r="C109" s="207" t="s">
        <v>164</v>
      </c>
      <c r="D109" s="206" t="s">
        <v>48</v>
      </c>
      <c r="E109" s="207" t="s">
        <v>47</v>
      </c>
      <c r="F109" s="207" t="s">
        <v>161</v>
      </c>
      <c r="G109" s="206" t="s">
        <v>160</v>
      </c>
    </row>
    <row r="110" spans="2:7" s="1" customFormat="1" ht="16.5" customHeight="1">
      <c r="B110" s="25"/>
      <c r="C110" s="51"/>
      <c r="D110" s="211"/>
      <c r="E110" s="51"/>
      <c r="F110" s="51"/>
      <c r="G110" s="27"/>
    </row>
    <row r="111" spans="2:7" s="1" customFormat="1" ht="16.5" customHeight="1">
      <c r="B111" s="25"/>
      <c r="C111" s="51"/>
      <c r="D111" s="211"/>
      <c r="E111" s="51"/>
      <c r="F111" s="51"/>
      <c r="G111" s="27"/>
    </row>
    <row r="112" spans="2:7" s="1" customFormat="1" ht="16.5" customHeight="1">
      <c r="B112" s="25"/>
      <c r="C112" s="51"/>
      <c r="D112" s="211"/>
      <c r="E112" s="51"/>
      <c r="F112" s="51"/>
      <c r="G112" s="27"/>
    </row>
    <row r="113" spans="2:7" s="1" customFormat="1" ht="16.5" customHeight="1">
      <c r="B113" s="27"/>
      <c r="C113" s="26"/>
      <c r="D113" s="211"/>
      <c r="E113" s="26"/>
      <c r="F113" s="26"/>
      <c r="G113" s="27"/>
    </row>
    <row r="114" spans="2:7" s="1" customFormat="1" ht="16.5" customHeight="1">
      <c r="B114" s="27"/>
      <c r="C114" s="26"/>
      <c r="D114" s="211"/>
      <c r="E114" s="26"/>
      <c r="F114" s="26"/>
      <c r="G114" s="27"/>
    </row>
    <row r="115" spans="2:7" s="1" customFormat="1" ht="16.5" customHeight="1">
      <c r="B115" s="27"/>
      <c r="C115" s="26"/>
      <c r="D115" s="211"/>
      <c r="E115" s="26"/>
      <c r="F115" s="26"/>
      <c r="G115" s="27"/>
    </row>
    <row r="116" spans="2:7" s="1" customFormat="1" ht="16.5" customHeight="1">
      <c r="B116" s="27"/>
      <c r="C116" s="26"/>
      <c r="D116" s="211"/>
      <c r="E116" s="26"/>
      <c r="F116" s="26"/>
      <c r="G116" s="27"/>
    </row>
    <row r="117" spans="2:7" s="1" customFormat="1" ht="16.5" customHeight="1">
      <c r="B117" s="27"/>
      <c r="C117" s="26"/>
      <c r="D117" s="211"/>
      <c r="E117" s="26"/>
      <c r="F117" s="26"/>
      <c r="G117" s="27"/>
    </row>
    <row r="118" spans="2:7" s="1" customFormat="1" ht="16.5" customHeight="1">
      <c r="B118" s="212" t="s">
        <v>1</v>
      </c>
      <c r="C118" s="213"/>
      <c r="D118" s="214">
        <f>SUBTOTAL(109,ExpJan130143156169[Amount])</f>
        <v>0</v>
      </c>
      <c r="E118" s="213"/>
      <c r="F118" s="213"/>
      <c r="G118" s="212"/>
    </row>
    <row r="120" spans="2:7" s="1" customFormat="1" ht="25.5" customHeight="1">
      <c r="B120" s="205" t="s">
        <v>165</v>
      </c>
      <c r="C120" s="117"/>
      <c r="D120" s="117"/>
      <c r="E120" s="117"/>
      <c r="F120" s="117"/>
      <c r="G120" s="117"/>
    </row>
    <row r="121" spans="2:7" s="1" customFormat="1" ht="16.5" customHeight="1">
      <c r="B121" s="117"/>
      <c r="C121" s="117"/>
      <c r="D121" s="117"/>
      <c r="E121" s="117"/>
      <c r="F121" s="117"/>
      <c r="G121" s="117"/>
    </row>
    <row r="122" spans="2:7" s="1" customFormat="1" ht="16.5" customHeight="1">
      <c r="B122" s="206" t="s">
        <v>50</v>
      </c>
      <c r="C122" s="207" t="s">
        <v>71</v>
      </c>
      <c r="D122" s="206" t="s">
        <v>48</v>
      </c>
      <c r="E122" s="207" t="s">
        <v>47</v>
      </c>
      <c r="F122" s="206" t="s">
        <v>660</v>
      </c>
      <c r="G122" s="206" t="s">
        <v>45</v>
      </c>
    </row>
    <row r="123" spans="2:7" s="1" customFormat="1" ht="16.5" customHeight="1">
      <c r="B123" s="25"/>
      <c r="C123" s="51"/>
      <c r="D123" s="211"/>
      <c r="E123" s="51"/>
      <c r="F123" s="27"/>
      <c r="G123" s="27"/>
    </row>
    <row r="124" spans="2:7" s="1" customFormat="1" ht="16.5" customHeight="1">
      <c r="B124" s="25"/>
      <c r="C124" s="51"/>
      <c r="D124" s="211"/>
      <c r="E124" s="51"/>
      <c r="F124" s="27"/>
      <c r="G124" s="27"/>
    </row>
    <row r="125" spans="2:7" s="1" customFormat="1" ht="16.5" customHeight="1">
      <c r="B125" s="25"/>
      <c r="C125" s="51"/>
      <c r="D125" s="211"/>
      <c r="E125" s="51"/>
      <c r="F125" s="27"/>
      <c r="G125" s="27"/>
    </row>
    <row r="126" spans="2:7" s="1" customFormat="1" ht="16.5" customHeight="1">
      <c r="B126" s="25"/>
      <c r="C126" s="51"/>
      <c r="D126" s="211"/>
      <c r="E126" s="51"/>
      <c r="F126" s="27"/>
      <c r="G126" s="27"/>
    </row>
    <row r="127" spans="2:7" s="1" customFormat="1" ht="16.5" customHeight="1">
      <c r="B127" s="25"/>
      <c r="C127" s="51"/>
      <c r="D127" s="211"/>
      <c r="E127" s="51"/>
      <c r="F127" s="27"/>
      <c r="G127" s="27"/>
    </row>
    <row r="128" spans="2:7" s="1" customFormat="1" ht="16.5" customHeight="1">
      <c r="B128" s="25"/>
      <c r="C128" s="51"/>
      <c r="D128" s="211"/>
      <c r="E128" s="51"/>
      <c r="F128" s="27"/>
      <c r="G128" s="27"/>
    </row>
    <row r="129" spans="2:7" s="1" customFormat="1" ht="16.5" customHeight="1">
      <c r="B129" s="337"/>
      <c r="C129" s="338"/>
      <c r="D129" s="339"/>
      <c r="E129" s="338"/>
      <c r="F129" s="340"/>
      <c r="G129" s="340"/>
    </row>
    <row r="130" spans="2:7" s="1" customFormat="1" ht="16.5" customHeight="1">
      <c r="B130" s="337"/>
      <c r="C130" s="338"/>
      <c r="D130" s="339"/>
      <c r="E130" s="338"/>
      <c r="F130" s="340"/>
      <c r="G130" s="340"/>
    </row>
    <row r="131" spans="2:7" s="1" customFormat="1" ht="16.5" customHeight="1">
      <c r="B131" s="337"/>
      <c r="C131" s="338"/>
      <c r="D131" s="339"/>
      <c r="E131" s="338"/>
      <c r="F131" s="340"/>
      <c r="G131" s="340"/>
    </row>
    <row r="132" spans="2:7" s="1" customFormat="1" ht="16.5" customHeight="1">
      <c r="B132" s="337"/>
      <c r="C132" s="338"/>
      <c r="D132" s="339"/>
      <c r="E132" s="338"/>
      <c r="F132" s="340"/>
      <c r="G132" s="340"/>
    </row>
    <row r="133" spans="2:7" s="1" customFormat="1" ht="16.5" customHeight="1">
      <c r="B133" s="337"/>
      <c r="C133" s="338"/>
      <c r="D133" s="339"/>
      <c r="E133" s="338"/>
      <c r="F133" s="340"/>
      <c r="G133" s="340"/>
    </row>
    <row r="134" spans="2:7" s="1" customFormat="1" ht="16.5" customHeight="1">
      <c r="B134" s="224" t="s">
        <v>1</v>
      </c>
      <c r="C134" s="225"/>
      <c r="D134" s="226">
        <f>SUBTOTAL(109,ExpFeb131144157170[Amount])</f>
        <v>0</v>
      </c>
      <c r="E134" s="225"/>
      <c r="F134" s="224"/>
      <c r="G134" s="395"/>
    </row>
    <row r="136" spans="2:7" s="1" customFormat="1" ht="26.25" customHeight="1">
      <c r="B136" s="205" t="s">
        <v>166</v>
      </c>
      <c r="C136" s="117"/>
      <c r="D136" s="117"/>
      <c r="E136" s="117"/>
      <c r="F136" s="117"/>
      <c r="G136" s="117"/>
    </row>
    <row r="137" spans="2:7" s="1" customFormat="1" ht="16.5" customHeight="1">
      <c r="B137" s="117"/>
      <c r="C137" s="117"/>
      <c r="D137" s="117"/>
      <c r="E137" s="117"/>
      <c r="F137" s="117"/>
      <c r="G137" s="117"/>
    </row>
    <row r="138" spans="2:7" s="1" customFormat="1" ht="16.5" customHeight="1">
      <c r="B138" s="206" t="s">
        <v>50</v>
      </c>
      <c r="C138" s="207" t="s">
        <v>71</v>
      </c>
      <c r="D138" s="206" t="s">
        <v>48</v>
      </c>
      <c r="E138" s="207" t="s">
        <v>47</v>
      </c>
      <c r="F138" s="207" t="s">
        <v>660</v>
      </c>
      <c r="G138" s="206" t="s">
        <v>45</v>
      </c>
    </row>
    <row r="139" spans="2:7" s="1" customFormat="1" ht="16.5" customHeight="1">
      <c r="B139" s="25"/>
      <c r="C139" s="51"/>
      <c r="D139" s="211"/>
      <c r="E139" s="51"/>
      <c r="F139" s="51"/>
      <c r="G139" s="27"/>
    </row>
    <row r="140" spans="2:7" s="1" customFormat="1" ht="16.5" customHeight="1">
      <c r="B140" s="25"/>
      <c r="C140" s="51"/>
      <c r="D140" s="211"/>
      <c r="E140" s="51"/>
      <c r="F140" s="51"/>
      <c r="G140" s="27"/>
    </row>
    <row r="141" spans="2:7" s="1" customFormat="1" ht="16.5" customHeight="1">
      <c r="B141" s="25"/>
      <c r="C141" s="51"/>
      <c r="D141" s="211"/>
      <c r="E141" s="51"/>
      <c r="F141" s="51"/>
      <c r="G141" s="27"/>
    </row>
    <row r="142" spans="2:7" s="1" customFormat="1" ht="16.5" customHeight="1">
      <c r="B142" s="25"/>
      <c r="C142" s="51"/>
      <c r="D142" s="211"/>
      <c r="E142" s="51"/>
      <c r="F142" s="51"/>
      <c r="G142" s="27"/>
    </row>
    <row r="143" spans="2:7" s="1" customFormat="1" ht="16.5" customHeight="1">
      <c r="B143" s="25"/>
      <c r="C143" s="51"/>
      <c r="D143" s="211"/>
      <c r="E143" s="51"/>
      <c r="F143" s="51"/>
      <c r="G143" s="27"/>
    </row>
    <row r="144" spans="2:7" s="1" customFormat="1" ht="16.5" customHeight="1">
      <c r="B144" s="25"/>
      <c r="C144" s="51"/>
      <c r="D144" s="211"/>
      <c r="E144" s="51"/>
      <c r="F144" s="51"/>
      <c r="G144" s="27"/>
    </row>
    <row r="145" spans="2:7" s="1" customFormat="1" ht="16.5" customHeight="1">
      <c r="B145" s="25"/>
      <c r="C145" s="51"/>
      <c r="D145" s="211"/>
      <c r="E145" s="51"/>
      <c r="F145" s="51"/>
      <c r="G145" s="27"/>
    </row>
    <row r="146" spans="2:7" s="1" customFormat="1" ht="16.5" customHeight="1">
      <c r="B146" s="25"/>
      <c r="C146" s="51"/>
      <c r="D146" s="211"/>
      <c r="E146" s="51"/>
      <c r="F146" s="51"/>
      <c r="G146" s="27"/>
    </row>
    <row r="147" spans="2:7" s="1" customFormat="1" ht="16.5" customHeight="1">
      <c r="B147" s="25"/>
      <c r="C147" s="51"/>
      <c r="D147" s="211"/>
      <c r="E147" s="51"/>
      <c r="F147" s="51"/>
      <c r="G147" s="27"/>
    </row>
    <row r="148" spans="2:7" s="1" customFormat="1" ht="16.5" customHeight="1">
      <c r="B148" s="25"/>
      <c r="C148" s="51"/>
      <c r="D148" s="211"/>
      <c r="E148" s="51"/>
      <c r="F148" s="51"/>
      <c r="G148" s="27"/>
    </row>
    <row r="149" spans="2:7" s="1" customFormat="1" ht="16.5" customHeight="1">
      <c r="B149" s="25"/>
      <c r="C149" s="51"/>
      <c r="D149" s="211"/>
      <c r="E149" s="51"/>
      <c r="F149" s="51"/>
      <c r="G149" s="27"/>
    </row>
    <row r="150" spans="2:7" s="1" customFormat="1" ht="16.5" customHeight="1">
      <c r="B150" s="25"/>
      <c r="C150" s="51"/>
      <c r="D150" s="211"/>
      <c r="E150" s="51"/>
      <c r="F150" s="51"/>
      <c r="G150" s="27"/>
    </row>
    <row r="151" spans="2:7" s="1" customFormat="1" ht="16.5" customHeight="1">
      <c r="B151" s="25"/>
      <c r="C151" s="51"/>
      <c r="D151" s="211"/>
      <c r="E151" s="51"/>
      <c r="F151" s="51"/>
      <c r="G151" s="27"/>
    </row>
    <row r="152" spans="2:7" s="1" customFormat="1" ht="16.5" customHeight="1">
      <c r="B152" s="212" t="s">
        <v>1</v>
      </c>
      <c r="C152" s="213"/>
      <c r="D152" s="214">
        <f>SUBTOTAL(109,ExpMar132145158171[Amount])</f>
        <v>0</v>
      </c>
      <c r="E152" s="213"/>
      <c r="F152" s="213"/>
      <c r="G152" s="212"/>
    </row>
    <row r="154" spans="2:7" s="1" customFormat="1" ht="28.5" customHeight="1">
      <c r="B154" s="205" t="s">
        <v>167</v>
      </c>
      <c r="C154" s="117"/>
      <c r="D154" s="117"/>
      <c r="E154" s="117"/>
      <c r="F154" s="117"/>
      <c r="G154" s="117"/>
    </row>
    <row r="155" spans="2:7" s="1" customFormat="1" ht="16.5" customHeight="1">
      <c r="B155" s="117"/>
      <c r="C155" s="117"/>
      <c r="D155" s="117"/>
      <c r="E155" s="117"/>
      <c r="F155" s="117"/>
      <c r="G155" s="117"/>
    </row>
    <row r="156" spans="2:7" s="1" customFormat="1" ht="16.5" customHeight="1">
      <c r="B156" s="206" t="s">
        <v>50</v>
      </c>
      <c r="C156" s="207" t="s">
        <v>168</v>
      </c>
      <c r="D156" s="206" t="s">
        <v>48</v>
      </c>
      <c r="E156" s="207" t="s">
        <v>47</v>
      </c>
      <c r="F156" s="207" t="s">
        <v>660</v>
      </c>
      <c r="G156" s="206" t="s">
        <v>45</v>
      </c>
    </row>
    <row r="157" spans="2:7" s="1" customFormat="1" ht="16.5" customHeight="1">
      <c r="B157" s="215"/>
      <c r="C157" s="51"/>
      <c r="D157" s="216"/>
      <c r="E157" s="51"/>
      <c r="F157" s="51"/>
      <c r="G157" s="51"/>
    </row>
    <row r="158" spans="2:7" s="1" customFormat="1" ht="16.5" customHeight="1">
      <c r="B158" s="215"/>
      <c r="C158" s="51"/>
      <c r="D158" s="216"/>
      <c r="E158" s="51"/>
      <c r="F158" s="51"/>
      <c r="G158" s="51"/>
    </row>
    <row r="159" spans="2:7" s="1" customFormat="1" ht="16.5" customHeight="1">
      <c r="B159" s="215"/>
      <c r="C159" s="51"/>
      <c r="D159" s="216"/>
      <c r="E159" s="51"/>
      <c r="F159" s="51"/>
      <c r="G159" s="51"/>
    </row>
    <row r="160" spans="2:7" s="1" customFormat="1" ht="16.5" customHeight="1">
      <c r="B160" s="215"/>
      <c r="C160" s="51"/>
      <c r="D160" s="216"/>
      <c r="E160" s="51"/>
      <c r="F160" s="51"/>
      <c r="G160" s="51"/>
    </row>
    <row r="161" spans="2:7" s="1" customFormat="1" ht="16.5" customHeight="1">
      <c r="B161" s="215"/>
      <c r="C161" s="51"/>
      <c r="D161" s="216"/>
      <c r="E161" s="51"/>
      <c r="F161" s="51"/>
      <c r="G161" s="51"/>
    </row>
    <row r="162" spans="2:7" s="1" customFormat="1" ht="16.5" customHeight="1">
      <c r="B162" s="215"/>
      <c r="C162" s="51"/>
      <c r="D162" s="216"/>
      <c r="E162" s="51"/>
      <c r="F162" s="51"/>
      <c r="G162" s="51"/>
    </row>
    <row r="163" spans="2:7" s="1" customFormat="1" ht="16.5" customHeight="1">
      <c r="B163" s="215"/>
      <c r="C163" s="51"/>
      <c r="D163" s="216"/>
      <c r="E163" s="51"/>
      <c r="F163" s="51"/>
      <c r="G163" s="51"/>
    </row>
    <row r="164" spans="2:7" s="1" customFormat="1" ht="16.5" customHeight="1">
      <c r="B164" s="215"/>
      <c r="C164" s="51"/>
      <c r="D164" s="216"/>
      <c r="E164" s="51"/>
      <c r="F164" s="51"/>
      <c r="G164" s="51"/>
    </row>
    <row r="165" spans="2:7" s="1" customFormat="1" ht="16.5" customHeight="1">
      <c r="B165" s="215"/>
      <c r="C165" s="51"/>
      <c r="D165" s="216"/>
      <c r="E165" s="51"/>
      <c r="F165" s="51"/>
      <c r="G165" s="51"/>
    </row>
    <row r="166" spans="2:7" s="1" customFormat="1" ht="16.5" customHeight="1">
      <c r="B166" s="215"/>
      <c r="C166" s="51"/>
      <c r="D166" s="216"/>
      <c r="E166" s="51"/>
      <c r="F166" s="51"/>
      <c r="G166" s="51"/>
    </row>
    <row r="167" spans="2:7" s="1" customFormat="1" ht="16.5" customHeight="1">
      <c r="B167" s="215"/>
      <c r="C167" s="51"/>
      <c r="D167" s="216"/>
      <c r="E167" s="51"/>
      <c r="F167" s="51"/>
      <c r="G167" s="51"/>
    </row>
    <row r="168" spans="2:7" s="1" customFormat="1" ht="16.5" customHeight="1">
      <c r="B168" s="212" t="s">
        <v>1</v>
      </c>
      <c r="C168" s="213"/>
      <c r="D168" s="214">
        <f>SUBTOTAL(109,ExpApr133146159172[Amount])</f>
        <v>0</v>
      </c>
      <c r="E168" s="213"/>
      <c r="F168" s="213"/>
      <c r="G168" s="212"/>
    </row>
    <row r="170" spans="2:7" s="1" customFormat="1" ht="25.5" customHeight="1">
      <c r="B170" s="205" t="s">
        <v>169</v>
      </c>
      <c r="C170" s="117"/>
      <c r="D170" s="117"/>
      <c r="E170" s="117"/>
      <c r="F170" s="117"/>
      <c r="G170" s="117"/>
    </row>
    <row r="171" spans="2:7" s="1" customFormat="1" ht="16.5" customHeight="1">
      <c r="B171" s="117"/>
      <c r="C171" s="117"/>
      <c r="D171" s="117"/>
      <c r="E171" s="117"/>
      <c r="F171" s="117"/>
      <c r="G171" s="117"/>
    </row>
    <row r="172" spans="2:7" s="1" customFormat="1" ht="16.5" customHeight="1">
      <c r="B172" s="206" t="s">
        <v>50</v>
      </c>
      <c r="C172" s="207" t="s">
        <v>71</v>
      </c>
      <c r="D172" s="206" t="s">
        <v>48</v>
      </c>
      <c r="E172" s="207" t="s">
        <v>47</v>
      </c>
      <c r="F172" s="207" t="s">
        <v>660</v>
      </c>
      <c r="G172" s="206" t="s">
        <v>45</v>
      </c>
    </row>
    <row r="173" spans="2:7" s="1" customFormat="1" ht="16.5" customHeight="1">
      <c r="B173" s="25"/>
      <c r="C173" s="51"/>
      <c r="D173" s="211"/>
      <c r="E173" s="51"/>
      <c r="F173" s="51"/>
      <c r="G173" s="27"/>
    </row>
    <row r="174" spans="2:7" s="1" customFormat="1" ht="16.5" customHeight="1">
      <c r="B174" s="25"/>
      <c r="C174" s="51"/>
      <c r="D174" s="211"/>
      <c r="E174" s="51"/>
      <c r="F174" s="51"/>
      <c r="G174" s="27"/>
    </row>
    <row r="175" spans="2:7" s="1" customFormat="1" ht="16.5" customHeight="1">
      <c r="B175" s="25"/>
      <c r="C175" s="51"/>
      <c r="D175" s="211"/>
      <c r="E175" s="51"/>
      <c r="F175" s="51"/>
      <c r="G175" s="27"/>
    </row>
    <row r="176" spans="2:7" s="1" customFormat="1" ht="16.5" customHeight="1">
      <c r="B176" s="25"/>
      <c r="C176" s="51"/>
      <c r="D176" s="211"/>
      <c r="E176" s="51"/>
      <c r="F176" s="51"/>
      <c r="G176" s="27"/>
    </row>
    <row r="177" spans="2:7" s="1" customFormat="1" ht="16.5" customHeight="1">
      <c r="B177" s="25"/>
      <c r="C177" s="51"/>
      <c r="D177" s="211"/>
      <c r="E177" s="51"/>
      <c r="F177" s="51"/>
      <c r="G177" s="27"/>
    </row>
    <row r="178" spans="2:7" s="1" customFormat="1" ht="16.5" customHeight="1">
      <c r="B178" s="25"/>
      <c r="C178" s="51"/>
      <c r="D178" s="211"/>
      <c r="E178" s="51"/>
      <c r="F178" s="51"/>
      <c r="G178" s="27"/>
    </row>
    <row r="179" spans="2:7" s="1" customFormat="1" ht="16.5" customHeight="1">
      <c r="B179" s="25"/>
      <c r="C179" s="51"/>
      <c r="D179" s="211"/>
      <c r="E179" s="51"/>
      <c r="F179" s="51"/>
      <c r="G179" s="27"/>
    </row>
    <row r="180" spans="2:7" s="1" customFormat="1" ht="16.5" customHeight="1">
      <c r="B180" s="25"/>
      <c r="C180" s="51"/>
      <c r="D180" s="211"/>
      <c r="E180" s="51"/>
      <c r="F180" s="51"/>
      <c r="G180" s="27"/>
    </row>
    <row r="181" spans="2:7" s="1" customFormat="1" ht="16.5" customHeight="1">
      <c r="B181" s="25"/>
      <c r="C181" s="51"/>
      <c r="D181" s="211"/>
      <c r="E181" s="51"/>
      <c r="F181" s="51"/>
      <c r="G181" s="27"/>
    </row>
    <row r="182" spans="2:7" s="1" customFormat="1" ht="16.5" customHeight="1">
      <c r="B182" s="25"/>
      <c r="C182" s="51"/>
      <c r="D182" s="211"/>
      <c r="E182" s="51"/>
      <c r="F182" s="51"/>
      <c r="G182" s="27"/>
    </row>
    <row r="183" spans="2:7" s="1" customFormat="1" ht="16.5" customHeight="1">
      <c r="B183" s="25"/>
      <c r="C183" s="51"/>
      <c r="D183" s="211"/>
      <c r="E183" s="51"/>
      <c r="F183" s="51"/>
      <c r="G183" s="27"/>
    </row>
    <row r="184" spans="2:7" s="1" customFormat="1" ht="16.5" customHeight="1">
      <c r="B184" s="25"/>
      <c r="C184" s="51"/>
      <c r="D184" s="211"/>
      <c r="E184" s="51"/>
      <c r="F184" s="51"/>
      <c r="G184" s="27"/>
    </row>
    <row r="185" spans="2:7" s="1" customFormat="1" ht="16.5" customHeight="1">
      <c r="B185" s="224" t="s">
        <v>1</v>
      </c>
      <c r="C185" s="225"/>
      <c r="D185" s="226">
        <f>SUBTOTAL(109,ExpMay134147160173[Amount])</f>
        <v>0</v>
      </c>
      <c r="E185" s="225"/>
      <c r="F185" s="225"/>
      <c r="G185" s="224"/>
    </row>
    <row r="187" spans="2:7" s="1" customFormat="1" ht="26.25" customHeight="1">
      <c r="B187" s="205" t="s">
        <v>170</v>
      </c>
      <c r="C187" s="117"/>
      <c r="D187" s="117"/>
      <c r="E187" s="117"/>
      <c r="F187" s="117"/>
      <c r="G187" s="117"/>
    </row>
    <row r="188" spans="2:7" s="1" customFormat="1" ht="16.5" customHeight="1">
      <c r="B188" s="117"/>
      <c r="C188" s="117"/>
      <c r="D188" s="117"/>
      <c r="E188" s="117"/>
      <c r="F188" s="117"/>
      <c r="G188" s="117"/>
    </row>
    <row r="189" spans="2:7" s="1" customFormat="1" ht="16.5" customHeight="1">
      <c r="B189" s="206" t="s">
        <v>50</v>
      </c>
      <c r="C189" s="207" t="s">
        <v>155</v>
      </c>
      <c r="D189" s="206" t="s">
        <v>48</v>
      </c>
      <c r="E189" s="207" t="s">
        <v>47</v>
      </c>
      <c r="F189" s="207" t="s">
        <v>660</v>
      </c>
      <c r="G189" s="206" t="s">
        <v>45</v>
      </c>
    </row>
    <row r="190" spans="2:7" s="1" customFormat="1" ht="16.5" customHeight="1">
      <c r="B190" s="215"/>
      <c r="C190" s="51"/>
      <c r="D190" s="216"/>
      <c r="E190" s="51"/>
      <c r="F190" s="51"/>
      <c r="G190" s="51"/>
    </row>
    <row r="191" spans="2:7" s="1" customFormat="1" ht="16.5" customHeight="1">
      <c r="B191" s="215"/>
      <c r="C191" s="51"/>
      <c r="D191" s="216"/>
      <c r="E191" s="51"/>
      <c r="F191" s="51"/>
      <c r="G191" s="51"/>
    </row>
    <row r="192" spans="2:7" s="1" customFormat="1" ht="16.5" customHeight="1">
      <c r="B192" s="215"/>
      <c r="C192" s="51"/>
      <c r="D192" s="216"/>
      <c r="E192" s="51"/>
      <c r="F192" s="51"/>
      <c r="G192" s="51"/>
    </row>
    <row r="193" spans="2:7" s="1" customFormat="1" ht="16.5" customHeight="1">
      <c r="B193" s="215"/>
      <c r="C193" s="51"/>
      <c r="D193" s="216"/>
      <c r="E193" s="51"/>
      <c r="F193" s="51"/>
      <c r="G193" s="51"/>
    </row>
    <row r="194" spans="2:7" s="1" customFormat="1" ht="16.5" customHeight="1">
      <c r="B194" s="215"/>
      <c r="C194" s="51"/>
      <c r="D194" s="216"/>
      <c r="E194" s="51"/>
      <c r="F194" s="51"/>
      <c r="G194" s="51"/>
    </row>
    <row r="195" spans="2:7" s="1" customFormat="1" ht="16.5" customHeight="1">
      <c r="B195" s="215"/>
      <c r="C195" s="51"/>
      <c r="D195" s="216"/>
      <c r="E195" s="51"/>
      <c r="F195" s="51"/>
      <c r="G195" s="51"/>
    </row>
    <row r="196" spans="2:7" s="1" customFormat="1" ht="16.5" customHeight="1">
      <c r="B196" s="215"/>
      <c r="C196" s="51"/>
      <c r="D196" s="216"/>
      <c r="E196" s="51"/>
      <c r="F196" s="51"/>
      <c r="G196" s="51"/>
    </row>
    <row r="197" spans="2:7" s="1" customFormat="1" ht="16.5" customHeight="1">
      <c r="B197" s="215"/>
      <c r="C197" s="51"/>
      <c r="D197" s="216"/>
      <c r="E197" s="51"/>
      <c r="F197" s="51"/>
      <c r="G197" s="51"/>
    </row>
    <row r="198" spans="2:7" s="1" customFormat="1" ht="16.5" customHeight="1">
      <c r="B198" s="215"/>
      <c r="C198" s="51"/>
      <c r="D198" s="216"/>
      <c r="E198" s="51"/>
      <c r="F198" s="51"/>
      <c r="G198" s="51"/>
    </row>
    <row r="199" spans="2:7" s="1" customFormat="1" ht="16.5" customHeight="1">
      <c r="B199" s="215"/>
      <c r="C199" s="51"/>
      <c r="D199" s="216"/>
      <c r="E199" s="51"/>
      <c r="F199" s="51"/>
      <c r="G199" s="51"/>
    </row>
    <row r="200" spans="2:7" s="1" customFormat="1" ht="16.5" customHeight="1">
      <c r="B200" s="215"/>
      <c r="C200" s="51"/>
      <c r="D200" s="216"/>
      <c r="E200" s="51"/>
      <c r="F200" s="51"/>
      <c r="G200" s="51"/>
    </row>
    <row r="201" spans="2:7" s="1" customFormat="1" ht="16.5" customHeight="1">
      <c r="B201" s="224" t="s">
        <v>1</v>
      </c>
      <c r="C201" s="225"/>
      <c r="D201" s="226">
        <f>SUBTOTAL(109,ExpJun135148161174[Amount])</f>
        <v>0</v>
      </c>
      <c r="E201" s="225"/>
      <c r="F201" s="225"/>
      <c r="G201" s="224"/>
    </row>
  </sheetData>
  <dataValidations count="14">
    <dataValidation type="custom" errorStyle="warning" allowBlank="1" showInputMessage="1" showErrorMessage="1" errorTitle="Amount Validation" error="Amount should be a number." sqref="D5:D22 D24 D28:D39 D45:D61 D67:D77 D84:D93 D99:D104 D110:D117 D123:D133 D139:D151 D157:D167 D173:D184 D190:D200">
      <formula1>ISNUMBER($D5)</formula1>
    </dataValidation>
    <dataValidation type="custom" errorStyle="warning" allowBlank="1" showInputMessage="1" showErrorMessage="1" errorTitle="Date Validation" error="A date in July needs be entered  in order for this expense to be added to the Summary sheet." sqref="B5:B22 B24">
      <formula1>MONTH($B5)=7</formula1>
    </dataValidation>
    <dataValidation type="list" errorStyle="warning" allowBlank="1" showInputMessage="1" showErrorMessage="1" errorTitle="Unknown Category" error="An expense from the drop down should be selected in order for it to be included on the Summary sheet." sqref="E5:F22 E24:F24 E28:F39 E45:F61 E67:F77 E84:F93 E99:F104 E110:F117 E123:E133 E139:F151 E157:F167 E173:F184 E190:F200">
      <formula1>ExpenseCategories</formula1>
    </dataValidation>
    <dataValidation type="custom" errorStyle="warning" allowBlank="1" showInputMessage="1" showErrorMessage="1" errorTitle="Date Validation" error="A date in August needs be entered  in order for this expense to be added to the Summary sheet." sqref="B28:B39">
      <formula1>MONTH($B28)=8</formula1>
    </dataValidation>
    <dataValidation type="custom" errorStyle="warning" allowBlank="1" showInputMessage="1" showErrorMessage="1" errorTitle="Date Validation" error="A date in September needs be entered  in order for this expense to be added to the Summary sheet." sqref="B45:B61">
      <formula1>MONTH($B45)=9</formula1>
    </dataValidation>
    <dataValidation type="custom" errorStyle="warning" allowBlank="1" showInputMessage="1" showErrorMessage="1" errorTitle="Date Validation" error="A date in October needs be entered  in order for this expense to be added to the Summary sheet." sqref="B67:B77">
      <formula1>MONTH($B67)=10</formula1>
    </dataValidation>
    <dataValidation type="custom" errorStyle="warning" allowBlank="1" showInputMessage="1" showErrorMessage="1" errorTitle="Date Validation" error="A date in June needs be entered  in order for this expense to be added to the Summary sheet." sqref="B190:B200">
      <formula1>MONTH($B190)=6</formula1>
    </dataValidation>
    <dataValidation type="custom" errorStyle="warning" allowBlank="1" showInputMessage="1" showErrorMessage="1" errorTitle="Date Validation" error="A date in May needs be entered  in order for this expense to be added to the Summary sheet." sqref="B173:B184">
      <formula1>MONTH($B173)=5</formula1>
    </dataValidation>
    <dataValidation type="custom" errorStyle="warning" allowBlank="1" showInputMessage="1" showErrorMessage="1" errorTitle="Date Validation" error="A date in April needs be entered  in order for this expense to be added to the Summary sheet." sqref="B157:B167">
      <formula1>MONTH($B157)=4</formula1>
    </dataValidation>
    <dataValidation type="custom" errorStyle="warning" allowBlank="1" showInputMessage="1" showErrorMessage="1" errorTitle="Date Validation" error="A date in March needs be entered in order for this expense to be added to the Summary sheet." sqref="B139:B151">
      <formula1>MONTH($B139)=3</formula1>
    </dataValidation>
    <dataValidation type="custom" errorStyle="warning" allowBlank="1" showInputMessage="1" showErrorMessage="1" errorTitle="Date Validation" error="A date in February needs be entered in order for this expense to be added to the Summary sheet." sqref="B123:B133">
      <formula1>MONTH($B123)=2</formula1>
    </dataValidation>
    <dataValidation type="custom" errorStyle="warning" allowBlank="1" showInputMessage="1" showErrorMessage="1" errorTitle="Date Validation" error="A date in January needs be entered in order for this expense to be added to the Summary sheet." sqref="B110:B117">
      <formula1>MONTH($B110)=1</formula1>
    </dataValidation>
    <dataValidation type="custom" errorStyle="warning" allowBlank="1" showInputMessage="1" showErrorMessage="1" errorTitle="Date Validation" error="A date in December needs be entered  in order for this expense to be added to the Summary sheet." sqref="B99:B104">
      <formula1>MONTH($B99)=12</formula1>
    </dataValidation>
    <dataValidation type="custom" errorStyle="warning" allowBlank="1" showInputMessage="1" showErrorMessage="1" errorTitle="Date Validation" error="A date in November needs be entered  in order for this expense to be added to the Summary sheet." sqref="B84:B93">
      <formula1>MONTH($B84)=11</formula1>
    </dataValidation>
  </dataValidations>
  <printOptions horizontalCentered="1"/>
  <pageMargins left="0.25" right="0.25" top="0.75" bottom="0.75" header="0.3" footer="0.3"/>
  <pageSetup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8"/>
  <sheetViews>
    <sheetView topLeftCell="A25" workbookViewId="0">
      <selection activeCell="M44" sqref="A1:XFD1048576"/>
    </sheetView>
  </sheetViews>
  <sheetFormatPr defaultColWidth="9.140625" defaultRowHeight="12.75"/>
  <cols>
    <col min="1" max="1" width="16.140625" style="260" customWidth="1"/>
    <col min="2" max="2" width="13.42578125" style="260" customWidth="1"/>
    <col min="3" max="3" width="11.42578125" style="260" customWidth="1"/>
    <col min="4" max="4" width="14" style="260" customWidth="1"/>
    <col min="5" max="5" width="14.140625" style="260" customWidth="1"/>
    <col min="6" max="6" width="12.7109375" style="260" customWidth="1"/>
    <col min="7" max="7" width="13.28515625" style="260" customWidth="1"/>
    <col min="8" max="16384" width="9.140625" style="260"/>
  </cols>
  <sheetData>
    <row r="1" spans="1:7" ht="13.5" customHeight="1">
      <c r="A1" s="278" t="s">
        <v>155</v>
      </c>
      <c r="B1" s="279" t="s">
        <v>154</v>
      </c>
      <c r="C1" s="280"/>
      <c r="D1" s="279" t="s">
        <v>153</v>
      </c>
      <c r="E1" s="280"/>
      <c r="F1" s="279" t="s">
        <v>152</v>
      </c>
      <c r="G1" s="280"/>
    </row>
    <row r="2" spans="1:7">
      <c r="A2" s="516"/>
      <c r="B2" s="517"/>
      <c r="C2" s="361"/>
      <c r="D2" s="518" t="s">
        <v>489</v>
      </c>
      <c r="E2" s="352">
        <v>5047</v>
      </c>
      <c r="F2" s="519"/>
      <c r="G2" s="520"/>
    </row>
    <row r="3" spans="1:7">
      <c r="A3" s="516">
        <v>7464</v>
      </c>
      <c r="B3" s="354" t="str">
        <f t="shared" ref="B3:B38" si="0">D2</f>
        <v>2.11.13</v>
      </c>
      <c r="C3" s="355">
        <v>5047</v>
      </c>
      <c r="D3" s="521" t="s">
        <v>1199</v>
      </c>
      <c r="E3" s="357">
        <v>10312</v>
      </c>
      <c r="F3" s="358">
        <f t="shared" ref="F3:F38" si="1">SUM(E3-E2)</f>
        <v>5265</v>
      </c>
      <c r="G3" s="360" t="str">
        <f t="shared" ref="G3:G38" si="2">IF(F3&gt;5250,"OVER")</f>
        <v>OVER</v>
      </c>
    </row>
    <row r="4" spans="1:7">
      <c r="A4" s="516">
        <v>7520</v>
      </c>
      <c r="B4" s="354" t="str">
        <f t="shared" si="0"/>
        <v>3.26.13</v>
      </c>
      <c r="C4" s="355">
        <v>10312</v>
      </c>
      <c r="D4" s="521" t="s">
        <v>1052</v>
      </c>
      <c r="E4" s="357">
        <v>15108</v>
      </c>
      <c r="F4" s="358">
        <f t="shared" si="1"/>
        <v>4796</v>
      </c>
      <c r="G4" s="359" t="b">
        <f t="shared" si="2"/>
        <v>0</v>
      </c>
    </row>
    <row r="5" spans="1:7">
      <c r="A5" s="516">
        <v>7565</v>
      </c>
      <c r="B5" s="354" t="str">
        <f t="shared" si="0"/>
        <v>5.3.13</v>
      </c>
      <c r="C5" s="355">
        <v>15108</v>
      </c>
      <c r="D5" s="521" t="s">
        <v>1297</v>
      </c>
      <c r="E5" s="357">
        <v>20027</v>
      </c>
      <c r="F5" s="358">
        <f t="shared" si="1"/>
        <v>4919</v>
      </c>
      <c r="G5" s="359" t="b">
        <f t="shared" si="2"/>
        <v>0</v>
      </c>
    </row>
    <row r="6" spans="1:7">
      <c r="A6" s="516">
        <v>7627</v>
      </c>
      <c r="B6" s="354" t="str">
        <f t="shared" si="0"/>
        <v>6.13.13</v>
      </c>
      <c r="C6" s="355">
        <v>20027</v>
      </c>
      <c r="D6" s="521" t="s">
        <v>1296</v>
      </c>
      <c r="E6" s="357">
        <v>24988</v>
      </c>
      <c r="F6" s="358">
        <f t="shared" si="1"/>
        <v>4961</v>
      </c>
      <c r="G6" s="359" t="b">
        <f t="shared" si="2"/>
        <v>0</v>
      </c>
    </row>
    <row r="7" spans="1:7">
      <c r="A7" s="516">
        <v>7715</v>
      </c>
      <c r="B7" s="354" t="str">
        <f t="shared" si="0"/>
        <v>7.24.13</v>
      </c>
      <c r="C7" s="355">
        <v>24988</v>
      </c>
      <c r="D7" s="521" t="s">
        <v>1295</v>
      </c>
      <c r="E7" s="357">
        <v>29903</v>
      </c>
      <c r="F7" s="358">
        <f t="shared" si="1"/>
        <v>4915</v>
      </c>
      <c r="G7" s="359" t="b">
        <f t="shared" si="2"/>
        <v>0</v>
      </c>
    </row>
    <row r="8" spans="1:7">
      <c r="A8" s="516">
        <v>7794</v>
      </c>
      <c r="B8" s="354" t="str">
        <f t="shared" si="0"/>
        <v>9.6.13</v>
      </c>
      <c r="C8" s="355">
        <v>29903</v>
      </c>
      <c r="D8" s="521" t="s">
        <v>1294</v>
      </c>
      <c r="E8" s="357">
        <v>34956</v>
      </c>
      <c r="F8" s="358">
        <f t="shared" si="1"/>
        <v>5053</v>
      </c>
      <c r="G8" s="359" t="b">
        <f t="shared" si="2"/>
        <v>0</v>
      </c>
    </row>
    <row r="9" spans="1:7">
      <c r="A9" s="516">
        <v>7879</v>
      </c>
      <c r="B9" s="354" t="str">
        <f t="shared" si="0"/>
        <v>10.7.13</v>
      </c>
      <c r="C9" s="355">
        <v>34956</v>
      </c>
      <c r="D9" s="521" t="s">
        <v>624</v>
      </c>
      <c r="E9" s="357">
        <v>40086</v>
      </c>
      <c r="F9" s="358">
        <f t="shared" si="1"/>
        <v>5130</v>
      </c>
      <c r="G9" s="359" t="b">
        <f t="shared" si="2"/>
        <v>0</v>
      </c>
    </row>
    <row r="10" spans="1:7">
      <c r="A10" s="516">
        <v>7974</v>
      </c>
      <c r="B10" s="354" t="str">
        <f t="shared" si="0"/>
        <v>11.26.13</v>
      </c>
      <c r="C10" s="355">
        <v>40086</v>
      </c>
      <c r="D10" s="521" t="s">
        <v>1293</v>
      </c>
      <c r="E10" s="357">
        <v>44999</v>
      </c>
      <c r="F10" s="358">
        <f t="shared" si="1"/>
        <v>4913</v>
      </c>
      <c r="G10" s="359" t="b">
        <f t="shared" si="2"/>
        <v>0</v>
      </c>
    </row>
    <row r="11" spans="1:7">
      <c r="A11" s="516">
        <v>8073</v>
      </c>
      <c r="B11" s="354" t="str">
        <f t="shared" si="0"/>
        <v>1.10.14</v>
      </c>
      <c r="C11" s="355">
        <v>44999</v>
      </c>
      <c r="D11" s="521" t="s">
        <v>1292</v>
      </c>
      <c r="E11" s="357">
        <v>50037</v>
      </c>
      <c r="F11" s="358">
        <f t="shared" si="1"/>
        <v>5038</v>
      </c>
      <c r="G11" s="359" t="b">
        <f t="shared" si="2"/>
        <v>0</v>
      </c>
    </row>
    <row r="12" spans="1:7">
      <c r="A12" s="516">
        <v>8154</v>
      </c>
      <c r="B12" s="354" t="str">
        <f t="shared" si="0"/>
        <v>2.20.14</v>
      </c>
      <c r="C12" s="355">
        <v>50037</v>
      </c>
      <c r="D12" s="521" t="s">
        <v>1291</v>
      </c>
      <c r="E12" s="357">
        <v>54988</v>
      </c>
      <c r="F12" s="358">
        <f t="shared" si="1"/>
        <v>4951</v>
      </c>
      <c r="G12" s="359" t="b">
        <f t="shared" si="2"/>
        <v>0</v>
      </c>
    </row>
    <row r="13" spans="1:7">
      <c r="A13" s="516">
        <v>8254</v>
      </c>
      <c r="B13" s="354" t="str">
        <f t="shared" si="0"/>
        <v>3.31.14</v>
      </c>
      <c r="C13" s="355">
        <v>54988</v>
      </c>
      <c r="D13" s="521" t="s">
        <v>1290</v>
      </c>
      <c r="E13" s="357">
        <v>60118</v>
      </c>
      <c r="F13" s="358">
        <f t="shared" si="1"/>
        <v>5130</v>
      </c>
      <c r="G13" s="359" t="b">
        <f t="shared" si="2"/>
        <v>0</v>
      </c>
    </row>
    <row r="14" spans="1:7">
      <c r="A14" s="516">
        <v>8347</v>
      </c>
      <c r="B14" s="354" t="str">
        <f t="shared" si="0"/>
        <v>5.9.14</v>
      </c>
      <c r="C14" s="355">
        <v>60118</v>
      </c>
      <c r="D14" s="521" t="s">
        <v>1289</v>
      </c>
      <c r="E14" s="357">
        <v>64889</v>
      </c>
      <c r="F14" s="358">
        <f t="shared" si="1"/>
        <v>4771</v>
      </c>
      <c r="G14" s="359" t="b">
        <f t="shared" si="2"/>
        <v>0</v>
      </c>
    </row>
    <row r="15" spans="1:7">
      <c r="A15" s="516">
        <v>8435</v>
      </c>
      <c r="B15" s="354" t="str">
        <f t="shared" si="0"/>
        <v>6.23.14</v>
      </c>
      <c r="C15" s="361">
        <v>64889</v>
      </c>
      <c r="D15" s="522" t="s">
        <v>620</v>
      </c>
      <c r="E15" s="363">
        <v>69968</v>
      </c>
      <c r="F15" s="358">
        <f t="shared" si="1"/>
        <v>5079</v>
      </c>
      <c r="G15" s="359" t="b">
        <f t="shared" si="2"/>
        <v>0</v>
      </c>
    </row>
    <row r="16" spans="1:7" ht="13.5" thickBot="1">
      <c r="A16" s="523">
        <v>8546</v>
      </c>
      <c r="B16" s="354" t="str">
        <f t="shared" si="0"/>
        <v>8.6.14</v>
      </c>
      <c r="C16" s="365">
        <v>69968</v>
      </c>
      <c r="D16" s="524" t="s">
        <v>1288</v>
      </c>
      <c r="E16" s="367">
        <v>74983</v>
      </c>
      <c r="F16" s="358">
        <f t="shared" si="1"/>
        <v>5015</v>
      </c>
      <c r="G16" s="359" t="b">
        <f t="shared" si="2"/>
        <v>0</v>
      </c>
    </row>
    <row r="17" spans="1:11" ht="13.5" thickBot="1">
      <c r="A17" s="525"/>
      <c r="B17" s="354" t="str">
        <f t="shared" si="0"/>
        <v>9.24.14</v>
      </c>
      <c r="C17" s="370">
        <v>74983</v>
      </c>
      <c r="D17" s="526" t="s">
        <v>1287</v>
      </c>
      <c r="E17" s="372">
        <v>79959</v>
      </c>
      <c r="F17" s="358">
        <f t="shared" si="1"/>
        <v>4976</v>
      </c>
      <c r="G17" s="359" t="b">
        <f t="shared" si="2"/>
        <v>0</v>
      </c>
    </row>
    <row r="18" spans="1:11">
      <c r="A18" s="527">
        <v>8706</v>
      </c>
      <c r="B18" s="354" t="str">
        <f t="shared" si="0"/>
        <v>10.30.14</v>
      </c>
      <c r="C18" s="375">
        <v>79959</v>
      </c>
      <c r="D18" s="528" t="s">
        <v>1286</v>
      </c>
      <c r="E18" s="377">
        <v>84939</v>
      </c>
      <c r="F18" s="358">
        <f t="shared" si="1"/>
        <v>4980</v>
      </c>
      <c r="G18" s="359" t="b">
        <f t="shared" si="2"/>
        <v>0</v>
      </c>
    </row>
    <row r="19" spans="1:11">
      <c r="A19" s="516">
        <v>8792</v>
      </c>
      <c r="B19" s="354" t="str">
        <f t="shared" si="0"/>
        <v>12.6.14</v>
      </c>
      <c r="C19" s="355">
        <v>84939</v>
      </c>
      <c r="D19" s="521" t="s">
        <v>1285</v>
      </c>
      <c r="E19" s="357">
        <v>89925</v>
      </c>
      <c r="F19" s="358">
        <f t="shared" si="1"/>
        <v>4986</v>
      </c>
      <c r="G19" s="359" t="b">
        <f t="shared" si="2"/>
        <v>0</v>
      </c>
    </row>
    <row r="20" spans="1:11">
      <c r="A20" s="516">
        <v>8898</v>
      </c>
      <c r="B20" s="354" t="str">
        <f t="shared" si="0"/>
        <v>1.27.15</v>
      </c>
      <c r="C20" s="355">
        <v>89925</v>
      </c>
      <c r="D20" s="521" t="s">
        <v>1284</v>
      </c>
      <c r="E20" s="357">
        <v>94969</v>
      </c>
      <c r="F20" s="358">
        <f t="shared" si="1"/>
        <v>5044</v>
      </c>
      <c r="G20" s="359" t="b">
        <f t="shared" si="2"/>
        <v>0</v>
      </c>
    </row>
    <row r="21" spans="1:11">
      <c r="A21" s="516">
        <v>9083</v>
      </c>
      <c r="B21" s="354" t="str">
        <f t="shared" si="0"/>
        <v>4.22.15</v>
      </c>
      <c r="C21" s="355">
        <v>94969</v>
      </c>
      <c r="D21" s="521" t="s">
        <v>1283</v>
      </c>
      <c r="E21" s="357">
        <v>99955</v>
      </c>
      <c r="F21" s="358">
        <f t="shared" si="1"/>
        <v>4986</v>
      </c>
      <c r="G21" s="359" t="b">
        <f t="shared" si="2"/>
        <v>0</v>
      </c>
    </row>
    <row r="22" spans="1:11">
      <c r="A22" s="516">
        <v>9102</v>
      </c>
      <c r="B22" s="354" t="str">
        <f t="shared" si="0"/>
        <v>5.2.15</v>
      </c>
      <c r="C22" s="355">
        <v>99955</v>
      </c>
      <c r="D22" s="521" t="s">
        <v>1282</v>
      </c>
      <c r="E22" s="357">
        <v>104893</v>
      </c>
      <c r="F22" s="358">
        <f t="shared" si="1"/>
        <v>4938</v>
      </c>
      <c r="G22" s="359" t="b">
        <f t="shared" si="2"/>
        <v>0</v>
      </c>
    </row>
    <row r="23" spans="1:11">
      <c r="A23" s="516">
        <v>9174</v>
      </c>
      <c r="B23" s="354" t="str">
        <f t="shared" si="0"/>
        <v>6.15.15</v>
      </c>
      <c r="C23" s="355">
        <v>104893</v>
      </c>
      <c r="D23" s="521" t="s">
        <v>1281</v>
      </c>
      <c r="E23" s="357">
        <v>109830</v>
      </c>
      <c r="F23" s="358">
        <f t="shared" si="1"/>
        <v>4937</v>
      </c>
      <c r="G23" s="359" t="b">
        <f t="shared" si="2"/>
        <v>0</v>
      </c>
      <c r="K23" s="505"/>
    </row>
    <row r="24" spans="1:11">
      <c r="A24" s="516">
        <v>9254</v>
      </c>
      <c r="B24" s="354" t="str">
        <f t="shared" si="0"/>
        <v>7.23.15</v>
      </c>
      <c r="C24" s="355">
        <v>109830</v>
      </c>
      <c r="D24" s="521" t="s">
        <v>1280</v>
      </c>
      <c r="E24" s="357">
        <v>115275</v>
      </c>
      <c r="F24" s="358">
        <f t="shared" si="1"/>
        <v>5445</v>
      </c>
      <c r="G24" s="360" t="str">
        <f t="shared" si="2"/>
        <v>OVER</v>
      </c>
    </row>
    <row r="25" spans="1:11">
      <c r="A25" s="516">
        <v>9322</v>
      </c>
      <c r="B25" s="354" t="str">
        <f t="shared" si="0"/>
        <v>9.1.15</v>
      </c>
      <c r="C25" s="355">
        <v>115275</v>
      </c>
      <c r="D25" s="521" t="s">
        <v>1279</v>
      </c>
      <c r="E25" s="357">
        <v>119931</v>
      </c>
      <c r="F25" s="358">
        <f t="shared" si="1"/>
        <v>4656</v>
      </c>
      <c r="G25" s="359" t="b">
        <f t="shared" si="2"/>
        <v>0</v>
      </c>
    </row>
    <row r="26" spans="1:11">
      <c r="A26" s="516">
        <v>9402</v>
      </c>
      <c r="B26" s="354" t="str">
        <f t="shared" si="0"/>
        <v>10.7.15</v>
      </c>
      <c r="C26" s="355">
        <v>119931</v>
      </c>
      <c r="D26" s="521" t="s">
        <v>611</v>
      </c>
      <c r="E26" s="357">
        <v>125001</v>
      </c>
      <c r="F26" s="358">
        <f t="shared" si="1"/>
        <v>5070</v>
      </c>
      <c r="G26" s="359" t="b">
        <f t="shared" si="2"/>
        <v>0</v>
      </c>
    </row>
    <row r="27" spans="1:11">
      <c r="A27" s="516">
        <v>9472</v>
      </c>
      <c r="B27" s="354" t="str">
        <f t="shared" si="0"/>
        <v>11.12.15</v>
      </c>
      <c r="C27" s="355">
        <v>125001</v>
      </c>
      <c r="D27" s="521" t="s">
        <v>1278</v>
      </c>
      <c r="E27" s="357">
        <v>129816</v>
      </c>
      <c r="F27" s="358">
        <f t="shared" si="1"/>
        <v>4815</v>
      </c>
      <c r="G27" s="359" t="b">
        <f t="shared" si="2"/>
        <v>0</v>
      </c>
    </row>
    <row r="28" spans="1:11">
      <c r="A28" s="516">
        <v>9578</v>
      </c>
      <c r="B28" s="354" t="str">
        <f t="shared" si="0"/>
        <v>1.8.16</v>
      </c>
      <c r="C28" s="355">
        <v>129816</v>
      </c>
      <c r="D28" s="521" t="s">
        <v>934</v>
      </c>
      <c r="E28" s="357">
        <v>135049</v>
      </c>
      <c r="F28" s="358">
        <f t="shared" si="1"/>
        <v>5233</v>
      </c>
      <c r="G28" s="359" t="b">
        <f t="shared" si="2"/>
        <v>0</v>
      </c>
    </row>
    <row r="29" spans="1:11">
      <c r="A29" s="516">
        <v>9687</v>
      </c>
      <c r="B29" s="354" t="str">
        <f t="shared" si="0"/>
        <v>3.3.16</v>
      </c>
      <c r="C29" s="355">
        <v>135049</v>
      </c>
      <c r="D29" s="521" t="s">
        <v>1277</v>
      </c>
      <c r="E29" s="357">
        <v>140133</v>
      </c>
      <c r="F29" s="358">
        <f t="shared" si="1"/>
        <v>5084</v>
      </c>
      <c r="G29" s="359" t="b">
        <f t="shared" si="2"/>
        <v>0</v>
      </c>
    </row>
    <row r="30" spans="1:11">
      <c r="A30" s="516">
        <v>9797</v>
      </c>
      <c r="B30" s="354" t="str">
        <f t="shared" si="0"/>
        <v>5.3.16</v>
      </c>
      <c r="C30" s="355">
        <v>140133</v>
      </c>
      <c r="D30" s="521" t="s">
        <v>1276</v>
      </c>
      <c r="E30" s="357">
        <v>145066</v>
      </c>
      <c r="F30" s="358">
        <f t="shared" si="1"/>
        <v>4933</v>
      </c>
      <c r="G30" s="359" t="b">
        <f t="shared" si="2"/>
        <v>0</v>
      </c>
    </row>
    <row r="31" spans="1:11">
      <c r="A31" s="516">
        <v>9932</v>
      </c>
      <c r="B31" s="354" t="str">
        <f t="shared" si="0"/>
        <v>7.25.16</v>
      </c>
      <c r="C31" s="355">
        <v>145066</v>
      </c>
      <c r="D31" s="521" t="s">
        <v>1275</v>
      </c>
      <c r="E31" s="357">
        <v>149980</v>
      </c>
      <c r="F31" s="358">
        <f t="shared" si="1"/>
        <v>4914</v>
      </c>
      <c r="G31" s="359" t="b">
        <f t="shared" si="2"/>
        <v>0</v>
      </c>
    </row>
    <row r="32" spans="1:11">
      <c r="A32" s="516">
        <v>10016</v>
      </c>
      <c r="B32" s="354" t="str">
        <f t="shared" si="0"/>
        <v>9.7.16</v>
      </c>
      <c r="C32" s="355">
        <v>149980</v>
      </c>
      <c r="D32" s="521" t="s">
        <v>929</v>
      </c>
      <c r="E32" s="357">
        <v>155005</v>
      </c>
      <c r="F32" s="358">
        <f t="shared" si="1"/>
        <v>5025</v>
      </c>
      <c r="G32" s="359" t="b">
        <f t="shared" si="2"/>
        <v>0</v>
      </c>
    </row>
    <row r="33" spans="1:7">
      <c r="A33" s="516">
        <v>10101</v>
      </c>
      <c r="B33" s="354" t="str">
        <f t="shared" si="0"/>
        <v>10.17.16</v>
      </c>
      <c r="C33" s="355">
        <v>155005</v>
      </c>
      <c r="D33" s="521" t="s">
        <v>1274</v>
      </c>
      <c r="E33" s="357">
        <v>160009</v>
      </c>
      <c r="F33" s="358">
        <f t="shared" si="1"/>
        <v>5004</v>
      </c>
      <c r="G33" s="359" t="b">
        <f t="shared" si="2"/>
        <v>0</v>
      </c>
    </row>
    <row r="34" spans="1:7">
      <c r="A34" s="516"/>
      <c r="B34" s="354" t="str">
        <f t="shared" si="0"/>
        <v>12.1.16</v>
      </c>
      <c r="C34" s="355">
        <v>160009</v>
      </c>
      <c r="D34" s="521" t="s">
        <v>1273</v>
      </c>
      <c r="E34" s="357">
        <v>164902</v>
      </c>
      <c r="F34" s="358">
        <f t="shared" si="1"/>
        <v>4893</v>
      </c>
      <c r="G34" s="359" t="b">
        <f t="shared" si="2"/>
        <v>0</v>
      </c>
    </row>
    <row r="35" spans="1:7">
      <c r="A35" s="516">
        <v>10239</v>
      </c>
      <c r="B35" s="354" t="str">
        <f t="shared" si="0"/>
        <v>1.11.17</v>
      </c>
      <c r="C35" s="355">
        <v>164902</v>
      </c>
      <c r="D35" s="521" t="s">
        <v>1272</v>
      </c>
      <c r="E35" s="357">
        <v>169535</v>
      </c>
      <c r="F35" s="358">
        <f t="shared" si="1"/>
        <v>4633</v>
      </c>
      <c r="G35" s="359" t="b">
        <f t="shared" si="2"/>
        <v>0</v>
      </c>
    </row>
    <row r="36" spans="1:7">
      <c r="A36" s="516">
        <v>10311</v>
      </c>
      <c r="B36" s="354" t="str">
        <f t="shared" si="0"/>
        <v>2.20.17</v>
      </c>
      <c r="C36" s="355">
        <v>169535</v>
      </c>
      <c r="D36" s="521" t="s">
        <v>1271</v>
      </c>
      <c r="E36" s="357">
        <v>174572</v>
      </c>
      <c r="F36" s="358">
        <f t="shared" si="1"/>
        <v>5037</v>
      </c>
      <c r="G36" s="359" t="b">
        <f t="shared" si="2"/>
        <v>0</v>
      </c>
    </row>
    <row r="37" spans="1:7">
      <c r="A37" s="516">
        <v>10395</v>
      </c>
      <c r="B37" s="354" t="str">
        <f t="shared" si="0"/>
        <v>4.4.17</v>
      </c>
      <c r="C37" s="355">
        <v>174572</v>
      </c>
      <c r="D37" s="521" t="s">
        <v>1270</v>
      </c>
      <c r="E37" s="357">
        <v>179647</v>
      </c>
      <c r="F37" s="358">
        <f t="shared" si="1"/>
        <v>5075</v>
      </c>
      <c r="G37" s="359" t="b">
        <f t="shared" si="2"/>
        <v>0</v>
      </c>
    </row>
    <row r="38" spans="1:7">
      <c r="A38" s="516">
        <v>10555</v>
      </c>
      <c r="B38" s="354" t="str">
        <f t="shared" si="0"/>
        <v>6.13.17</v>
      </c>
      <c r="C38" s="355">
        <v>179647</v>
      </c>
      <c r="D38" s="521"/>
      <c r="E38" s="357"/>
      <c r="F38" s="358">
        <f t="shared" si="1"/>
        <v>-179647</v>
      </c>
      <c r="G38" s="359" t="b">
        <f t="shared" si="2"/>
        <v>0</v>
      </c>
    </row>
    <row r="40" spans="1:7" ht="13.5" thickBot="1">
      <c r="A40" s="509" t="s">
        <v>836</v>
      </c>
    </row>
    <row r="41" spans="1:7">
      <c r="A41" s="278" t="s">
        <v>155</v>
      </c>
      <c r="B41" s="279" t="s">
        <v>154</v>
      </c>
      <c r="C41" s="280"/>
      <c r="D41" s="279" t="s">
        <v>153</v>
      </c>
      <c r="E41" s="280"/>
      <c r="F41" s="279" t="s">
        <v>152</v>
      </c>
      <c r="G41" s="280"/>
    </row>
    <row r="42" spans="1:7">
      <c r="A42" s="516"/>
      <c r="B42" s="517"/>
      <c r="C42" s="361"/>
      <c r="D42" s="518"/>
      <c r="E42" s="352">
        <v>174572</v>
      </c>
      <c r="F42" s="519"/>
      <c r="G42" s="520"/>
    </row>
    <row r="43" spans="1:7">
      <c r="A43" s="516"/>
      <c r="B43" s="354">
        <f t="shared" ref="B43:B78" si="3">D42</f>
        <v>0</v>
      </c>
      <c r="C43" s="355"/>
      <c r="D43" s="521" t="s">
        <v>1270</v>
      </c>
      <c r="E43" s="357">
        <v>179647</v>
      </c>
      <c r="F43" s="358">
        <f t="shared" ref="F43:F78" si="4">SUM(E43-E42)</f>
        <v>5075</v>
      </c>
      <c r="G43" s="360" t="b">
        <f t="shared" ref="G43:G78" si="5">IF(F43&gt;5250,"OVER")</f>
        <v>0</v>
      </c>
    </row>
    <row r="44" spans="1:7">
      <c r="A44" s="516">
        <v>10555</v>
      </c>
      <c r="B44" s="354" t="str">
        <f t="shared" si="3"/>
        <v>6.13.17</v>
      </c>
      <c r="C44" s="355">
        <v>179647</v>
      </c>
      <c r="D44" s="521" t="s">
        <v>1298</v>
      </c>
      <c r="E44" s="357">
        <v>184576</v>
      </c>
      <c r="F44" s="358">
        <f t="shared" si="4"/>
        <v>4929</v>
      </c>
      <c r="G44" s="359" t="b">
        <f t="shared" si="5"/>
        <v>0</v>
      </c>
    </row>
    <row r="45" spans="1:7">
      <c r="A45" s="516">
        <v>10673</v>
      </c>
      <c r="B45" s="354" t="str">
        <f t="shared" si="3"/>
        <v>7.31.17</v>
      </c>
      <c r="C45" s="355">
        <v>184576</v>
      </c>
      <c r="D45" s="521" t="s">
        <v>1299</v>
      </c>
      <c r="E45" s="357">
        <v>189610</v>
      </c>
      <c r="F45" s="358">
        <f t="shared" si="4"/>
        <v>5034</v>
      </c>
      <c r="G45" s="359" t="b">
        <f t="shared" si="5"/>
        <v>0</v>
      </c>
    </row>
    <row r="46" spans="1:7">
      <c r="A46" s="516">
        <v>10796</v>
      </c>
      <c r="B46" s="354" t="str">
        <f t="shared" si="3"/>
        <v>9.14.17</v>
      </c>
      <c r="C46" s="355">
        <v>189610</v>
      </c>
      <c r="D46" s="521"/>
      <c r="E46" s="357"/>
      <c r="F46" s="358">
        <f t="shared" si="4"/>
        <v>-189610</v>
      </c>
      <c r="G46" s="359" t="b">
        <f t="shared" si="5"/>
        <v>0</v>
      </c>
    </row>
    <row r="47" spans="1:7">
      <c r="A47" s="516"/>
      <c r="B47" s="354">
        <f t="shared" si="3"/>
        <v>0</v>
      </c>
      <c r="C47" s="355"/>
      <c r="D47" s="521"/>
      <c r="E47" s="357"/>
      <c r="F47" s="358">
        <f t="shared" si="4"/>
        <v>0</v>
      </c>
      <c r="G47" s="359" t="b">
        <f t="shared" si="5"/>
        <v>0</v>
      </c>
    </row>
    <row r="48" spans="1:7">
      <c r="A48" s="516"/>
      <c r="B48" s="354">
        <f t="shared" si="3"/>
        <v>0</v>
      </c>
      <c r="C48" s="355"/>
      <c r="D48" s="521"/>
      <c r="E48" s="357"/>
      <c r="F48" s="358">
        <f t="shared" si="4"/>
        <v>0</v>
      </c>
      <c r="G48" s="359" t="b">
        <f t="shared" si="5"/>
        <v>0</v>
      </c>
    </row>
    <row r="49" spans="1:7">
      <c r="A49" s="516"/>
      <c r="B49" s="354">
        <f t="shared" si="3"/>
        <v>0</v>
      </c>
      <c r="C49" s="355"/>
      <c r="D49" s="521"/>
      <c r="E49" s="357"/>
      <c r="F49" s="358">
        <f t="shared" si="4"/>
        <v>0</v>
      </c>
      <c r="G49" s="359" t="b">
        <f t="shared" si="5"/>
        <v>0</v>
      </c>
    </row>
    <row r="50" spans="1:7">
      <c r="A50" s="516"/>
      <c r="B50" s="354">
        <f t="shared" si="3"/>
        <v>0</v>
      </c>
      <c r="C50" s="355"/>
      <c r="D50" s="521"/>
      <c r="E50" s="357"/>
      <c r="F50" s="358">
        <f t="shared" si="4"/>
        <v>0</v>
      </c>
      <c r="G50" s="359" t="b">
        <f t="shared" si="5"/>
        <v>0</v>
      </c>
    </row>
    <row r="51" spans="1:7">
      <c r="A51" s="516"/>
      <c r="B51" s="354">
        <f t="shared" si="3"/>
        <v>0</v>
      </c>
      <c r="C51" s="355"/>
      <c r="D51" s="521"/>
      <c r="E51" s="357"/>
      <c r="F51" s="358">
        <f t="shared" si="4"/>
        <v>0</v>
      </c>
      <c r="G51" s="359" t="b">
        <f t="shared" si="5"/>
        <v>0</v>
      </c>
    </row>
    <row r="52" spans="1:7">
      <c r="A52" s="516"/>
      <c r="B52" s="354">
        <f t="shared" si="3"/>
        <v>0</v>
      </c>
      <c r="C52" s="355"/>
      <c r="D52" s="521"/>
      <c r="E52" s="357"/>
      <c r="F52" s="358">
        <f t="shared" si="4"/>
        <v>0</v>
      </c>
      <c r="G52" s="359" t="b">
        <f t="shared" si="5"/>
        <v>0</v>
      </c>
    </row>
    <row r="53" spans="1:7">
      <c r="A53" s="516"/>
      <c r="B53" s="354">
        <f t="shared" si="3"/>
        <v>0</v>
      </c>
      <c r="C53" s="355"/>
      <c r="D53" s="521"/>
      <c r="E53" s="357"/>
      <c r="F53" s="358">
        <f t="shared" si="4"/>
        <v>0</v>
      </c>
      <c r="G53" s="359" t="b">
        <f t="shared" si="5"/>
        <v>0</v>
      </c>
    </row>
    <row r="54" spans="1:7">
      <c r="A54" s="516"/>
      <c r="B54" s="354">
        <f t="shared" si="3"/>
        <v>0</v>
      </c>
      <c r="C54" s="355"/>
      <c r="D54" s="521"/>
      <c r="E54" s="357"/>
      <c r="F54" s="358">
        <f t="shared" si="4"/>
        <v>0</v>
      </c>
      <c r="G54" s="359" t="b">
        <f t="shared" si="5"/>
        <v>0</v>
      </c>
    </row>
    <row r="55" spans="1:7">
      <c r="A55" s="516"/>
      <c r="B55" s="354">
        <f t="shared" si="3"/>
        <v>0</v>
      </c>
      <c r="C55" s="361"/>
      <c r="D55" s="522"/>
      <c r="E55" s="363"/>
      <c r="F55" s="358">
        <f t="shared" si="4"/>
        <v>0</v>
      </c>
      <c r="G55" s="359" t="b">
        <f t="shared" si="5"/>
        <v>0</v>
      </c>
    </row>
    <row r="56" spans="1:7" ht="13.5" thickBot="1">
      <c r="A56" s="523"/>
      <c r="B56" s="354">
        <f t="shared" si="3"/>
        <v>0</v>
      </c>
      <c r="C56" s="365"/>
      <c r="D56" s="524"/>
      <c r="E56" s="367"/>
      <c r="F56" s="358">
        <f t="shared" si="4"/>
        <v>0</v>
      </c>
      <c r="G56" s="359" t="b">
        <f t="shared" si="5"/>
        <v>0</v>
      </c>
    </row>
    <row r="57" spans="1:7" ht="13.5" thickBot="1">
      <c r="A57" s="525"/>
      <c r="B57" s="354">
        <f t="shared" si="3"/>
        <v>0</v>
      </c>
      <c r="C57" s="370"/>
      <c r="D57" s="526"/>
      <c r="E57" s="372"/>
      <c r="F57" s="358">
        <f t="shared" si="4"/>
        <v>0</v>
      </c>
      <c r="G57" s="359" t="b">
        <f t="shared" si="5"/>
        <v>0</v>
      </c>
    </row>
    <row r="58" spans="1:7">
      <c r="A58" s="527"/>
      <c r="B58" s="354">
        <f t="shared" si="3"/>
        <v>0</v>
      </c>
      <c r="C58" s="375"/>
      <c r="D58" s="528"/>
      <c r="E58" s="377"/>
      <c r="F58" s="358">
        <f t="shared" si="4"/>
        <v>0</v>
      </c>
      <c r="G58" s="359" t="b">
        <f t="shared" si="5"/>
        <v>0</v>
      </c>
    </row>
    <row r="59" spans="1:7">
      <c r="A59" s="516"/>
      <c r="B59" s="354">
        <f t="shared" si="3"/>
        <v>0</v>
      </c>
      <c r="C59" s="355"/>
      <c r="D59" s="521"/>
      <c r="E59" s="357"/>
      <c r="F59" s="358">
        <f t="shared" si="4"/>
        <v>0</v>
      </c>
      <c r="G59" s="359" t="b">
        <f t="shared" si="5"/>
        <v>0</v>
      </c>
    </row>
    <row r="60" spans="1:7">
      <c r="A60" s="516"/>
      <c r="B60" s="354">
        <f t="shared" si="3"/>
        <v>0</v>
      </c>
      <c r="C60" s="355"/>
      <c r="D60" s="521"/>
      <c r="E60" s="357"/>
      <c r="F60" s="358">
        <f t="shared" si="4"/>
        <v>0</v>
      </c>
      <c r="G60" s="359" t="b">
        <f t="shared" si="5"/>
        <v>0</v>
      </c>
    </row>
    <row r="61" spans="1:7">
      <c r="A61" s="516"/>
      <c r="B61" s="354">
        <f t="shared" si="3"/>
        <v>0</v>
      </c>
      <c r="C61" s="355"/>
      <c r="D61" s="521"/>
      <c r="E61" s="357"/>
      <c r="F61" s="358">
        <f t="shared" si="4"/>
        <v>0</v>
      </c>
      <c r="G61" s="359" t="b">
        <f t="shared" si="5"/>
        <v>0</v>
      </c>
    </row>
    <row r="62" spans="1:7">
      <c r="A62" s="516"/>
      <c r="B62" s="354">
        <f t="shared" si="3"/>
        <v>0</v>
      </c>
      <c r="C62" s="355"/>
      <c r="D62" s="521"/>
      <c r="E62" s="357"/>
      <c r="F62" s="358">
        <f t="shared" si="4"/>
        <v>0</v>
      </c>
      <c r="G62" s="359" t="b">
        <f t="shared" si="5"/>
        <v>0</v>
      </c>
    </row>
    <row r="63" spans="1:7">
      <c r="A63" s="516"/>
      <c r="B63" s="354">
        <f t="shared" si="3"/>
        <v>0</v>
      </c>
      <c r="C63" s="355"/>
      <c r="D63" s="521"/>
      <c r="E63" s="357"/>
      <c r="F63" s="358">
        <f t="shared" si="4"/>
        <v>0</v>
      </c>
      <c r="G63" s="359" t="b">
        <f t="shared" si="5"/>
        <v>0</v>
      </c>
    </row>
    <row r="64" spans="1:7">
      <c r="A64" s="516"/>
      <c r="B64" s="354">
        <f t="shared" si="3"/>
        <v>0</v>
      </c>
      <c r="C64" s="355"/>
      <c r="D64" s="521"/>
      <c r="E64" s="357"/>
      <c r="F64" s="358">
        <f t="shared" si="4"/>
        <v>0</v>
      </c>
      <c r="G64" s="360" t="b">
        <f t="shared" si="5"/>
        <v>0</v>
      </c>
    </row>
    <row r="65" spans="1:7">
      <c r="A65" s="516"/>
      <c r="B65" s="354">
        <f t="shared" si="3"/>
        <v>0</v>
      </c>
      <c r="C65" s="355"/>
      <c r="D65" s="521"/>
      <c r="E65" s="357"/>
      <c r="F65" s="358">
        <f t="shared" si="4"/>
        <v>0</v>
      </c>
      <c r="G65" s="359" t="b">
        <f t="shared" si="5"/>
        <v>0</v>
      </c>
    </row>
    <row r="66" spans="1:7">
      <c r="A66" s="516"/>
      <c r="B66" s="354">
        <f t="shared" si="3"/>
        <v>0</v>
      </c>
      <c r="C66" s="355"/>
      <c r="D66" s="521"/>
      <c r="E66" s="357"/>
      <c r="F66" s="358">
        <f t="shared" si="4"/>
        <v>0</v>
      </c>
      <c r="G66" s="359" t="b">
        <f t="shared" si="5"/>
        <v>0</v>
      </c>
    </row>
    <row r="67" spans="1:7">
      <c r="A67" s="516"/>
      <c r="B67" s="354">
        <f t="shared" si="3"/>
        <v>0</v>
      </c>
      <c r="C67" s="355"/>
      <c r="D67" s="521"/>
      <c r="E67" s="357"/>
      <c r="F67" s="358">
        <f t="shared" si="4"/>
        <v>0</v>
      </c>
      <c r="G67" s="359" t="b">
        <f t="shared" si="5"/>
        <v>0</v>
      </c>
    </row>
    <row r="68" spans="1:7">
      <c r="A68" s="516"/>
      <c r="B68" s="354">
        <f t="shared" si="3"/>
        <v>0</v>
      </c>
      <c r="C68" s="355"/>
      <c r="D68" s="521"/>
      <c r="E68" s="357"/>
      <c r="F68" s="358">
        <f t="shared" si="4"/>
        <v>0</v>
      </c>
      <c r="G68" s="359" t="b">
        <f t="shared" si="5"/>
        <v>0</v>
      </c>
    </row>
    <row r="69" spans="1:7">
      <c r="A69" s="516"/>
      <c r="B69" s="354">
        <f t="shared" si="3"/>
        <v>0</v>
      </c>
      <c r="C69" s="355"/>
      <c r="D69" s="521"/>
      <c r="E69" s="357"/>
      <c r="F69" s="358">
        <f t="shared" si="4"/>
        <v>0</v>
      </c>
      <c r="G69" s="359" t="b">
        <f t="shared" si="5"/>
        <v>0</v>
      </c>
    </row>
    <row r="70" spans="1:7">
      <c r="A70" s="516"/>
      <c r="B70" s="354">
        <f t="shared" si="3"/>
        <v>0</v>
      </c>
      <c r="C70" s="355"/>
      <c r="D70" s="521"/>
      <c r="E70" s="357"/>
      <c r="F70" s="358">
        <f t="shared" si="4"/>
        <v>0</v>
      </c>
      <c r="G70" s="359" t="b">
        <f t="shared" si="5"/>
        <v>0</v>
      </c>
    </row>
    <row r="71" spans="1:7">
      <c r="A71" s="516"/>
      <c r="B71" s="354">
        <f t="shared" si="3"/>
        <v>0</v>
      </c>
      <c r="C71" s="355"/>
      <c r="D71" s="521"/>
      <c r="E71" s="357"/>
      <c r="F71" s="358">
        <f t="shared" si="4"/>
        <v>0</v>
      </c>
      <c r="G71" s="359" t="b">
        <f t="shared" si="5"/>
        <v>0</v>
      </c>
    </row>
    <row r="72" spans="1:7">
      <c r="A72" s="516"/>
      <c r="B72" s="354">
        <f t="shared" si="3"/>
        <v>0</v>
      </c>
      <c r="C72" s="355"/>
      <c r="D72" s="521"/>
      <c r="E72" s="357"/>
      <c r="F72" s="358">
        <f t="shared" si="4"/>
        <v>0</v>
      </c>
      <c r="G72" s="359" t="b">
        <f t="shared" si="5"/>
        <v>0</v>
      </c>
    </row>
    <row r="73" spans="1:7">
      <c r="A73" s="516"/>
      <c r="B73" s="354">
        <f t="shared" si="3"/>
        <v>0</v>
      </c>
      <c r="C73" s="355"/>
      <c r="D73" s="521"/>
      <c r="E73" s="357"/>
      <c r="F73" s="358">
        <f t="shared" si="4"/>
        <v>0</v>
      </c>
      <c r="G73" s="359" t="b">
        <f t="shared" si="5"/>
        <v>0</v>
      </c>
    </row>
    <row r="74" spans="1:7">
      <c r="A74" s="516"/>
      <c r="B74" s="354">
        <f t="shared" si="3"/>
        <v>0</v>
      </c>
      <c r="C74" s="355"/>
      <c r="D74" s="521"/>
      <c r="E74" s="357"/>
      <c r="F74" s="358">
        <f t="shared" si="4"/>
        <v>0</v>
      </c>
      <c r="G74" s="359" t="b">
        <f t="shared" si="5"/>
        <v>0</v>
      </c>
    </row>
    <row r="75" spans="1:7">
      <c r="A75" s="516"/>
      <c r="B75" s="354">
        <f t="shared" si="3"/>
        <v>0</v>
      </c>
      <c r="C75" s="355"/>
      <c r="D75" s="521"/>
      <c r="E75" s="357"/>
      <c r="F75" s="358">
        <f t="shared" si="4"/>
        <v>0</v>
      </c>
      <c r="G75" s="359" t="b">
        <f t="shared" si="5"/>
        <v>0</v>
      </c>
    </row>
    <row r="76" spans="1:7">
      <c r="A76" s="516"/>
      <c r="B76" s="354">
        <f t="shared" si="3"/>
        <v>0</v>
      </c>
      <c r="C76" s="355"/>
      <c r="D76" s="521"/>
      <c r="E76" s="357"/>
      <c r="F76" s="358">
        <f t="shared" si="4"/>
        <v>0</v>
      </c>
      <c r="G76" s="359" t="b">
        <f t="shared" si="5"/>
        <v>0</v>
      </c>
    </row>
    <row r="77" spans="1:7">
      <c r="A77" s="516"/>
      <c r="B77" s="354">
        <f t="shared" si="3"/>
        <v>0</v>
      </c>
      <c r="C77" s="355"/>
      <c r="D77" s="521"/>
      <c r="E77" s="357"/>
      <c r="F77" s="358">
        <f t="shared" si="4"/>
        <v>0</v>
      </c>
      <c r="G77" s="359" t="b">
        <f t="shared" si="5"/>
        <v>0</v>
      </c>
    </row>
    <row r="78" spans="1:7">
      <c r="A78" s="516"/>
      <c r="B78" s="354">
        <f t="shared" si="3"/>
        <v>0</v>
      </c>
      <c r="C78" s="355"/>
      <c r="D78" s="521"/>
      <c r="E78" s="357"/>
      <c r="F78" s="358">
        <f t="shared" si="4"/>
        <v>0</v>
      </c>
      <c r="G78" s="359" t="b">
        <f t="shared" si="5"/>
        <v>0</v>
      </c>
    </row>
  </sheetData>
  <mergeCells count="6">
    <mergeCell ref="B1:C1"/>
    <mergeCell ref="D1:E1"/>
    <mergeCell ref="F1:G1"/>
    <mergeCell ref="B41:C41"/>
    <mergeCell ref="D41:E41"/>
    <mergeCell ref="F41:G41"/>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R21"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'[19]Projected Maint Practices'!Q7</f>
        <v>4913</v>
      </c>
      <c r="D6" s="264">
        <f>'[19]True Maint Practices'!Q7</f>
        <v>2750</v>
      </c>
    </row>
    <row r="7" spans="1:6" ht="15">
      <c r="B7" s="263">
        <v>2</v>
      </c>
      <c r="C7" s="264">
        <f>'[19]Projected Maint Practices'!Q8</f>
        <v>4913</v>
      </c>
      <c r="D7" s="264">
        <f>'[19]True Maint Practices'!Q8</f>
        <v>7575.96</v>
      </c>
    </row>
    <row r="8" spans="1:6" ht="15">
      <c r="B8" s="263">
        <v>3</v>
      </c>
      <c r="C8" s="264">
        <f>'[19]Projected Maint Practices'!Q9</f>
        <v>4913</v>
      </c>
      <c r="D8" s="264">
        <f>'[19]True Maint Practices'!Q9</f>
        <v>5336</v>
      </c>
    </row>
    <row r="9" spans="1:6" ht="15">
      <c r="B9" s="263">
        <v>4</v>
      </c>
      <c r="C9" s="264">
        <f>'[19]Projected Maint Practices'!Q10</f>
        <v>4913</v>
      </c>
      <c r="D9" s="264">
        <f>'[19]True Maint Practices'!Q10</f>
        <v>4095</v>
      </c>
    </row>
    <row r="10" spans="1:6" ht="15">
      <c r="B10" s="263">
        <v>5</v>
      </c>
      <c r="C10" s="264">
        <f>'[19]Projected Maint Practices'!Q11</f>
        <v>17239.669999999998</v>
      </c>
      <c r="D10" s="264">
        <f>'[19]True Maint Practices'!Q11</f>
        <v>3812</v>
      </c>
    </row>
    <row r="11" spans="1:6" ht="15">
      <c r="B11" s="263">
        <v>6</v>
      </c>
      <c r="C11" s="264">
        <f>'[19]Projected Maint Practices'!Q12</f>
        <v>4913</v>
      </c>
      <c r="D11" s="264">
        <f>'[19]True Maint Practices'!Q12</f>
        <v>0</v>
      </c>
    </row>
    <row r="12" spans="1:6" ht="15">
      <c r="B12" s="263">
        <v>7</v>
      </c>
      <c r="C12" s="264">
        <f>'[19]Projected Maint Practices'!Q13</f>
        <v>4913</v>
      </c>
      <c r="D12" s="264">
        <f>'[19]True Maint Practices'!Q13</f>
        <v>0</v>
      </c>
    </row>
    <row r="13" spans="1:6" ht="15">
      <c r="B13" s="263">
        <v>8</v>
      </c>
      <c r="C13" s="264">
        <f>'[19]Projected Maint Practices'!Q14</f>
        <v>4913</v>
      </c>
      <c r="D13" s="264">
        <f>'[19]True Maint Practices'!Q14</f>
        <v>0</v>
      </c>
    </row>
    <row r="14" spans="1:6" ht="15">
      <c r="B14" s="263">
        <v>9</v>
      </c>
      <c r="C14" s="264">
        <f>'[19]Projected Maint Practices'!Q15</f>
        <v>4913</v>
      </c>
      <c r="D14" s="264">
        <f>'[19]True Maint Practices'!Q15</f>
        <v>0</v>
      </c>
    </row>
    <row r="15" spans="1:6" ht="15">
      <c r="B15" s="263">
        <v>10</v>
      </c>
      <c r="C15" s="264">
        <f>'[19]Projected Maint Practices'!Q16</f>
        <v>4913</v>
      </c>
      <c r="D15" s="264">
        <f>'[19]True Maint Practices'!Q16</f>
        <v>0</v>
      </c>
    </row>
    <row r="16" spans="1:6" ht="15">
      <c r="B16" s="263">
        <v>11</v>
      </c>
      <c r="C16" s="264">
        <f>'[19]Projected Maint Practices'!Q17</f>
        <v>4913</v>
      </c>
      <c r="D16" s="264">
        <f>'[19]True Maint Practices'!Q17</f>
        <v>0</v>
      </c>
    </row>
    <row r="17" spans="2:4" ht="15">
      <c r="B17" s="263">
        <v>12</v>
      </c>
      <c r="C17" s="264">
        <f>'[19]Projected Maint Practices'!Q18</f>
        <v>4913</v>
      </c>
      <c r="D17" s="264">
        <f>'[19]True Maint Practices'!Q18</f>
        <v>0</v>
      </c>
    </row>
    <row r="18" spans="2:4" ht="15">
      <c r="B18" s="260" t="s">
        <v>1</v>
      </c>
      <c r="C18" s="264">
        <f>SUM(C6:C17)</f>
        <v>71282.67</v>
      </c>
      <c r="D18" s="264">
        <f>SUM(D6:D17)</f>
        <v>23568.959999999999</v>
      </c>
    </row>
  </sheetData>
  <printOptions horizontalCentered="1" verticalCentered="1"/>
  <pageMargins left="0.5" right="0.5" top="0.75" bottom="0.75" header="0.5" footer="0.5"/>
  <pageSetup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2"/>
  <sheetViews>
    <sheetView showGridLines="0" topLeftCell="A38" zoomScaleNormal="100" workbookViewId="0">
      <selection activeCell="N54" sqref="A1:XFD1048576"/>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s="1" customFormat="1" ht="16.5" customHeight="1">
      <c r="B1" s="43"/>
      <c r="C1" s="43"/>
      <c r="D1" s="43"/>
      <c r="E1" s="43"/>
      <c r="F1" s="43"/>
      <c r="G1" s="43"/>
      <c r="H1" s="43"/>
      <c r="I1" s="43"/>
      <c r="J1" s="43"/>
      <c r="K1" s="43"/>
      <c r="L1" s="43"/>
      <c r="M1" s="43"/>
      <c r="N1" s="43"/>
      <c r="O1" s="43"/>
      <c r="P1" s="43"/>
    </row>
    <row r="2" spans="2:22" s="1" customFormat="1" ht="31.5" customHeight="1">
      <c r="B2" s="404" t="s">
        <v>1803</v>
      </c>
      <c r="C2" s="43"/>
      <c r="D2" s="43"/>
      <c r="E2" s="43"/>
      <c r="F2" s="43"/>
      <c r="G2" s="43"/>
      <c r="H2" s="43"/>
      <c r="I2" s="43"/>
      <c r="J2" s="43"/>
      <c r="K2" s="43"/>
      <c r="L2" s="43"/>
      <c r="M2" s="43"/>
      <c r="N2" s="43"/>
      <c r="O2" s="43" t="s">
        <v>233</v>
      </c>
      <c r="P2" s="43"/>
    </row>
    <row r="3" spans="2:22" s="1" customFormat="1" ht="16.5" customHeight="1">
      <c r="B3" s="43"/>
      <c r="C3" s="43"/>
      <c r="D3" s="43"/>
      <c r="E3" s="43"/>
      <c r="F3" s="43"/>
      <c r="G3" s="43"/>
      <c r="H3" s="43"/>
      <c r="I3" s="43"/>
      <c r="J3" s="43"/>
      <c r="K3" s="43"/>
      <c r="L3" s="43"/>
      <c r="M3" s="43"/>
      <c r="N3" s="43"/>
      <c r="O3" s="43"/>
      <c r="P3" s="43"/>
    </row>
    <row r="12" spans="2:22" s="1" customFormat="1" ht="16.5" customHeight="1">
      <c r="V12" s="1" t="s">
        <v>32</v>
      </c>
    </row>
    <row r="18" spans="2:16" s="1" customFormat="1"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s="1" customFormat="1" ht="16.5" customHeight="1">
      <c r="B19" s="101" t="s">
        <v>17</v>
      </c>
      <c r="C19" s="8"/>
      <c r="D19" s="8"/>
      <c r="E19" s="8"/>
      <c r="F19" s="8"/>
      <c r="G19" s="8"/>
      <c r="H19" s="8"/>
      <c r="I19" s="8">
        <v>133.07</v>
      </c>
      <c r="J19" s="8">
        <v>160.57</v>
      </c>
      <c r="K19" s="8">
        <v>133.07</v>
      </c>
      <c r="L19" s="8"/>
      <c r="M19" s="30"/>
      <c r="N19" s="8"/>
      <c r="O19" s="8">
        <f t="shared" ref="O19:O38" si="0">SUM(C19:N19)</f>
        <v>426.71</v>
      </c>
      <c r="P19" s="102"/>
    </row>
    <row r="20" spans="2:16" s="1" customFormat="1" ht="16.5" customHeight="1">
      <c r="B20" s="101" t="s">
        <v>16</v>
      </c>
      <c r="C20" s="8"/>
      <c r="D20" s="8"/>
      <c r="E20" s="8"/>
      <c r="F20" s="8"/>
      <c r="G20" s="8"/>
      <c r="H20" s="8"/>
      <c r="I20" s="8"/>
      <c r="J20" s="8">
        <v>539.22</v>
      </c>
      <c r="K20" s="8"/>
      <c r="L20" s="8"/>
      <c r="M20" s="30"/>
      <c r="N20" s="8"/>
      <c r="O20" s="8">
        <f t="shared" si="0"/>
        <v>539.22</v>
      </c>
      <c r="P20" s="102"/>
    </row>
    <row r="21" spans="2:16" s="1" customFormat="1" ht="16.5" customHeight="1">
      <c r="B21" s="101" t="s">
        <v>15</v>
      </c>
      <c r="C21" s="8"/>
      <c r="D21" s="8"/>
      <c r="E21" s="8"/>
      <c r="F21" s="8"/>
      <c r="G21" s="8"/>
      <c r="H21" s="8"/>
      <c r="I21" s="8"/>
      <c r="J21" s="8"/>
      <c r="K21" s="8"/>
      <c r="L21" s="8"/>
      <c r="M21" s="30"/>
      <c r="N21" s="8"/>
      <c r="O21" s="8">
        <f t="shared" si="0"/>
        <v>0</v>
      </c>
      <c r="P21" s="102"/>
    </row>
    <row r="22" spans="2:16" s="1" customFormat="1" ht="16.5" customHeight="1">
      <c r="B22" s="101" t="s">
        <v>232</v>
      </c>
      <c r="C22" s="8"/>
      <c r="D22" s="8"/>
      <c r="E22" s="8"/>
      <c r="F22" s="8"/>
      <c r="G22" s="8"/>
      <c r="H22" s="8"/>
      <c r="I22" s="8"/>
      <c r="J22" s="8"/>
      <c r="K22" s="8"/>
      <c r="L22" s="8"/>
      <c r="M22" s="30"/>
      <c r="N22" s="8"/>
      <c r="O22" s="8">
        <f t="shared" si="0"/>
        <v>0</v>
      </c>
      <c r="P22" s="102"/>
    </row>
    <row r="23" spans="2:16" s="1" customFormat="1" ht="16.5" customHeight="1">
      <c r="B23" s="101" t="s">
        <v>13</v>
      </c>
      <c r="C23" s="8"/>
      <c r="D23" s="8"/>
      <c r="E23" s="8"/>
      <c r="F23" s="8"/>
      <c r="G23" s="8"/>
      <c r="H23" s="8"/>
      <c r="I23" s="8"/>
      <c r="J23" s="8"/>
      <c r="K23" s="8"/>
      <c r="L23" s="8"/>
      <c r="M23" s="30"/>
      <c r="N23" s="8"/>
      <c r="O23" s="8">
        <f t="shared" si="0"/>
        <v>0</v>
      </c>
      <c r="P23" s="102"/>
    </row>
    <row r="24" spans="2:16" s="1" customFormat="1" ht="16.5" customHeight="1">
      <c r="B24" s="103" t="s">
        <v>12</v>
      </c>
      <c r="C24" s="8"/>
      <c r="D24" s="8"/>
      <c r="E24" s="8"/>
      <c r="F24" s="8"/>
      <c r="G24" s="8"/>
      <c r="H24" s="8"/>
      <c r="I24" s="8"/>
      <c r="J24" s="8"/>
      <c r="K24" s="8"/>
      <c r="L24" s="8"/>
      <c r="M24" s="30"/>
      <c r="N24" s="8"/>
      <c r="O24" s="8">
        <f t="shared" si="0"/>
        <v>0</v>
      </c>
      <c r="P24" s="102"/>
    </row>
    <row r="25" spans="2:16" s="1" customFormat="1" ht="16.5" customHeight="1">
      <c r="B25" s="103" t="s">
        <v>11</v>
      </c>
      <c r="C25" s="17"/>
      <c r="D25" s="17"/>
      <c r="E25" s="17"/>
      <c r="F25" s="17"/>
      <c r="G25" s="17"/>
      <c r="H25" s="17"/>
      <c r="I25" s="17"/>
      <c r="J25" s="17"/>
      <c r="K25" s="17"/>
      <c r="L25" s="17"/>
      <c r="M25" s="35"/>
      <c r="N25" s="17"/>
      <c r="O25" s="17">
        <f t="shared" si="0"/>
        <v>0</v>
      </c>
      <c r="P25" s="102"/>
    </row>
    <row r="26" spans="2:16" s="1" customFormat="1" ht="16.5" customHeight="1">
      <c r="B26" s="103" t="s">
        <v>10</v>
      </c>
      <c r="C26" s="17"/>
      <c r="D26" s="17"/>
      <c r="E26" s="17"/>
      <c r="F26" s="17"/>
      <c r="G26" s="17"/>
      <c r="H26" s="17"/>
      <c r="I26" s="17"/>
      <c r="J26" s="17"/>
      <c r="K26" s="17"/>
      <c r="L26" s="17"/>
      <c r="M26" s="35"/>
      <c r="N26" s="17"/>
      <c r="O26" s="17">
        <f t="shared" si="0"/>
        <v>0</v>
      </c>
      <c r="P26" s="102"/>
    </row>
    <row r="27" spans="2:16" s="1" customFormat="1" ht="16.5" customHeight="1">
      <c r="B27" s="103" t="s">
        <v>9</v>
      </c>
      <c r="C27" s="17"/>
      <c r="D27" s="17"/>
      <c r="E27" s="17"/>
      <c r="F27" s="17"/>
      <c r="G27" s="17"/>
      <c r="H27" s="17"/>
      <c r="I27" s="17"/>
      <c r="J27" s="17"/>
      <c r="K27" s="17"/>
      <c r="L27" s="17"/>
      <c r="M27" s="35"/>
      <c r="N27" s="17"/>
      <c r="O27" s="17">
        <f t="shared" si="0"/>
        <v>0</v>
      </c>
      <c r="P27" s="102"/>
    </row>
    <row r="28" spans="2:16" s="1" customFormat="1" ht="16.5" hidden="1" customHeight="1">
      <c r="B28" s="103"/>
      <c r="C28" s="15"/>
      <c r="D28" s="15"/>
      <c r="E28" s="15"/>
      <c r="F28" s="15"/>
      <c r="G28" s="15"/>
      <c r="H28" s="15"/>
      <c r="I28" s="15"/>
      <c r="J28" s="15"/>
      <c r="K28" s="15"/>
      <c r="L28" s="15"/>
      <c r="M28" s="16"/>
      <c r="N28" s="15"/>
      <c r="O28" s="4">
        <f t="shared" si="0"/>
        <v>0</v>
      </c>
      <c r="P28" s="102"/>
    </row>
    <row r="29" spans="2:16" s="1" customFormat="1" ht="16.5" hidden="1" customHeight="1">
      <c r="B29" s="103"/>
      <c r="C29" s="15"/>
      <c r="D29" s="15"/>
      <c r="E29" s="15"/>
      <c r="F29" s="15"/>
      <c r="G29" s="15"/>
      <c r="H29" s="15"/>
      <c r="I29" s="15"/>
      <c r="J29" s="15"/>
      <c r="K29" s="15"/>
      <c r="L29" s="15"/>
      <c r="M29" s="16"/>
      <c r="N29" s="15"/>
      <c r="O29" s="4">
        <f t="shared" si="0"/>
        <v>0</v>
      </c>
      <c r="P29" s="102"/>
    </row>
    <row r="30" spans="2:16" s="1" customFormat="1" ht="16.5" hidden="1" customHeight="1">
      <c r="B30" s="103"/>
      <c r="C30" s="15"/>
      <c r="D30" s="15"/>
      <c r="E30" s="15"/>
      <c r="F30" s="15"/>
      <c r="G30" s="15"/>
      <c r="H30" s="15"/>
      <c r="I30" s="15"/>
      <c r="J30" s="15"/>
      <c r="K30" s="15"/>
      <c r="L30" s="15"/>
      <c r="M30" s="16"/>
      <c r="N30" s="15"/>
      <c r="O30" s="4">
        <f t="shared" si="0"/>
        <v>0</v>
      </c>
      <c r="P30" s="102"/>
    </row>
    <row r="31" spans="2:16" s="1" customFormat="1" ht="16.5" hidden="1" customHeight="1">
      <c r="B31" s="103"/>
      <c r="C31" s="15"/>
      <c r="D31" s="15"/>
      <c r="E31" s="15"/>
      <c r="F31" s="15"/>
      <c r="G31" s="15"/>
      <c r="H31" s="15"/>
      <c r="I31" s="15"/>
      <c r="J31" s="15"/>
      <c r="K31" s="15"/>
      <c r="L31" s="15"/>
      <c r="M31" s="16"/>
      <c r="N31" s="15"/>
      <c r="O31" s="4">
        <f t="shared" si="0"/>
        <v>0</v>
      </c>
      <c r="P31" s="102"/>
    </row>
    <row r="32" spans="2:16" s="1" customFormat="1" ht="16.5" customHeight="1">
      <c r="B32" s="103" t="s">
        <v>8</v>
      </c>
      <c r="C32" s="4"/>
      <c r="D32" s="4"/>
      <c r="E32" s="4"/>
      <c r="F32" s="4"/>
      <c r="G32" s="4"/>
      <c r="H32" s="4"/>
      <c r="I32" s="4"/>
      <c r="J32" s="4"/>
      <c r="K32" s="4"/>
      <c r="L32" s="4"/>
      <c r="M32" s="33"/>
      <c r="N32" s="4"/>
      <c r="O32" s="4">
        <f t="shared" si="0"/>
        <v>0</v>
      </c>
      <c r="P32" s="102"/>
    </row>
    <row r="33" spans="2:18" s="1" customFormat="1" ht="16.5" customHeight="1">
      <c r="B33" s="103" t="s">
        <v>7</v>
      </c>
      <c r="C33" s="12"/>
      <c r="D33" s="12"/>
      <c r="E33" s="12"/>
      <c r="F33" s="12"/>
      <c r="G33" s="12"/>
      <c r="H33" s="12"/>
      <c r="I33" s="12"/>
      <c r="J33" s="12"/>
      <c r="K33" s="12"/>
      <c r="L33" s="12"/>
      <c r="M33" s="32"/>
      <c r="N33" s="12"/>
      <c r="O33" s="12">
        <f t="shared" si="0"/>
        <v>0</v>
      </c>
      <c r="P33" s="102"/>
    </row>
    <row r="34" spans="2:18" s="1" customFormat="1" ht="16.5" customHeight="1">
      <c r="B34" s="103" t="s">
        <v>6</v>
      </c>
      <c r="C34" s="41"/>
      <c r="D34" s="41"/>
      <c r="E34" s="41"/>
      <c r="F34" s="41"/>
      <c r="G34" s="41"/>
      <c r="H34" s="41"/>
      <c r="I34" s="41"/>
      <c r="J34" s="41">
        <v>80</v>
      </c>
      <c r="K34" s="41"/>
      <c r="L34" s="41"/>
      <c r="M34" s="42"/>
      <c r="N34" s="41"/>
      <c r="O34" s="4">
        <f t="shared" si="0"/>
        <v>80</v>
      </c>
      <c r="P34" s="102"/>
    </row>
    <row r="35" spans="2:18" s="1" customFormat="1" ht="16.5" customHeight="1">
      <c r="B35" s="103" t="s">
        <v>5</v>
      </c>
      <c r="C35" s="8"/>
      <c r="D35" s="8"/>
      <c r="E35" s="8"/>
      <c r="F35" s="8"/>
      <c r="G35" s="8"/>
      <c r="H35" s="8"/>
      <c r="I35" s="8"/>
      <c r="J35" s="8">
        <v>84.06</v>
      </c>
      <c r="K35" s="8">
        <v>6.98</v>
      </c>
      <c r="L35" s="8"/>
      <c r="M35" s="30"/>
      <c r="N35" s="8"/>
      <c r="O35" s="8">
        <f t="shared" si="0"/>
        <v>91.04</v>
      </c>
      <c r="P35" s="102"/>
    </row>
    <row r="36" spans="2:18" s="1" customFormat="1" ht="16.5" customHeight="1">
      <c r="B36" s="103" t="s">
        <v>171</v>
      </c>
      <c r="C36" s="8"/>
      <c r="D36" s="8"/>
      <c r="E36" s="8"/>
      <c r="F36" s="8"/>
      <c r="G36" s="8"/>
      <c r="H36" s="8"/>
      <c r="I36" s="8"/>
      <c r="J36" s="8"/>
      <c r="K36" s="8"/>
      <c r="L36" s="8"/>
      <c r="M36" s="30"/>
      <c r="N36" s="8"/>
      <c r="O36" s="8">
        <f t="shared" si="0"/>
        <v>0</v>
      </c>
      <c r="P36" s="102"/>
    </row>
    <row r="37" spans="2:18" s="1" customFormat="1" ht="16.5" customHeight="1">
      <c r="B37" s="103" t="s">
        <v>1349</v>
      </c>
      <c r="C37" s="41"/>
      <c r="D37" s="41"/>
      <c r="E37" s="41"/>
      <c r="F37" s="41"/>
      <c r="G37" s="41"/>
      <c r="H37" s="41"/>
      <c r="I37" s="41"/>
      <c r="J37" s="41"/>
      <c r="K37" s="41"/>
      <c r="L37" s="41"/>
      <c r="M37" s="42"/>
      <c r="N37" s="41"/>
      <c r="O37" s="41">
        <f t="shared" si="0"/>
        <v>0</v>
      </c>
      <c r="P37" s="102"/>
    </row>
    <row r="38" spans="2:18" s="1" customFormat="1" ht="16.5" customHeight="1">
      <c r="B38" s="103" t="s">
        <v>3</v>
      </c>
      <c r="C38" s="8"/>
      <c r="D38" s="8"/>
      <c r="E38" s="8"/>
      <c r="F38" s="8"/>
      <c r="G38" s="8"/>
      <c r="H38" s="8"/>
      <c r="I38" s="8"/>
      <c r="J38" s="8">
        <v>28.2</v>
      </c>
      <c r="K38" s="8">
        <v>6.06</v>
      </c>
      <c r="L38" s="8"/>
      <c r="M38" s="30"/>
      <c r="N38" s="8"/>
      <c r="O38" s="4">
        <f t="shared" si="0"/>
        <v>34.26</v>
      </c>
      <c r="P38" s="102"/>
    </row>
    <row r="39" spans="2:18" s="1" customFormat="1" ht="16.5" customHeight="1">
      <c r="B39" s="103" t="s">
        <v>2</v>
      </c>
      <c r="C39" s="5"/>
      <c r="D39" s="5"/>
      <c r="E39" s="5"/>
      <c r="F39" s="5"/>
      <c r="G39" s="5"/>
      <c r="H39" s="5"/>
      <c r="I39" s="5"/>
      <c r="J39" s="5">
        <v>110</v>
      </c>
      <c r="K39" s="5">
        <v>30</v>
      </c>
      <c r="L39" s="5"/>
      <c r="M39" s="29"/>
      <c r="N39" s="5"/>
      <c r="O39" s="4">
        <f>[20]summary!$R$18</f>
        <v>0</v>
      </c>
      <c r="P39" s="102"/>
    </row>
    <row r="40" spans="2:18" s="1" customFormat="1" ht="16.5" customHeight="1">
      <c r="B40" s="101" t="s">
        <v>1</v>
      </c>
      <c r="C40" s="104">
        <f>SUBTOTAL(109,ExpenseSummary175[Jan])</f>
        <v>0</v>
      </c>
      <c r="D40" s="105">
        <f>SUBTOTAL(109,ExpenseSummary175[Feb])</f>
        <v>0</v>
      </c>
      <c r="E40" s="104">
        <f>SUBTOTAL(109,ExpenseSummary175[Mar])</f>
        <v>0</v>
      </c>
      <c r="F40" s="105">
        <f>SUBTOTAL(109,ExpenseSummary175[Apr])</f>
        <v>0</v>
      </c>
      <c r="G40" s="104">
        <f>SUBTOTAL(109,ExpenseSummary175[May])</f>
        <v>0</v>
      </c>
      <c r="H40" s="105">
        <f>SUBTOTAL(109,ExpenseSummary175[Jun])</f>
        <v>0</v>
      </c>
      <c r="I40" s="104">
        <f>SUBTOTAL(109,ExpenseSummary175[Jul])</f>
        <v>133.07</v>
      </c>
      <c r="J40" s="105">
        <f>SUBTOTAL(109,ExpenseSummary175[Aug])</f>
        <v>1002.05</v>
      </c>
      <c r="K40" s="104">
        <f>SUBTOTAL(109,ExpenseSummary175[Sep])</f>
        <v>176.10999999999999</v>
      </c>
      <c r="L40" s="105">
        <f>SUBTOTAL(109,ExpenseSummary175[Oct])</f>
        <v>0</v>
      </c>
      <c r="M40" s="267">
        <f>SUBTOTAL(109,ExpenseSummary175[Nov])</f>
        <v>0</v>
      </c>
      <c r="N40" s="105">
        <f>SUBTOTAL(109,ExpenseSummary175[Dec])</f>
        <v>0</v>
      </c>
      <c r="O40" s="106">
        <f>SUBTOTAL(109,ExpenseSummary175[Total])</f>
        <v>1171.23</v>
      </c>
      <c r="P40" s="102"/>
    </row>
    <row r="41" spans="2:18" s="1" customFormat="1" ht="16.5" customHeight="1">
      <c r="B41" s="28"/>
      <c r="C41" s="28"/>
    </row>
    <row r="42" spans="2:18" s="1" customFormat="1" ht="16.5" customHeight="1">
      <c r="B42" s="268"/>
      <c r="C42" s="268"/>
      <c r="D42" s="269"/>
      <c r="E42" s="270" t="s">
        <v>118</v>
      </c>
      <c r="F42" s="270"/>
      <c r="G42" s="270"/>
      <c r="H42" s="270"/>
      <c r="I42" s="270"/>
      <c r="J42" s="270"/>
      <c r="K42" s="270"/>
      <c r="L42" s="270"/>
      <c r="M42" s="270"/>
      <c r="N42" s="270"/>
      <c r="O42" s="270"/>
      <c r="P42" s="270"/>
      <c r="Q42" s="270"/>
      <c r="R42" s="270"/>
    </row>
    <row r="43" spans="2:18" s="1" customFormat="1" ht="16.5" customHeight="1">
      <c r="B43" s="271" t="s">
        <v>1422</v>
      </c>
      <c r="C43" s="272" t="s">
        <v>1379</v>
      </c>
      <c r="D43" s="269"/>
      <c r="E43" s="273" t="s">
        <v>1804</v>
      </c>
      <c r="F43" s="273"/>
      <c r="G43" s="273"/>
      <c r="H43" s="273"/>
      <c r="I43" s="273"/>
      <c r="J43" s="273"/>
      <c r="K43" s="273"/>
      <c r="L43" s="273"/>
      <c r="M43" s="273"/>
      <c r="N43" s="273"/>
      <c r="O43" s="273"/>
      <c r="P43" s="273"/>
      <c r="Q43" s="273"/>
      <c r="R43" s="273"/>
    </row>
    <row r="44" spans="2:18" s="1" customFormat="1" ht="16.5" customHeight="1">
      <c r="B44" s="274" t="s">
        <v>115</v>
      </c>
      <c r="C44" s="275" t="s">
        <v>289</v>
      </c>
      <c r="D44" s="269"/>
      <c r="E44" s="270" t="s">
        <v>113</v>
      </c>
      <c r="F44" s="270"/>
      <c r="G44" s="270"/>
      <c r="H44" s="270"/>
      <c r="I44" s="270"/>
      <c r="J44" s="270"/>
      <c r="K44" s="270"/>
      <c r="L44" s="270"/>
      <c r="M44" s="270"/>
      <c r="N44" s="270"/>
      <c r="O44" s="270"/>
      <c r="P44" s="270"/>
      <c r="Q44" s="270"/>
      <c r="R44" s="270"/>
    </row>
    <row r="45" spans="2:18" s="1" customFormat="1" ht="16.5" customHeight="1" thickBot="1">
      <c r="B45" s="274" t="s">
        <v>112</v>
      </c>
      <c r="C45" s="276">
        <v>133494</v>
      </c>
      <c r="D45" s="268"/>
      <c r="E45" s="273" t="s">
        <v>1377</v>
      </c>
      <c r="F45" s="273"/>
      <c r="G45" s="273"/>
      <c r="H45" s="273"/>
      <c r="I45" s="273"/>
      <c r="J45" s="273"/>
      <c r="K45" s="273"/>
      <c r="L45" s="273"/>
      <c r="M45" s="273"/>
      <c r="N45" s="273"/>
      <c r="O45" s="273"/>
      <c r="P45" s="273"/>
      <c r="Q45" s="273"/>
      <c r="R45" s="273"/>
    </row>
    <row r="46" spans="2:18" s="1" customFormat="1" ht="16.5" customHeight="1">
      <c r="B46" s="274" t="s">
        <v>110</v>
      </c>
      <c r="C46" s="277"/>
      <c r="D46" s="260"/>
      <c r="E46" s="278" t="s">
        <v>109</v>
      </c>
      <c r="F46" s="279" t="s">
        <v>108</v>
      </c>
      <c r="G46" s="280"/>
      <c r="H46" s="279" t="s">
        <v>107</v>
      </c>
      <c r="I46" s="280"/>
      <c r="J46" s="279" t="s">
        <v>106</v>
      </c>
      <c r="K46" s="280"/>
      <c r="L46" s="279" t="s">
        <v>105</v>
      </c>
      <c r="M46" s="280"/>
      <c r="N46" s="279" t="s">
        <v>96</v>
      </c>
      <c r="O46" s="280"/>
      <c r="P46" s="279" t="s">
        <v>104</v>
      </c>
      <c r="Q46" s="280"/>
      <c r="R46" s="281" t="s">
        <v>103</v>
      </c>
    </row>
    <row r="47" spans="2:18" s="1" customFormat="1" ht="16.5" customHeight="1">
      <c r="B47" s="282" t="s">
        <v>102</v>
      </c>
      <c r="C47" s="549">
        <v>160</v>
      </c>
      <c r="D47" s="262"/>
      <c r="E47" s="284"/>
      <c r="F47" s="285" t="s">
        <v>101</v>
      </c>
      <c r="G47" s="286" t="s">
        <v>100</v>
      </c>
      <c r="H47" s="285" t="s">
        <v>101</v>
      </c>
      <c r="I47" s="286" t="s">
        <v>100</v>
      </c>
      <c r="J47" s="285" t="s">
        <v>101</v>
      </c>
      <c r="K47" s="286" t="s">
        <v>100</v>
      </c>
      <c r="L47" s="287" t="s">
        <v>101</v>
      </c>
      <c r="M47" s="405" t="s">
        <v>100</v>
      </c>
      <c r="N47" s="287" t="s">
        <v>101</v>
      </c>
      <c r="O47" s="286" t="s">
        <v>100</v>
      </c>
      <c r="P47" s="287" t="s">
        <v>101</v>
      </c>
      <c r="Q47" s="286" t="s">
        <v>100</v>
      </c>
      <c r="R47" s="284"/>
    </row>
    <row r="48" spans="2:18" s="1" customFormat="1" ht="16.5" customHeight="1">
      <c r="B48" s="274" t="s">
        <v>99</v>
      </c>
      <c r="C48" s="288">
        <v>6867</v>
      </c>
      <c r="D48" s="260"/>
      <c r="E48" s="289" t="s">
        <v>87</v>
      </c>
      <c r="F48" s="290">
        <v>7</v>
      </c>
      <c r="G48" s="291">
        <f t="shared" ref="G48:G59" si="1">SUM($B$6*F48)*C60</f>
        <v>0</v>
      </c>
      <c r="H48" s="292"/>
      <c r="I48" s="291">
        <f>IF(H48&gt;0,($B$7*C60),0)</f>
        <v>0</v>
      </c>
      <c r="J48" s="293"/>
      <c r="K48" s="291">
        <f>IF(J48&gt;0,($B$8*C60),0)</f>
        <v>0</v>
      </c>
      <c r="L48" s="292">
        <v>2</v>
      </c>
      <c r="M48" s="406">
        <f t="shared" ref="M48:M59" si="2">IF(L48&gt;0,($B$9*L48),0)</f>
        <v>0</v>
      </c>
      <c r="N48" s="294">
        <v>2</v>
      </c>
      <c r="O48" s="291">
        <f t="shared" ref="O48:O59" si="3">IF(N48&gt;0,($B$10*N48),0)</f>
        <v>0</v>
      </c>
      <c r="P48" s="295">
        <v>2</v>
      </c>
      <c r="Q48" s="291">
        <f t="shared" ref="Q48:Q59" si="4">SUM(P48*$B$17)*C60</f>
        <v>0</v>
      </c>
      <c r="R48" s="296">
        <f t="shared" ref="R48:R59" si="5">SUM(Q48+O48+M48+K48+I48+G48)</f>
        <v>0</v>
      </c>
    </row>
    <row r="49" spans="2:18" s="1" customFormat="1" ht="16.5" customHeight="1">
      <c r="B49" s="274" t="s">
        <v>98</v>
      </c>
      <c r="C49" s="288">
        <v>5460</v>
      </c>
      <c r="D49" s="260"/>
      <c r="E49" s="289" t="s">
        <v>86</v>
      </c>
      <c r="F49" s="290">
        <v>7</v>
      </c>
      <c r="G49" s="291">
        <f t="shared" si="1"/>
        <v>0</v>
      </c>
      <c r="H49" s="292"/>
      <c r="I49" s="291">
        <f>IF(H49&gt;0,($B$7*C61),0)</f>
        <v>0</v>
      </c>
      <c r="J49" s="293"/>
      <c r="K49" s="291">
        <f>IF(J49&gt;0,($B$8*C61),0)</f>
        <v>0</v>
      </c>
      <c r="L49" s="292">
        <v>2</v>
      </c>
      <c r="M49" s="406">
        <f t="shared" si="2"/>
        <v>0</v>
      </c>
      <c r="N49" s="294">
        <v>2</v>
      </c>
      <c r="O49" s="291">
        <f t="shared" si="3"/>
        <v>0</v>
      </c>
      <c r="P49" s="295">
        <v>2</v>
      </c>
      <c r="Q49" s="291">
        <f t="shared" si="4"/>
        <v>0</v>
      </c>
      <c r="R49" s="296">
        <f t="shared" si="5"/>
        <v>0</v>
      </c>
    </row>
    <row r="50" spans="2:18" s="1" customFormat="1" ht="16.5" customHeight="1">
      <c r="B50" s="407" t="s">
        <v>97</v>
      </c>
      <c r="C50" s="288">
        <v>324</v>
      </c>
      <c r="D50" s="260"/>
      <c r="E50" s="289" t="s">
        <v>84</v>
      </c>
      <c r="F50" s="290">
        <v>7</v>
      </c>
      <c r="G50" s="291">
        <f t="shared" si="1"/>
        <v>0</v>
      </c>
      <c r="H50" s="292"/>
      <c r="I50" s="291">
        <f>IF(H50&gt;0,($B$7*C62),0)</f>
        <v>0</v>
      </c>
      <c r="J50" s="293"/>
      <c r="K50" s="291">
        <f>IF(J50&gt;0,($B$8*C62),0)</f>
        <v>0</v>
      </c>
      <c r="L50" s="292">
        <v>2</v>
      </c>
      <c r="M50" s="406">
        <f t="shared" si="2"/>
        <v>0</v>
      </c>
      <c r="N50" s="294">
        <v>2</v>
      </c>
      <c r="O50" s="291">
        <f t="shared" si="3"/>
        <v>0</v>
      </c>
      <c r="P50" s="295">
        <v>2</v>
      </c>
      <c r="Q50" s="291">
        <f t="shared" si="4"/>
        <v>0</v>
      </c>
      <c r="R50" s="296">
        <f t="shared" si="5"/>
        <v>0</v>
      </c>
    </row>
    <row r="51" spans="2:18" s="1" customFormat="1" ht="16.5" customHeight="1">
      <c r="B51" s="408" t="s">
        <v>96</v>
      </c>
      <c r="C51" s="288">
        <v>1050</v>
      </c>
      <c r="D51" s="260"/>
      <c r="E51" s="289" t="s">
        <v>83</v>
      </c>
      <c r="F51" s="290">
        <v>7</v>
      </c>
      <c r="G51" s="291">
        <f t="shared" si="1"/>
        <v>0</v>
      </c>
      <c r="H51" s="292"/>
      <c r="I51" s="291">
        <f>IF(H51&gt;0,($B$7*C63),0)</f>
        <v>0</v>
      </c>
      <c r="J51" s="293"/>
      <c r="K51" s="291">
        <f>IF(J51&gt;0,($B$8*C63),0)</f>
        <v>0</v>
      </c>
      <c r="L51" s="292">
        <v>2</v>
      </c>
      <c r="M51" s="406">
        <f t="shared" si="2"/>
        <v>0</v>
      </c>
      <c r="N51" s="294">
        <v>2</v>
      </c>
      <c r="O51" s="291">
        <f t="shared" si="3"/>
        <v>0</v>
      </c>
      <c r="P51" s="295">
        <v>2</v>
      </c>
      <c r="Q51" s="291">
        <f t="shared" si="4"/>
        <v>0</v>
      </c>
      <c r="R51" s="296">
        <f t="shared" si="5"/>
        <v>0</v>
      </c>
    </row>
    <row r="52" spans="2:18" s="1" customFormat="1" ht="16.5" customHeight="1">
      <c r="B52" s="274" t="s">
        <v>95</v>
      </c>
      <c r="C52" s="141">
        <v>35000</v>
      </c>
      <c r="D52" s="260"/>
      <c r="E52" s="289" t="s">
        <v>82</v>
      </c>
      <c r="F52" s="290">
        <v>7</v>
      </c>
      <c r="G52" s="291">
        <f t="shared" si="1"/>
        <v>0</v>
      </c>
      <c r="H52" s="292">
        <v>1</v>
      </c>
      <c r="I52" s="291">
        <v>6866.67</v>
      </c>
      <c r="J52" s="293">
        <v>1</v>
      </c>
      <c r="K52" s="291">
        <v>5460</v>
      </c>
      <c r="L52" s="292">
        <v>2</v>
      </c>
      <c r="M52" s="406">
        <f t="shared" si="2"/>
        <v>0</v>
      </c>
      <c r="N52" s="294">
        <v>2</v>
      </c>
      <c r="O52" s="291">
        <f t="shared" si="3"/>
        <v>0</v>
      </c>
      <c r="P52" s="295">
        <v>2</v>
      </c>
      <c r="Q52" s="291">
        <f t="shared" si="4"/>
        <v>0</v>
      </c>
      <c r="R52" s="296">
        <f t="shared" si="5"/>
        <v>12326.67</v>
      </c>
    </row>
    <row r="53" spans="2:18" s="1" customFormat="1" ht="16.5" customHeight="1">
      <c r="B53" s="274" t="s">
        <v>94</v>
      </c>
      <c r="C53" s="141">
        <v>5000</v>
      </c>
      <c r="D53" s="260"/>
      <c r="E53" s="289" t="s">
        <v>80</v>
      </c>
      <c r="F53" s="290">
        <v>7</v>
      </c>
      <c r="G53" s="291">
        <f t="shared" si="1"/>
        <v>0</v>
      </c>
      <c r="H53" s="292"/>
      <c r="I53" s="291">
        <f t="shared" ref="I53:I59" si="6">IF(H53&gt;0,($B$7*C65),0)</f>
        <v>0</v>
      </c>
      <c r="J53" s="293"/>
      <c r="K53" s="291">
        <f t="shared" ref="K53:K59" si="7">IF(J53&gt;0,($B$8*C65),0)</f>
        <v>0</v>
      </c>
      <c r="L53" s="292">
        <v>2</v>
      </c>
      <c r="M53" s="406">
        <f t="shared" si="2"/>
        <v>0</v>
      </c>
      <c r="N53" s="294">
        <v>2</v>
      </c>
      <c r="O53" s="291">
        <f t="shared" si="3"/>
        <v>0</v>
      </c>
      <c r="P53" s="295">
        <v>2</v>
      </c>
      <c r="Q53" s="291">
        <f t="shared" si="4"/>
        <v>0</v>
      </c>
      <c r="R53" s="296">
        <f t="shared" si="5"/>
        <v>0</v>
      </c>
    </row>
    <row r="54" spans="2:18" s="1" customFormat="1" ht="16.5" customHeight="1">
      <c r="B54" s="274" t="s">
        <v>93</v>
      </c>
      <c r="C54" s="141">
        <v>175000</v>
      </c>
      <c r="D54" s="260"/>
      <c r="E54" s="289" t="s">
        <v>79</v>
      </c>
      <c r="F54" s="290">
        <v>7</v>
      </c>
      <c r="G54" s="291">
        <f t="shared" si="1"/>
        <v>0</v>
      </c>
      <c r="H54" s="292"/>
      <c r="I54" s="291">
        <f t="shared" si="6"/>
        <v>0</v>
      </c>
      <c r="J54" s="293"/>
      <c r="K54" s="291">
        <f t="shared" si="7"/>
        <v>0</v>
      </c>
      <c r="L54" s="292">
        <v>2</v>
      </c>
      <c r="M54" s="406">
        <f t="shared" si="2"/>
        <v>0</v>
      </c>
      <c r="N54" s="294">
        <v>2</v>
      </c>
      <c r="O54" s="291">
        <f t="shared" si="3"/>
        <v>0</v>
      </c>
      <c r="P54" s="295">
        <v>2</v>
      </c>
      <c r="Q54" s="291">
        <f t="shared" si="4"/>
        <v>0</v>
      </c>
      <c r="R54" s="296">
        <f t="shared" si="5"/>
        <v>0</v>
      </c>
    </row>
    <row r="55" spans="2:18" s="1" customFormat="1" ht="16.5" customHeight="1">
      <c r="B55" s="274" t="s">
        <v>92</v>
      </c>
      <c r="C55" s="141">
        <v>175000</v>
      </c>
      <c r="D55" s="260"/>
      <c r="E55" s="289" t="s">
        <v>78</v>
      </c>
      <c r="F55" s="290">
        <v>7</v>
      </c>
      <c r="G55" s="291">
        <f t="shared" si="1"/>
        <v>0</v>
      </c>
      <c r="H55" s="292"/>
      <c r="I55" s="291">
        <f t="shared" si="6"/>
        <v>0</v>
      </c>
      <c r="J55" s="293"/>
      <c r="K55" s="291">
        <f t="shared" si="7"/>
        <v>0</v>
      </c>
      <c r="L55" s="292">
        <v>2</v>
      </c>
      <c r="M55" s="406">
        <f t="shared" si="2"/>
        <v>0</v>
      </c>
      <c r="N55" s="294">
        <v>2</v>
      </c>
      <c r="O55" s="291">
        <f t="shared" si="3"/>
        <v>0</v>
      </c>
      <c r="P55" s="295">
        <v>2</v>
      </c>
      <c r="Q55" s="291">
        <f t="shared" si="4"/>
        <v>0</v>
      </c>
      <c r="R55" s="296">
        <f t="shared" si="5"/>
        <v>0</v>
      </c>
    </row>
    <row r="56" spans="2:18" s="1" customFormat="1" ht="16.5" customHeight="1">
      <c r="B56" s="274" t="s">
        <v>91</v>
      </c>
      <c r="C56" s="141">
        <v>12000</v>
      </c>
      <c r="D56" s="260"/>
      <c r="E56" s="289" t="s">
        <v>77</v>
      </c>
      <c r="F56" s="290">
        <v>7</v>
      </c>
      <c r="G56" s="291">
        <f t="shared" si="1"/>
        <v>0</v>
      </c>
      <c r="H56" s="292"/>
      <c r="I56" s="291">
        <f t="shared" si="6"/>
        <v>0</v>
      </c>
      <c r="J56" s="293"/>
      <c r="K56" s="291">
        <f t="shared" si="7"/>
        <v>0</v>
      </c>
      <c r="L56" s="292">
        <v>2</v>
      </c>
      <c r="M56" s="406">
        <f t="shared" si="2"/>
        <v>0</v>
      </c>
      <c r="N56" s="294">
        <v>2</v>
      </c>
      <c r="O56" s="291">
        <f t="shared" si="3"/>
        <v>0</v>
      </c>
      <c r="P56" s="295">
        <v>2</v>
      </c>
      <c r="Q56" s="291">
        <f t="shared" si="4"/>
        <v>0</v>
      </c>
      <c r="R56" s="296">
        <f t="shared" si="5"/>
        <v>0</v>
      </c>
    </row>
    <row r="57" spans="2:18" s="1" customFormat="1" ht="16.5" customHeight="1">
      <c r="B57" s="274" t="s">
        <v>90</v>
      </c>
      <c r="C57" s="141">
        <v>25000</v>
      </c>
      <c r="D57" s="260"/>
      <c r="E57" s="289" t="s">
        <v>76</v>
      </c>
      <c r="F57" s="290">
        <v>7</v>
      </c>
      <c r="G57" s="291">
        <f t="shared" si="1"/>
        <v>0</v>
      </c>
      <c r="H57" s="292"/>
      <c r="I57" s="291">
        <f t="shared" si="6"/>
        <v>0</v>
      </c>
      <c r="J57" s="293"/>
      <c r="K57" s="291">
        <f t="shared" si="7"/>
        <v>0</v>
      </c>
      <c r="L57" s="292">
        <v>2</v>
      </c>
      <c r="M57" s="406">
        <f t="shared" si="2"/>
        <v>0</v>
      </c>
      <c r="N57" s="294">
        <v>2</v>
      </c>
      <c r="O57" s="291">
        <f t="shared" si="3"/>
        <v>0</v>
      </c>
      <c r="P57" s="295">
        <v>2</v>
      </c>
      <c r="Q57" s="291">
        <f t="shared" si="4"/>
        <v>0</v>
      </c>
      <c r="R57" s="296">
        <f t="shared" si="5"/>
        <v>0</v>
      </c>
    </row>
    <row r="58" spans="2:18" s="1" customFormat="1" ht="16.5" customHeight="1">
      <c r="B58" s="297" t="s">
        <v>89</v>
      </c>
      <c r="C58" s="298">
        <v>92</v>
      </c>
      <c r="D58" s="260"/>
      <c r="E58" s="289" t="s">
        <v>75</v>
      </c>
      <c r="F58" s="290">
        <v>7</v>
      </c>
      <c r="G58" s="291">
        <f t="shared" si="1"/>
        <v>0</v>
      </c>
      <c r="H58" s="292"/>
      <c r="I58" s="291">
        <f t="shared" si="6"/>
        <v>0</v>
      </c>
      <c r="J58" s="293"/>
      <c r="K58" s="291">
        <f t="shared" si="7"/>
        <v>0</v>
      </c>
      <c r="L58" s="292">
        <v>2</v>
      </c>
      <c r="M58" s="406">
        <f t="shared" si="2"/>
        <v>0</v>
      </c>
      <c r="N58" s="294">
        <v>2</v>
      </c>
      <c r="O58" s="291">
        <f t="shared" si="3"/>
        <v>0</v>
      </c>
      <c r="P58" s="295">
        <v>2</v>
      </c>
      <c r="Q58" s="291">
        <f t="shared" si="4"/>
        <v>0</v>
      </c>
      <c r="R58" s="296">
        <f t="shared" si="5"/>
        <v>0</v>
      </c>
    </row>
    <row r="59" spans="2:18" s="1" customFormat="1" ht="16.5" customHeight="1">
      <c r="B59" s="299" t="s">
        <v>88</v>
      </c>
      <c r="C59" s="300"/>
      <c r="D59" s="260"/>
      <c r="E59" s="289" t="s">
        <v>74</v>
      </c>
      <c r="F59" s="290">
        <v>7</v>
      </c>
      <c r="G59" s="291">
        <f t="shared" si="1"/>
        <v>0</v>
      </c>
      <c r="H59" s="292"/>
      <c r="I59" s="291">
        <f t="shared" si="6"/>
        <v>0</v>
      </c>
      <c r="J59" s="293"/>
      <c r="K59" s="291">
        <f t="shared" si="7"/>
        <v>0</v>
      </c>
      <c r="L59" s="292">
        <v>2</v>
      </c>
      <c r="M59" s="406">
        <f t="shared" si="2"/>
        <v>0</v>
      </c>
      <c r="N59" s="294">
        <v>2</v>
      </c>
      <c r="O59" s="291">
        <f t="shared" si="3"/>
        <v>0</v>
      </c>
      <c r="P59" s="295">
        <v>2</v>
      </c>
      <c r="Q59" s="291">
        <f t="shared" si="4"/>
        <v>0</v>
      </c>
      <c r="R59" s="296">
        <f t="shared" si="5"/>
        <v>0</v>
      </c>
    </row>
    <row r="60" spans="2:18" s="1" customFormat="1" ht="16.5" customHeight="1">
      <c r="B60" s="513" t="s">
        <v>87</v>
      </c>
      <c r="C60" s="514">
        <v>1</v>
      </c>
      <c r="D60" s="260"/>
      <c r="E60" s="303"/>
      <c r="F60" s="304"/>
      <c r="G60" s="305"/>
      <c r="H60" s="306"/>
      <c r="I60" s="307"/>
      <c r="J60" s="308"/>
      <c r="K60" s="307"/>
      <c r="L60" s="306"/>
      <c r="M60" s="409"/>
      <c r="N60" s="304"/>
      <c r="O60" s="305"/>
      <c r="P60" s="306"/>
      <c r="Q60" s="307"/>
      <c r="R60" s="309"/>
    </row>
    <row r="61" spans="2:18" s="1" customFormat="1" ht="16.5" customHeight="1" thickBot="1">
      <c r="B61" s="513" t="s">
        <v>86</v>
      </c>
      <c r="C61" s="513">
        <f t="shared" ref="C61:C71" si="8">SUM(C60+(C60*$B$5))</f>
        <v>1</v>
      </c>
      <c r="D61" s="260"/>
      <c r="E61" s="310" t="s">
        <v>85</v>
      </c>
      <c r="F61" s="311"/>
      <c r="G61" s="312">
        <f>SUM(G48:G59)</f>
        <v>0</v>
      </c>
      <c r="H61" s="313"/>
      <c r="I61" s="312">
        <f>SUM(I48:I59)</f>
        <v>6866.67</v>
      </c>
      <c r="J61" s="314"/>
      <c r="K61" s="312">
        <f>SUM(K48:K59)</f>
        <v>5460</v>
      </c>
      <c r="L61" s="313"/>
      <c r="M61" s="410">
        <f>SUM(M48:M59)</f>
        <v>0</v>
      </c>
      <c r="N61" s="315"/>
      <c r="O61" s="312">
        <f>SUM(O48:O59)</f>
        <v>0</v>
      </c>
      <c r="P61" s="313"/>
      <c r="Q61" s="312">
        <f>SUM(Q48:Q59)</f>
        <v>0</v>
      </c>
      <c r="R61" s="316">
        <f>SUM(R48:R59)</f>
        <v>12326.67</v>
      </c>
    </row>
    <row r="62" spans="2:18" s="1" customFormat="1" ht="16.5" customHeight="1" thickTop="1" thickBot="1">
      <c r="B62" s="513" t="s">
        <v>84</v>
      </c>
      <c r="C62" s="513">
        <f t="shared" si="8"/>
        <v>1</v>
      </c>
      <c r="D62" s="269"/>
      <c r="E62" s="317"/>
      <c r="F62" s="318"/>
      <c r="G62" s="319"/>
      <c r="H62" s="320"/>
      <c r="I62" s="319"/>
      <c r="J62" s="321"/>
      <c r="K62" s="319"/>
      <c r="L62" s="320"/>
      <c r="M62" s="411"/>
      <c r="N62" s="318"/>
      <c r="O62" s="322"/>
      <c r="P62" s="320"/>
      <c r="Q62" s="319"/>
      <c r="R62" s="323"/>
    </row>
    <row r="63" spans="2:18" s="1" customFormat="1" ht="16.5" customHeight="1">
      <c r="B63" s="513" t="s">
        <v>83</v>
      </c>
      <c r="C63" s="515">
        <f t="shared" si="8"/>
        <v>1</v>
      </c>
      <c r="D63" s="269"/>
      <c r="E63" s="269"/>
      <c r="F63" s="325"/>
      <c r="G63" s="269"/>
      <c r="H63" s="326"/>
      <c r="I63" s="269"/>
      <c r="J63" s="327"/>
      <c r="K63" s="269"/>
      <c r="L63" s="326"/>
      <c r="M63" s="412"/>
      <c r="N63" s="325"/>
      <c r="O63" s="269"/>
      <c r="P63" s="326"/>
      <c r="Q63" s="269"/>
      <c r="R63" s="269"/>
    </row>
    <row r="64" spans="2:18" s="1" customFormat="1" ht="16.5" customHeight="1">
      <c r="B64" s="513" t="s">
        <v>82</v>
      </c>
      <c r="C64" s="515">
        <f t="shared" si="8"/>
        <v>1</v>
      </c>
      <c r="D64" s="269"/>
      <c r="E64" s="269" t="s">
        <v>81</v>
      </c>
      <c r="F64" s="325"/>
      <c r="G64" s="269"/>
      <c r="H64" s="326"/>
      <c r="I64" s="269"/>
      <c r="J64" s="327"/>
      <c r="K64" s="269"/>
      <c r="L64" s="326"/>
      <c r="M64" s="412"/>
      <c r="N64" s="325"/>
      <c r="O64" s="269"/>
      <c r="P64" s="326"/>
      <c r="Q64" s="269"/>
      <c r="R64" s="269"/>
    </row>
    <row r="65" spans="2:18" s="1" customFormat="1" ht="16.5" customHeight="1">
      <c r="B65" s="513" t="s">
        <v>80</v>
      </c>
      <c r="C65" s="515">
        <f t="shared" si="8"/>
        <v>1</v>
      </c>
      <c r="D65" s="269"/>
      <c r="E65" s="269"/>
      <c r="F65" s="325"/>
      <c r="G65" s="269"/>
      <c r="H65" s="326"/>
      <c r="I65" s="269"/>
      <c r="J65" s="327"/>
      <c r="K65" s="269"/>
      <c r="L65" s="326"/>
      <c r="M65" s="412"/>
      <c r="N65" s="325"/>
      <c r="O65" s="269"/>
      <c r="P65" s="326"/>
      <c r="Q65" s="269"/>
      <c r="R65" s="269"/>
    </row>
    <row r="66" spans="2:18" s="1" customFormat="1" ht="16.5" customHeight="1">
      <c r="B66" s="513" t="s">
        <v>79</v>
      </c>
      <c r="C66" s="515">
        <f t="shared" si="8"/>
        <v>1</v>
      </c>
      <c r="D66" s="269"/>
      <c r="E66" s="413" t="s">
        <v>291</v>
      </c>
      <c r="F66" s="414"/>
      <c r="G66" s="415"/>
      <c r="H66" s="416"/>
      <c r="I66" s="413"/>
      <c r="J66" s="417"/>
      <c r="K66" s="413"/>
      <c r="L66" s="417"/>
      <c r="M66" s="413"/>
      <c r="N66" s="417"/>
      <c r="O66" s="413"/>
      <c r="P66" s="326"/>
      <c r="Q66" s="269"/>
      <c r="R66" s="269"/>
    </row>
    <row r="67" spans="2:18" s="1" customFormat="1" ht="16.5" customHeight="1">
      <c r="B67" s="513" t="s">
        <v>78</v>
      </c>
      <c r="C67" s="515">
        <f t="shared" si="8"/>
        <v>1</v>
      </c>
      <c r="D67" s="269"/>
      <c r="E67" s="418" t="s">
        <v>292</v>
      </c>
      <c r="F67" s="419"/>
      <c r="G67" s="418"/>
      <c r="H67" s="420"/>
      <c r="I67" s="269"/>
      <c r="J67" s="326"/>
      <c r="K67" s="269"/>
      <c r="L67" s="326"/>
      <c r="M67" s="269"/>
      <c r="N67" s="326"/>
      <c r="O67" s="269"/>
      <c r="P67" s="326"/>
      <c r="Q67" s="269"/>
      <c r="R67" s="269"/>
    </row>
    <row r="68" spans="2:18" s="1" customFormat="1" ht="16.5" customHeight="1">
      <c r="B68" s="513" t="s">
        <v>77</v>
      </c>
      <c r="C68" s="515">
        <f t="shared" si="8"/>
        <v>1</v>
      </c>
      <c r="D68" s="269"/>
      <c r="E68" s="269"/>
      <c r="F68" s="325"/>
      <c r="G68" s="269"/>
      <c r="H68" s="326"/>
      <c r="I68" s="269"/>
      <c r="J68" s="327"/>
      <c r="K68" s="269"/>
      <c r="L68" s="326"/>
      <c r="M68" s="412"/>
      <c r="N68" s="325"/>
      <c r="O68" s="269"/>
      <c r="P68" s="326"/>
      <c r="Q68" s="269"/>
      <c r="R68" s="269"/>
    </row>
    <row r="69" spans="2:18" s="1" customFormat="1" ht="16.5" customHeight="1">
      <c r="B69" s="513" t="s">
        <v>76</v>
      </c>
      <c r="C69" s="515">
        <f t="shared" si="8"/>
        <v>1</v>
      </c>
      <c r="D69" s="269"/>
      <c r="E69" s="269"/>
      <c r="F69" s="325"/>
      <c r="G69" s="269"/>
      <c r="H69" s="326"/>
      <c r="I69" s="269"/>
      <c r="J69" s="327"/>
      <c r="K69" s="269"/>
      <c r="L69" s="326"/>
      <c r="M69" s="412"/>
      <c r="N69" s="325"/>
      <c r="O69" s="269"/>
      <c r="P69" s="326"/>
      <c r="Q69" s="269"/>
      <c r="R69" s="269"/>
    </row>
    <row r="70" spans="2:18" s="1" customFormat="1" ht="16.5" customHeight="1">
      <c r="B70" s="513" t="s">
        <v>75</v>
      </c>
      <c r="C70" s="515">
        <f t="shared" si="8"/>
        <v>1</v>
      </c>
      <c r="D70" s="269"/>
      <c r="E70" s="269"/>
      <c r="F70" s="325"/>
      <c r="G70" s="269"/>
      <c r="H70" s="326"/>
      <c r="I70" s="269"/>
      <c r="J70" s="327"/>
      <c r="K70" s="269"/>
      <c r="L70" s="326"/>
      <c r="M70" s="412"/>
      <c r="N70" s="325"/>
      <c r="O70" s="269"/>
      <c r="P70" s="326"/>
      <c r="Q70" s="269"/>
      <c r="R70" s="269"/>
    </row>
    <row r="71" spans="2:18" s="1" customFormat="1" ht="16.5" customHeight="1">
      <c r="B71" s="513" t="s">
        <v>74</v>
      </c>
      <c r="C71" s="515">
        <f t="shared" si="8"/>
        <v>1</v>
      </c>
      <c r="D71" s="269"/>
      <c r="E71" s="269"/>
      <c r="F71" s="325"/>
      <c r="G71" s="269"/>
      <c r="H71" s="326"/>
      <c r="I71" s="269"/>
      <c r="J71" s="327"/>
      <c r="K71" s="269"/>
      <c r="L71" s="326"/>
      <c r="M71" s="412"/>
      <c r="N71" s="325"/>
      <c r="O71" s="269"/>
      <c r="P71" s="326"/>
      <c r="Q71" s="269"/>
      <c r="R71" s="269"/>
    </row>
    <row r="73" spans="2:18" s="1" customFormat="1" ht="16.5" customHeight="1">
      <c r="B73" s="268"/>
      <c r="C73" s="268"/>
      <c r="D73" s="269"/>
      <c r="E73" s="270" t="s">
        <v>118</v>
      </c>
      <c r="F73" s="270"/>
      <c r="G73" s="270"/>
      <c r="H73" s="270"/>
      <c r="I73" s="270"/>
      <c r="J73" s="270"/>
      <c r="K73" s="270"/>
      <c r="L73" s="270"/>
      <c r="M73" s="270"/>
      <c r="N73" s="270"/>
      <c r="O73" s="270"/>
      <c r="P73" s="270"/>
      <c r="Q73" s="270"/>
      <c r="R73" s="270"/>
    </row>
    <row r="74" spans="2:18" s="1" customFormat="1" ht="16.5" customHeight="1">
      <c r="B74" s="271" t="s">
        <v>1378</v>
      </c>
      <c r="C74" s="272" t="s">
        <v>1379</v>
      </c>
      <c r="D74" s="269"/>
      <c r="E74" s="273" t="s">
        <v>1805</v>
      </c>
      <c r="F74" s="273"/>
      <c r="G74" s="273"/>
      <c r="H74" s="273"/>
      <c r="I74" s="273"/>
      <c r="J74" s="273"/>
      <c r="K74" s="273"/>
      <c r="L74" s="273"/>
      <c r="M74" s="273"/>
      <c r="N74" s="273"/>
      <c r="O74" s="273"/>
      <c r="P74" s="273"/>
      <c r="Q74" s="273"/>
      <c r="R74" s="273"/>
    </row>
    <row r="75" spans="2:18" s="1" customFormat="1" ht="16.5" customHeight="1">
      <c r="B75" s="274" t="s">
        <v>115</v>
      </c>
      <c r="C75" s="275" t="s">
        <v>289</v>
      </c>
      <c r="D75" s="269"/>
      <c r="E75" s="270" t="s">
        <v>119</v>
      </c>
      <c r="F75" s="270"/>
      <c r="G75" s="270"/>
      <c r="H75" s="270"/>
      <c r="I75" s="270"/>
      <c r="J75" s="270"/>
      <c r="K75" s="270"/>
      <c r="L75" s="270"/>
      <c r="M75" s="270"/>
      <c r="N75" s="270"/>
      <c r="O75" s="270"/>
      <c r="P75" s="270"/>
      <c r="Q75" s="270"/>
      <c r="R75" s="270"/>
    </row>
    <row r="76" spans="2:18" s="1" customFormat="1" ht="16.5" customHeight="1" thickBot="1">
      <c r="B76" s="274" t="s">
        <v>112</v>
      </c>
      <c r="C76" s="276">
        <v>133494</v>
      </c>
      <c r="D76" s="268"/>
      <c r="E76" s="330" t="s">
        <v>1380</v>
      </c>
      <c r="F76" s="330"/>
      <c r="G76" s="330"/>
      <c r="H76" s="330"/>
      <c r="I76" s="330"/>
      <c r="J76" s="330"/>
      <c r="K76" s="330"/>
      <c r="L76" s="330"/>
      <c r="M76" s="330"/>
      <c r="N76" s="330"/>
      <c r="O76" s="330"/>
      <c r="P76" s="330"/>
      <c r="Q76" s="330"/>
      <c r="R76" s="330"/>
    </row>
    <row r="77" spans="2:18" s="1" customFormat="1" ht="16.5" customHeight="1">
      <c r="B77" s="274" t="s">
        <v>110</v>
      </c>
      <c r="C77" s="277"/>
      <c r="D77" s="260"/>
      <c r="E77" s="278" t="s">
        <v>109</v>
      </c>
      <c r="F77" s="279" t="s">
        <v>108</v>
      </c>
      <c r="G77" s="280"/>
      <c r="H77" s="279" t="s">
        <v>107</v>
      </c>
      <c r="I77" s="280"/>
      <c r="J77" s="279" t="s">
        <v>106</v>
      </c>
      <c r="K77" s="280"/>
      <c r="L77" s="279" t="s">
        <v>105</v>
      </c>
      <c r="M77" s="280"/>
      <c r="N77" s="279" t="s">
        <v>96</v>
      </c>
      <c r="O77" s="280"/>
      <c r="P77" s="279" t="s">
        <v>104</v>
      </c>
      <c r="Q77" s="280"/>
      <c r="R77" s="281" t="s">
        <v>103</v>
      </c>
    </row>
    <row r="78" spans="2:18" s="1" customFormat="1" ht="16.5" customHeight="1">
      <c r="B78" s="274" t="s">
        <v>102</v>
      </c>
      <c r="C78" s="549">
        <v>160</v>
      </c>
      <c r="D78" s="260"/>
      <c r="E78" s="289"/>
      <c r="F78" s="285" t="s">
        <v>101</v>
      </c>
      <c r="G78" s="331" t="s">
        <v>100</v>
      </c>
      <c r="H78" s="285" t="s">
        <v>101</v>
      </c>
      <c r="I78" s="331" t="s">
        <v>100</v>
      </c>
      <c r="J78" s="285" t="s">
        <v>101</v>
      </c>
      <c r="K78" s="331" t="s">
        <v>100</v>
      </c>
      <c r="L78" s="285" t="s">
        <v>101</v>
      </c>
      <c r="M78" s="331" t="s">
        <v>100</v>
      </c>
      <c r="N78" s="285" t="s">
        <v>101</v>
      </c>
      <c r="O78" s="331" t="s">
        <v>100</v>
      </c>
      <c r="P78" s="287" t="s">
        <v>101</v>
      </c>
      <c r="Q78" s="331" t="s">
        <v>100</v>
      </c>
      <c r="R78" s="289"/>
    </row>
    <row r="79" spans="2:18" s="1" customFormat="1" ht="16.5" customHeight="1">
      <c r="B79" s="274" t="s">
        <v>107</v>
      </c>
      <c r="C79" s="288">
        <v>6867</v>
      </c>
      <c r="D79" s="260"/>
      <c r="E79" s="289" t="s">
        <v>87</v>
      </c>
      <c r="F79" s="290">
        <v>2</v>
      </c>
      <c r="G79" s="291" t="e">
        <f>SUM($B$6*F78)</f>
        <v>#VALUE!</v>
      </c>
      <c r="H79" s="292"/>
      <c r="I79" s="291"/>
      <c r="J79" s="293"/>
      <c r="K79" s="291"/>
      <c r="L79" s="292"/>
      <c r="M79" s="406">
        <f t="shared" ref="M79:M90" si="9">IF(L79&gt;0,($B$9*L79),0)</f>
        <v>0</v>
      </c>
      <c r="N79" s="290"/>
      <c r="O79" s="291">
        <f t="shared" ref="O79:O90" si="10">IF(N79&gt;0,($B$10*N79),0)</f>
        <v>0</v>
      </c>
      <c r="P79" s="295"/>
      <c r="Q79" s="291">
        <f t="shared" ref="Q79:Q90" si="11">SUM(P79*$B$17)*C91</f>
        <v>0</v>
      </c>
      <c r="R79" s="550" t="e">
        <f t="shared" ref="R79:R90" si="12">SUM(Q79+O79+M79+K79+I79+G79)</f>
        <v>#VALUE!</v>
      </c>
    </row>
    <row r="80" spans="2:18" s="1" customFormat="1" ht="16.5" customHeight="1">
      <c r="B80" s="274" t="s">
        <v>121</v>
      </c>
      <c r="C80" s="288">
        <v>5460</v>
      </c>
      <c r="D80" s="260"/>
      <c r="E80" s="289" t="s">
        <v>86</v>
      </c>
      <c r="F80" s="290">
        <v>10</v>
      </c>
      <c r="G80" s="291">
        <f t="shared" ref="G80:G90" si="13">SUM($B$6*F80)*C92</f>
        <v>0</v>
      </c>
      <c r="H80" s="292"/>
      <c r="I80" s="291"/>
      <c r="J80" s="293"/>
      <c r="K80" s="291"/>
      <c r="L80" s="469">
        <v>0.5</v>
      </c>
      <c r="M80" s="406">
        <f t="shared" si="9"/>
        <v>0</v>
      </c>
      <c r="N80" s="294">
        <v>2</v>
      </c>
      <c r="O80" s="291">
        <f t="shared" si="10"/>
        <v>0</v>
      </c>
      <c r="P80" s="295">
        <v>1</v>
      </c>
      <c r="Q80" s="291">
        <f t="shared" si="11"/>
        <v>0</v>
      </c>
      <c r="R80" s="296">
        <f t="shared" si="12"/>
        <v>0</v>
      </c>
    </row>
    <row r="81" spans="2:18" s="1" customFormat="1" ht="16.5" customHeight="1">
      <c r="B81" s="407" t="s">
        <v>122</v>
      </c>
      <c r="C81" s="288">
        <v>324</v>
      </c>
      <c r="D81" s="260"/>
      <c r="E81" s="289" t="s">
        <v>84</v>
      </c>
      <c r="F81" s="290">
        <v>7</v>
      </c>
      <c r="G81" s="291">
        <f t="shared" si="13"/>
        <v>0</v>
      </c>
      <c r="H81" s="292"/>
      <c r="I81" s="291"/>
      <c r="J81" s="293"/>
      <c r="K81" s="291"/>
      <c r="L81" s="332">
        <v>0.5</v>
      </c>
      <c r="M81" s="406">
        <f t="shared" si="9"/>
        <v>0</v>
      </c>
      <c r="N81" s="294"/>
      <c r="O81" s="291">
        <f t="shared" si="10"/>
        <v>0</v>
      </c>
      <c r="P81" s="295"/>
      <c r="Q81" s="291">
        <f t="shared" si="11"/>
        <v>0</v>
      </c>
      <c r="R81" s="296">
        <f t="shared" si="12"/>
        <v>0</v>
      </c>
    </row>
    <row r="82" spans="2:18" s="1" customFormat="1" ht="16.5" customHeight="1">
      <c r="B82" s="408" t="s">
        <v>123</v>
      </c>
      <c r="C82" s="288">
        <v>1050</v>
      </c>
      <c r="D82" s="260"/>
      <c r="E82" s="289" t="s">
        <v>83</v>
      </c>
      <c r="F82" s="290"/>
      <c r="G82" s="291">
        <f t="shared" si="13"/>
        <v>0</v>
      </c>
      <c r="H82" s="292"/>
      <c r="I82" s="291"/>
      <c r="J82" s="293"/>
      <c r="K82" s="291"/>
      <c r="L82" s="292"/>
      <c r="M82" s="406">
        <f t="shared" si="9"/>
        <v>0</v>
      </c>
      <c r="N82" s="294"/>
      <c r="O82" s="291">
        <f t="shared" si="10"/>
        <v>0</v>
      </c>
      <c r="P82" s="295"/>
      <c r="Q82" s="291">
        <f t="shared" si="11"/>
        <v>0</v>
      </c>
      <c r="R82" s="296">
        <f t="shared" si="12"/>
        <v>0</v>
      </c>
    </row>
    <row r="83" spans="2:18" s="1" customFormat="1" ht="16.5" customHeight="1">
      <c r="B83" s="274" t="s">
        <v>95</v>
      </c>
      <c r="C83" s="141">
        <v>35000</v>
      </c>
      <c r="D83" s="260"/>
      <c r="E83" s="289" t="s">
        <v>82</v>
      </c>
      <c r="F83" s="290"/>
      <c r="G83" s="291">
        <f t="shared" si="13"/>
        <v>0</v>
      </c>
      <c r="H83" s="292"/>
      <c r="I83" s="291"/>
      <c r="J83" s="293"/>
      <c r="K83" s="291"/>
      <c r="L83" s="292"/>
      <c r="M83" s="406">
        <f t="shared" si="9"/>
        <v>0</v>
      </c>
      <c r="N83" s="294"/>
      <c r="O83" s="291">
        <f t="shared" si="10"/>
        <v>0</v>
      </c>
      <c r="P83" s="295"/>
      <c r="Q83" s="291">
        <f t="shared" si="11"/>
        <v>0</v>
      </c>
      <c r="R83" s="296">
        <f t="shared" si="12"/>
        <v>0</v>
      </c>
    </row>
    <row r="84" spans="2:18" s="1" customFormat="1" ht="16.5" customHeight="1">
      <c r="B84" s="274" t="s">
        <v>94</v>
      </c>
      <c r="C84" s="141">
        <v>5000</v>
      </c>
      <c r="D84" s="260"/>
      <c r="E84" s="289" t="s">
        <v>80</v>
      </c>
      <c r="F84" s="290"/>
      <c r="G84" s="291">
        <f t="shared" si="13"/>
        <v>0</v>
      </c>
      <c r="H84" s="292"/>
      <c r="I84" s="291"/>
      <c r="J84" s="293"/>
      <c r="K84" s="291"/>
      <c r="L84" s="292"/>
      <c r="M84" s="406">
        <f t="shared" si="9"/>
        <v>0</v>
      </c>
      <c r="N84" s="294"/>
      <c r="O84" s="291">
        <f t="shared" si="10"/>
        <v>0</v>
      </c>
      <c r="P84" s="295"/>
      <c r="Q84" s="291">
        <f t="shared" si="11"/>
        <v>0</v>
      </c>
      <c r="R84" s="296">
        <f t="shared" si="12"/>
        <v>0</v>
      </c>
    </row>
    <row r="85" spans="2:18" s="1" customFormat="1" ht="16.5" customHeight="1">
      <c r="B85" s="274" t="s">
        <v>93</v>
      </c>
      <c r="C85" s="141">
        <v>175000</v>
      </c>
      <c r="D85" s="260"/>
      <c r="E85" s="289" t="s">
        <v>79</v>
      </c>
      <c r="F85" s="290"/>
      <c r="G85" s="291">
        <f t="shared" si="13"/>
        <v>0</v>
      </c>
      <c r="H85" s="292"/>
      <c r="I85" s="291"/>
      <c r="J85" s="293"/>
      <c r="K85" s="291"/>
      <c r="L85" s="292"/>
      <c r="M85" s="406">
        <f t="shared" si="9"/>
        <v>0</v>
      </c>
      <c r="N85" s="294"/>
      <c r="O85" s="291">
        <f t="shared" si="10"/>
        <v>0</v>
      </c>
      <c r="P85" s="295"/>
      <c r="Q85" s="291">
        <f t="shared" si="11"/>
        <v>0</v>
      </c>
      <c r="R85" s="296">
        <f t="shared" si="12"/>
        <v>0</v>
      </c>
    </row>
    <row r="86" spans="2:18" s="1" customFormat="1" ht="16.5" customHeight="1">
      <c r="B86" s="274" t="s">
        <v>92</v>
      </c>
      <c r="C86" s="141">
        <v>175000</v>
      </c>
      <c r="D86" s="260"/>
      <c r="E86" s="289" t="s">
        <v>78</v>
      </c>
      <c r="F86" s="290"/>
      <c r="G86" s="291">
        <f t="shared" si="13"/>
        <v>0</v>
      </c>
      <c r="H86" s="292"/>
      <c r="I86" s="291"/>
      <c r="J86" s="293"/>
      <c r="K86" s="291"/>
      <c r="L86" s="292"/>
      <c r="M86" s="406">
        <f t="shared" si="9"/>
        <v>0</v>
      </c>
      <c r="N86" s="294"/>
      <c r="O86" s="291">
        <f t="shared" si="10"/>
        <v>0</v>
      </c>
      <c r="P86" s="295"/>
      <c r="Q86" s="291">
        <f t="shared" si="11"/>
        <v>0</v>
      </c>
      <c r="R86" s="296">
        <f t="shared" si="12"/>
        <v>0</v>
      </c>
    </row>
    <row r="87" spans="2:18" s="1" customFormat="1" ht="16.5" customHeight="1">
      <c r="B87" s="274" t="s">
        <v>91</v>
      </c>
      <c r="C87" s="141">
        <v>12000</v>
      </c>
      <c r="D87" s="260"/>
      <c r="E87" s="289" t="s">
        <v>77</v>
      </c>
      <c r="F87" s="290"/>
      <c r="G87" s="291">
        <f t="shared" si="13"/>
        <v>0</v>
      </c>
      <c r="H87" s="292"/>
      <c r="I87" s="291"/>
      <c r="J87" s="293"/>
      <c r="K87" s="291"/>
      <c r="L87" s="292"/>
      <c r="M87" s="406">
        <f t="shared" si="9"/>
        <v>0</v>
      </c>
      <c r="N87" s="294"/>
      <c r="O87" s="291">
        <f t="shared" si="10"/>
        <v>0</v>
      </c>
      <c r="P87" s="295"/>
      <c r="Q87" s="291">
        <f t="shared" si="11"/>
        <v>0</v>
      </c>
      <c r="R87" s="296">
        <f t="shared" si="12"/>
        <v>0</v>
      </c>
    </row>
    <row r="88" spans="2:18" s="1" customFormat="1" ht="16.5" customHeight="1">
      <c r="B88" s="274" t="s">
        <v>90</v>
      </c>
      <c r="C88" s="141">
        <v>25000</v>
      </c>
      <c r="D88" s="260"/>
      <c r="E88" s="289" t="s">
        <v>76</v>
      </c>
      <c r="F88" s="290"/>
      <c r="G88" s="291">
        <f t="shared" si="13"/>
        <v>0</v>
      </c>
      <c r="H88" s="292"/>
      <c r="I88" s="291"/>
      <c r="J88" s="293"/>
      <c r="K88" s="291"/>
      <c r="L88" s="292"/>
      <c r="M88" s="406">
        <f t="shared" si="9"/>
        <v>0</v>
      </c>
      <c r="N88" s="294"/>
      <c r="O88" s="291">
        <f t="shared" si="10"/>
        <v>0</v>
      </c>
      <c r="P88" s="295"/>
      <c r="Q88" s="291">
        <f t="shared" si="11"/>
        <v>0</v>
      </c>
      <c r="R88" s="296">
        <f t="shared" si="12"/>
        <v>0</v>
      </c>
    </row>
    <row r="89" spans="2:18" s="1" customFormat="1" ht="16.5" customHeight="1">
      <c r="B89" s="297" t="s">
        <v>89</v>
      </c>
      <c r="C89" s="298">
        <v>92</v>
      </c>
      <c r="D89" s="260"/>
      <c r="E89" s="289" t="s">
        <v>75</v>
      </c>
      <c r="F89" s="290"/>
      <c r="G89" s="291">
        <f t="shared" si="13"/>
        <v>0</v>
      </c>
      <c r="H89" s="292"/>
      <c r="I89" s="291"/>
      <c r="J89" s="293"/>
      <c r="K89" s="291"/>
      <c r="L89" s="292"/>
      <c r="M89" s="406">
        <f t="shared" si="9"/>
        <v>0</v>
      </c>
      <c r="N89" s="294"/>
      <c r="O89" s="291">
        <f t="shared" si="10"/>
        <v>0</v>
      </c>
      <c r="P89" s="295"/>
      <c r="Q89" s="291">
        <f t="shared" si="11"/>
        <v>0</v>
      </c>
      <c r="R89" s="296">
        <f t="shared" si="12"/>
        <v>0</v>
      </c>
    </row>
    <row r="90" spans="2:18" s="1" customFormat="1" ht="16.5" customHeight="1">
      <c r="B90" s="299" t="s">
        <v>88</v>
      </c>
      <c r="C90" s="300"/>
      <c r="D90" s="260"/>
      <c r="E90" s="289" t="s">
        <v>74</v>
      </c>
      <c r="F90" s="290"/>
      <c r="G90" s="291">
        <f t="shared" si="13"/>
        <v>0</v>
      </c>
      <c r="H90" s="292"/>
      <c r="I90" s="291"/>
      <c r="J90" s="293"/>
      <c r="K90" s="291"/>
      <c r="L90" s="292"/>
      <c r="M90" s="406">
        <f t="shared" si="9"/>
        <v>0</v>
      </c>
      <c r="N90" s="294"/>
      <c r="O90" s="291">
        <f t="shared" si="10"/>
        <v>0</v>
      </c>
      <c r="P90" s="295"/>
      <c r="Q90" s="291">
        <f t="shared" si="11"/>
        <v>0</v>
      </c>
      <c r="R90" s="296">
        <f t="shared" si="12"/>
        <v>0</v>
      </c>
    </row>
    <row r="91" spans="2:18" s="1" customFormat="1" ht="16.5" customHeight="1">
      <c r="B91" s="421" t="s">
        <v>87</v>
      </c>
      <c r="C91" s="422">
        <v>1</v>
      </c>
      <c r="D91" s="260"/>
      <c r="E91" s="303"/>
      <c r="F91" s="304"/>
      <c r="G91" s="305"/>
      <c r="H91" s="306"/>
      <c r="I91" s="307"/>
      <c r="J91" s="308"/>
      <c r="K91" s="307"/>
      <c r="L91" s="306"/>
      <c r="M91" s="307"/>
      <c r="N91" s="304"/>
      <c r="O91" s="307"/>
      <c r="P91" s="306"/>
      <c r="Q91" s="307"/>
      <c r="R91" s="309"/>
    </row>
    <row r="92" spans="2:18" s="1" customFormat="1" ht="16.5" customHeight="1" thickBot="1">
      <c r="B92" s="421" t="s">
        <v>86</v>
      </c>
      <c r="C92" s="421">
        <f t="shared" ref="C92:C102" si="14">SUM(C91+(C91*$B$5))</f>
        <v>1</v>
      </c>
      <c r="D92" s="260"/>
      <c r="E92" s="310" t="s">
        <v>85</v>
      </c>
      <c r="F92" s="311"/>
      <c r="G92" s="312" t="e">
        <f>SUM(G79:G90)</f>
        <v>#VALUE!</v>
      </c>
      <c r="H92" s="313"/>
      <c r="I92" s="312">
        <f>SUM(I79:I90)</f>
        <v>0</v>
      </c>
      <c r="J92" s="314"/>
      <c r="K92" s="312">
        <f>SUM(K79:K90)</f>
        <v>0</v>
      </c>
      <c r="L92" s="313"/>
      <c r="M92" s="312">
        <f>SUM(M79:M90)</f>
        <v>0</v>
      </c>
      <c r="N92" s="315"/>
      <c r="O92" s="312">
        <f>SUM(O79:O90)</f>
        <v>0</v>
      </c>
      <c r="P92" s="313"/>
      <c r="Q92" s="312">
        <f>SUM(Q79:Q90)</f>
        <v>0</v>
      </c>
      <c r="R92" s="316" t="e">
        <f>SUM(R79:R90)</f>
        <v>#VALUE!</v>
      </c>
    </row>
    <row r="93" spans="2:18" s="1" customFormat="1" ht="16.5" customHeight="1" thickTop="1" thickBot="1">
      <c r="B93" s="421" t="s">
        <v>84</v>
      </c>
      <c r="C93" s="421">
        <f t="shared" si="14"/>
        <v>1</v>
      </c>
      <c r="D93" s="269"/>
      <c r="E93" s="317"/>
      <c r="F93" s="318"/>
      <c r="G93" s="319"/>
      <c r="H93" s="320"/>
      <c r="I93" s="319"/>
      <c r="J93" s="321"/>
      <c r="K93" s="319"/>
      <c r="L93" s="320"/>
      <c r="M93" s="319"/>
      <c r="N93" s="318"/>
      <c r="O93" s="319"/>
      <c r="P93" s="320"/>
      <c r="Q93" s="319"/>
      <c r="R93" s="323"/>
    </row>
    <row r="94" spans="2:18" s="1" customFormat="1" ht="16.5" customHeight="1">
      <c r="B94" s="421" t="s">
        <v>83</v>
      </c>
      <c r="C94" s="423">
        <f t="shared" si="14"/>
        <v>1</v>
      </c>
      <c r="D94" s="269"/>
      <c r="E94" s="269"/>
      <c r="F94" s="335"/>
      <c r="G94" s="269"/>
      <c r="H94" s="326"/>
      <c r="I94" s="269"/>
      <c r="J94" s="326"/>
      <c r="K94" s="269"/>
      <c r="L94" s="326"/>
      <c r="M94" s="269"/>
      <c r="N94" s="326"/>
      <c r="O94" s="269"/>
      <c r="P94" s="326"/>
      <c r="Q94" s="269"/>
      <c r="R94" s="269"/>
    </row>
    <row r="95" spans="2:18" s="1" customFormat="1" ht="16.5" customHeight="1">
      <c r="B95" s="421" t="s">
        <v>82</v>
      </c>
      <c r="C95" s="423">
        <f t="shared" si="14"/>
        <v>1</v>
      </c>
      <c r="D95" s="269"/>
      <c r="E95" s="269" t="s">
        <v>124</v>
      </c>
      <c r="F95" s="335"/>
      <c r="G95" s="269"/>
      <c r="H95" s="326"/>
      <c r="I95" s="269"/>
      <c r="J95" s="326"/>
      <c r="K95" s="269"/>
      <c r="L95" s="326"/>
      <c r="M95" s="269"/>
      <c r="N95" s="326"/>
      <c r="O95" s="269"/>
      <c r="P95" s="326"/>
      <c r="Q95" s="269"/>
      <c r="R95" s="269"/>
    </row>
    <row r="96" spans="2:18" s="1" customFormat="1" ht="16.5" customHeight="1">
      <c r="B96" s="421" t="s">
        <v>80</v>
      </c>
      <c r="C96" s="423">
        <f t="shared" si="14"/>
        <v>1</v>
      </c>
      <c r="D96" s="269"/>
      <c r="E96" s="269"/>
      <c r="F96" s="335"/>
      <c r="G96" s="269"/>
      <c r="H96" s="326"/>
      <c r="I96" s="269"/>
      <c r="J96" s="326"/>
      <c r="K96" s="269"/>
      <c r="L96" s="326"/>
      <c r="M96" s="269"/>
      <c r="N96" s="326"/>
      <c r="O96" s="269"/>
      <c r="P96" s="326"/>
      <c r="Q96" s="269"/>
      <c r="R96" s="269"/>
    </row>
    <row r="97" spans="2:18" s="1" customFormat="1" ht="16.5" customHeight="1">
      <c r="B97" s="421" t="s">
        <v>79</v>
      </c>
      <c r="C97" s="423">
        <f t="shared" si="14"/>
        <v>1</v>
      </c>
      <c r="D97" s="269"/>
      <c r="E97" s="413" t="s">
        <v>291</v>
      </c>
      <c r="F97" s="414"/>
      <c r="G97" s="415"/>
      <c r="H97" s="416"/>
      <c r="I97" s="413"/>
      <c r="J97" s="417"/>
      <c r="K97" s="413"/>
      <c r="L97" s="417"/>
      <c r="M97" s="413"/>
      <c r="N97" s="417"/>
      <c r="O97" s="413"/>
      <c r="P97" s="326"/>
      <c r="Q97" s="269"/>
      <c r="R97" s="269"/>
    </row>
    <row r="98" spans="2:18" s="1" customFormat="1" ht="16.5" customHeight="1">
      <c r="B98" s="421" t="s">
        <v>78</v>
      </c>
      <c r="C98" s="423">
        <f t="shared" si="14"/>
        <v>1</v>
      </c>
      <c r="D98" s="269"/>
      <c r="E98" s="418" t="s">
        <v>292</v>
      </c>
      <c r="F98" s="419"/>
      <c r="G98" s="418"/>
      <c r="H98" s="420"/>
      <c r="I98" s="269"/>
      <c r="J98" s="326"/>
      <c r="K98" s="269"/>
      <c r="L98" s="326"/>
      <c r="M98" s="269"/>
      <c r="N98" s="326"/>
      <c r="O98" s="269"/>
      <c r="P98" s="326"/>
      <c r="Q98" s="269"/>
      <c r="R98" s="269"/>
    </row>
    <row r="99" spans="2:18" s="1" customFormat="1" ht="16.5" customHeight="1">
      <c r="B99" s="421" t="s">
        <v>77</v>
      </c>
      <c r="C99" s="423">
        <f t="shared" si="14"/>
        <v>1</v>
      </c>
      <c r="D99" s="269"/>
      <c r="E99" s="269"/>
      <c r="F99" s="335"/>
      <c r="G99" s="269"/>
      <c r="H99" s="326"/>
      <c r="I99" s="269"/>
      <c r="J99" s="326"/>
      <c r="K99" s="269"/>
      <c r="L99" s="326"/>
      <c r="M99" s="269"/>
      <c r="N99" s="326"/>
      <c r="O99" s="269"/>
      <c r="P99" s="326"/>
      <c r="Q99" s="269"/>
      <c r="R99" s="269"/>
    </row>
    <row r="100" spans="2:18" s="1" customFormat="1" ht="16.5" customHeight="1">
      <c r="B100" s="421" t="s">
        <v>76</v>
      </c>
      <c r="C100" s="423">
        <f t="shared" si="14"/>
        <v>1</v>
      </c>
      <c r="D100" s="269"/>
      <c r="E100" s="492" t="s">
        <v>1381</v>
      </c>
      <c r="F100" s="551"/>
      <c r="G100" s="552"/>
      <c r="H100" s="495"/>
      <c r="I100" s="269"/>
      <c r="J100" s="326"/>
      <c r="K100" s="269"/>
      <c r="L100" s="326"/>
      <c r="M100" s="269"/>
      <c r="N100" s="326"/>
      <c r="O100" s="269"/>
      <c r="P100" s="326"/>
      <c r="Q100" s="269"/>
      <c r="R100" s="269"/>
    </row>
    <row r="101" spans="2:18" s="1" customFormat="1" ht="16.5" customHeight="1">
      <c r="B101" s="421" t="s">
        <v>75</v>
      </c>
      <c r="C101" s="423">
        <f t="shared" si="14"/>
        <v>1</v>
      </c>
      <c r="D101" s="269"/>
      <c r="E101" s="492"/>
      <c r="F101" s="493" t="s">
        <v>1382</v>
      </c>
      <c r="G101" s="492"/>
      <c r="H101" s="494"/>
      <c r="I101" s="269"/>
      <c r="J101" s="326"/>
      <c r="K101" s="269"/>
      <c r="L101" s="326"/>
      <c r="M101" s="269"/>
      <c r="N101" s="326"/>
      <c r="O101" s="269"/>
      <c r="P101" s="326"/>
      <c r="Q101" s="269"/>
      <c r="R101" s="269"/>
    </row>
    <row r="102" spans="2:18" s="1" customFormat="1" ht="16.5" customHeight="1">
      <c r="B102" s="421" t="s">
        <v>74</v>
      </c>
      <c r="C102" s="423">
        <f t="shared" si="14"/>
        <v>1</v>
      </c>
      <c r="D102" s="269"/>
      <c r="E102" s="552"/>
      <c r="F102" s="551"/>
      <c r="G102" s="552"/>
      <c r="H102" s="495"/>
      <c r="I102" s="269"/>
      <c r="J102" s="326"/>
      <c r="K102" s="269"/>
      <c r="L102" s="326"/>
      <c r="M102" s="269"/>
      <c r="N102" s="326"/>
      <c r="O102" s="269"/>
      <c r="P102" s="326"/>
      <c r="Q102" s="269"/>
      <c r="R102" s="269"/>
    </row>
  </sheetData>
  <mergeCells count="20">
    <mergeCell ref="E42:R42"/>
    <mergeCell ref="E43:R43"/>
    <mergeCell ref="E44:R44"/>
    <mergeCell ref="E45:R45"/>
    <mergeCell ref="F46:G46"/>
    <mergeCell ref="H46:I46"/>
    <mergeCell ref="J46:K46"/>
    <mergeCell ref="L46:M46"/>
    <mergeCell ref="N46:O46"/>
    <mergeCell ref="P46:Q46"/>
    <mergeCell ref="E73:R73"/>
    <mergeCell ref="E74:R74"/>
    <mergeCell ref="E75:R75"/>
    <mergeCell ref="E76:R76"/>
    <mergeCell ref="F77:G77"/>
    <mergeCell ref="H77:I77"/>
    <mergeCell ref="J77:K77"/>
    <mergeCell ref="L77:M77"/>
    <mergeCell ref="N77:O77"/>
    <mergeCell ref="P77:Q77"/>
  </mergeCells>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markers="1" last="1">
          <x14:colorSeries rgb="FF323232"/>
          <x14:colorNegative rgb="FFD00000"/>
          <x14:colorAxis rgb="FF000000"/>
          <x14:colorMarkers rgb="FFD00000"/>
          <x14:colorFirst rgb="FFD00000"/>
          <x14:colorLast rgb="FFD00000"/>
          <x14:colorHigh rgb="FFD00000"/>
          <x14:colorLow rgb="FFD00000"/>
          <x14:sparklines>
            <x14:sparkline>
              <xm:f>'Bus 401 summary'!C19:N19</xm:f>
              <xm:sqref>P19</xm:sqref>
            </x14:sparkline>
            <x14:sparkline>
              <xm:f>'Bus 401 summary'!C20:N20</xm:f>
              <xm:sqref>P20</xm:sqref>
            </x14:sparkline>
            <x14:sparkline>
              <xm:f>'Bus 401 summary'!C21:N21</xm:f>
              <xm:sqref>P21</xm:sqref>
            </x14:sparkline>
            <x14:sparkline>
              <xm:f>'Bus 401 summary'!C22:N22</xm:f>
              <xm:sqref>P22</xm:sqref>
            </x14:sparkline>
            <x14:sparkline>
              <xm:f>'Bus 401 summary'!C23:N23</xm:f>
              <xm:sqref>P23</xm:sqref>
            </x14:sparkline>
            <x14:sparkline>
              <xm:f>'Bus 401 summary'!C24:N24</xm:f>
              <xm:sqref>P24</xm:sqref>
            </x14:sparkline>
            <x14:sparkline>
              <xm:f>'Bus 401 summary'!C25:N25</xm:f>
              <xm:sqref>P25</xm:sqref>
            </x14:sparkline>
            <x14:sparkline>
              <xm:f>'Bus 401 summary'!C26:N26</xm:f>
              <xm:sqref>P26</xm:sqref>
            </x14:sparkline>
            <x14:sparkline>
              <xm:f>'Bus 401 summary'!C27:N27</xm:f>
              <xm:sqref>P27</xm:sqref>
            </x14:sparkline>
            <x14:sparkline>
              <xm:f>'Bus 401 summary'!C28:N28</xm:f>
              <xm:sqref>P28</xm:sqref>
            </x14:sparkline>
            <x14:sparkline>
              <xm:f>'Bus 401 summary'!C29:N29</xm:f>
              <xm:sqref>P29</xm:sqref>
            </x14:sparkline>
            <x14:sparkline>
              <xm:f>'Bus 401 summary'!C30:N30</xm:f>
              <xm:sqref>P30</xm:sqref>
            </x14:sparkline>
            <x14:sparkline>
              <xm:f>'Bus 401 summary'!C31:N31</xm:f>
              <xm:sqref>P31</xm:sqref>
            </x14:sparkline>
            <x14:sparkline>
              <xm:f>'Bus 401 summary'!C32:N32</xm:f>
              <xm:sqref>P32</xm:sqref>
            </x14:sparkline>
            <x14:sparkline>
              <xm:f>'Bus 401 summary'!C33:N33</xm:f>
              <xm:sqref>P33</xm:sqref>
            </x14:sparkline>
            <x14:sparkline>
              <xm:f>'Bus 401 summary'!C34:N34</xm:f>
              <xm:sqref>P34</xm:sqref>
            </x14:sparkline>
            <x14:sparkline>
              <xm:f>'Bus 401 summary'!C35:N35</xm:f>
              <xm:sqref>P35</xm:sqref>
            </x14:sparkline>
            <x14:sparkline>
              <xm:f>'Bus 401 summary'!C36:N36</xm:f>
              <xm:sqref>P36</xm:sqref>
            </x14:sparkline>
            <x14:sparkline>
              <xm:f>'Bus 401 summary'!C37:N37</xm:f>
              <xm:sqref>P37</xm:sqref>
            </x14:sparkline>
            <x14:sparkline>
              <xm:f>'Bus 401 summary'!C38:N38</xm:f>
              <xm:sqref>P38</xm:sqref>
            </x14:sparkline>
            <x14:sparkline>
              <xm:f>'Bus 401 summary'!C39:N39</xm:f>
              <xm:sqref>P39</xm:sqref>
            </x14:sparkline>
          </x14:sparklines>
        </x14:sparklineGroup>
        <x14:sparklineGroup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401 summary'!C40:N40</xm:f>
              <xm:sqref>P40</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Q21" sqref="Q21"/>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'[2]Projected Maint Practices'!Q7</f>
        <v>4913</v>
      </c>
      <c r="D6" s="264">
        <f>'[2]True Maint Practices'!Q7</f>
        <v>3761</v>
      </c>
    </row>
    <row r="7" spans="1:6" ht="15">
      <c r="B7" s="263">
        <v>2</v>
      </c>
      <c r="C7" s="264">
        <f>'[2]Projected Maint Practices'!Q8</f>
        <v>4913</v>
      </c>
      <c r="D7" s="264">
        <f>'[2]True Maint Practices'!Q8</f>
        <v>4538</v>
      </c>
    </row>
    <row r="8" spans="1:6" ht="15">
      <c r="B8" s="263">
        <v>3</v>
      </c>
      <c r="C8" s="264">
        <f>'[2]Projected Maint Practices'!Q9</f>
        <v>4913</v>
      </c>
      <c r="D8" s="264">
        <f>'[2]True Maint Practices'!Q9</f>
        <v>6872</v>
      </c>
    </row>
    <row r="9" spans="1:6" ht="15">
      <c r="B9" s="263">
        <v>4</v>
      </c>
      <c r="C9" s="264">
        <f>'[2]Projected Maint Practices'!Q10</f>
        <v>4913</v>
      </c>
      <c r="D9" s="264">
        <f>'[2]True Maint Practices'!Q10</f>
        <v>728</v>
      </c>
    </row>
    <row r="10" spans="1:6" ht="15">
      <c r="B10" s="263">
        <v>5</v>
      </c>
      <c r="C10" s="264">
        <f>'[2]Projected Maint Practices'!Q11</f>
        <v>17239.669999999998</v>
      </c>
      <c r="D10" s="264">
        <f>'[2]True Maint Practices'!Q11</f>
        <v>0</v>
      </c>
    </row>
    <row r="11" spans="1:6" ht="15">
      <c r="B11" s="263">
        <v>6</v>
      </c>
      <c r="C11" s="264">
        <f>'[2]Projected Maint Practices'!Q12</f>
        <v>4913</v>
      </c>
      <c r="D11" s="264">
        <f>'[2]True Maint Practices'!Q12</f>
        <v>0</v>
      </c>
    </row>
    <row r="12" spans="1:6" ht="15">
      <c r="B12" s="263">
        <v>7</v>
      </c>
      <c r="C12" s="264">
        <f>'[2]Projected Maint Practices'!Q13</f>
        <v>4913</v>
      </c>
      <c r="D12" s="264">
        <f>'[2]True Maint Practices'!Q13</f>
        <v>0</v>
      </c>
    </row>
    <row r="13" spans="1:6" ht="15">
      <c r="B13" s="263">
        <v>8</v>
      </c>
      <c r="C13" s="264">
        <f>'[2]Projected Maint Practices'!Q14</f>
        <v>0</v>
      </c>
      <c r="D13" s="264">
        <f>'[2]True Maint Practices'!Q14</f>
        <v>0</v>
      </c>
    </row>
    <row r="14" spans="1:6" ht="15">
      <c r="B14" s="263">
        <v>9</v>
      </c>
      <c r="C14" s="264">
        <f>'[2]Projected Maint Practices'!Q15</f>
        <v>0</v>
      </c>
      <c r="D14" s="264">
        <f>'[2]True Maint Practices'!Q15</f>
        <v>0</v>
      </c>
    </row>
    <row r="15" spans="1:6" ht="15">
      <c r="B15" s="263">
        <v>10</v>
      </c>
      <c r="C15" s="264">
        <f>'[2]Projected Maint Practices'!Q16</f>
        <v>0</v>
      </c>
      <c r="D15" s="264">
        <f>'[2]True Maint Practices'!Q16</f>
        <v>0</v>
      </c>
    </row>
    <row r="16" spans="1:6" ht="15">
      <c r="B16" s="263">
        <v>11</v>
      </c>
      <c r="C16" s="264">
        <f>'[2]Projected Maint Practices'!Q17</f>
        <v>0</v>
      </c>
      <c r="D16" s="264">
        <f>'[2]True Maint Practices'!Q17</f>
        <v>0</v>
      </c>
    </row>
    <row r="17" spans="2:4" ht="15">
      <c r="B17" s="263">
        <v>12</v>
      </c>
      <c r="C17" s="264">
        <f>'[2]Projected Maint Practices'!Q18</f>
        <v>0</v>
      </c>
      <c r="D17" s="264">
        <f>'[2]True Maint Practices'!Q18</f>
        <v>0</v>
      </c>
    </row>
    <row r="18" spans="2:4" ht="15">
      <c r="B18" s="260" t="s">
        <v>1</v>
      </c>
      <c r="C18" s="264">
        <f>SUM(C6:C17)</f>
        <v>46717.67</v>
      </c>
      <c r="D18" s="264">
        <f>SUM(D6:D17)</f>
        <v>15899</v>
      </c>
    </row>
  </sheetData>
  <printOptions horizontalCentered="1" verticalCentered="1"/>
  <pageMargins left="0.5" right="0.5" top="0.75" bottom="0.75" header="0.5" footer="0.5"/>
  <pageSetup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199"/>
  <sheetViews>
    <sheetView showGridLines="0" topLeftCell="A59" zoomScale="115" zoomScaleNormal="115" workbookViewId="0">
      <selection activeCell="I67" sqref="A1:XFD1048576"/>
    </sheetView>
  </sheetViews>
  <sheetFormatPr defaultColWidth="9.140625" defaultRowHeight="16.5" customHeight="1"/>
  <cols>
    <col min="1" max="1" width="3.140625" style="1" customWidth="1"/>
    <col min="2" max="4" width="12.28515625" style="1" customWidth="1"/>
    <col min="5" max="5" width="15.7109375" style="1" customWidth="1"/>
    <col min="6" max="6" width="40.28515625"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660</v>
      </c>
      <c r="G4" s="185" t="s">
        <v>45</v>
      </c>
    </row>
    <row r="5" spans="2:8" s="1" customFormat="1" ht="16.5" customHeight="1">
      <c r="B5" s="189">
        <v>42917</v>
      </c>
      <c r="C5" s="190">
        <v>10611</v>
      </c>
      <c r="D5" s="52">
        <v>245</v>
      </c>
      <c r="E5" s="190" t="s">
        <v>3</v>
      </c>
      <c r="F5" s="190" t="s">
        <v>1362</v>
      </c>
      <c r="G5" s="191" t="s">
        <v>1361</v>
      </c>
    </row>
    <row r="6" spans="2:8" s="1" customFormat="1" ht="16.5" customHeight="1">
      <c r="B6" s="189">
        <v>42917</v>
      </c>
      <c r="C6" s="190">
        <v>10611</v>
      </c>
      <c r="D6" s="52">
        <v>40</v>
      </c>
      <c r="E6" s="190" t="s">
        <v>2</v>
      </c>
      <c r="F6" s="190" t="s">
        <v>1360</v>
      </c>
      <c r="G6" s="191"/>
    </row>
    <row r="7" spans="2:8" s="1" customFormat="1" ht="16.5" customHeight="1">
      <c r="B7" s="496">
        <v>42924</v>
      </c>
      <c r="C7" s="497">
        <v>10625</v>
      </c>
      <c r="D7" s="41"/>
      <c r="E7" s="497" t="s">
        <v>3</v>
      </c>
      <c r="F7" s="497" t="s">
        <v>1359</v>
      </c>
      <c r="G7" s="497" t="s">
        <v>1806</v>
      </c>
    </row>
    <row r="8" spans="2:8" s="1" customFormat="1" ht="16.5" customHeight="1">
      <c r="B8" s="553">
        <v>42924</v>
      </c>
      <c r="C8" s="497">
        <v>10625</v>
      </c>
      <c r="D8" s="41">
        <v>10.99</v>
      </c>
      <c r="E8" s="497" t="s">
        <v>171</v>
      </c>
      <c r="F8" s="497" t="s">
        <v>1358</v>
      </c>
      <c r="G8" s="497" t="s">
        <v>1357</v>
      </c>
    </row>
    <row r="9" spans="2:8" s="1" customFormat="1" ht="16.5" customHeight="1">
      <c r="B9" s="189">
        <v>42927</v>
      </c>
      <c r="C9" s="190">
        <v>10629</v>
      </c>
      <c r="D9" s="52">
        <v>12.12</v>
      </c>
      <c r="E9" s="190" t="s">
        <v>3</v>
      </c>
      <c r="F9" s="190" t="s">
        <v>1356</v>
      </c>
      <c r="G9" s="191" t="s">
        <v>1355</v>
      </c>
    </row>
    <row r="10" spans="2:8" s="1" customFormat="1" ht="16.5" customHeight="1">
      <c r="B10" s="189">
        <v>42927</v>
      </c>
      <c r="C10" s="190">
        <v>10629</v>
      </c>
      <c r="D10" s="52">
        <v>10</v>
      </c>
      <c r="E10" s="190" t="s">
        <v>2</v>
      </c>
      <c r="F10" s="190" t="s">
        <v>33</v>
      </c>
      <c r="G10" s="191"/>
    </row>
    <row r="11" spans="2:8" s="1" customFormat="1" ht="16.5" customHeight="1">
      <c r="B11" s="187">
        <v>42940</v>
      </c>
      <c r="C11" s="188">
        <v>10654</v>
      </c>
      <c r="D11" s="8">
        <v>10.7</v>
      </c>
      <c r="E11" s="188" t="s">
        <v>17</v>
      </c>
      <c r="F11" s="188" t="s">
        <v>1354</v>
      </c>
      <c r="G11" s="188" t="s">
        <v>1353</v>
      </c>
    </row>
    <row r="12" spans="2:8" s="1" customFormat="1" ht="16.5" customHeight="1">
      <c r="B12" s="187">
        <v>42940</v>
      </c>
      <c r="C12" s="188">
        <v>10654</v>
      </c>
      <c r="D12" s="554" t="s">
        <v>1352</v>
      </c>
      <c r="E12" s="188" t="s">
        <v>17</v>
      </c>
      <c r="F12" s="188" t="s">
        <v>1351</v>
      </c>
      <c r="G12" s="188" t="s">
        <v>1350</v>
      </c>
    </row>
    <row r="13" spans="2:8" s="1" customFormat="1" ht="16.5" customHeight="1">
      <c r="B13" s="187">
        <v>42940</v>
      </c>
      <c r="C13" s="188">
        <v>10654</v>
      </c>
      <c r="D13" s="8">
        <v>80</v>
      </c>
      <c r="E13" s="188" t="s">
        <v>17</v>
      </c>
      <c r="F13" s="188" t="s">
        <v>591</v>
      </c>
      <c r="G13" s="188"/>
    </row>
    <row r="14" spans="2:8" s="1" customFormat="1" ht="16.5" customHeight="1">
      <c r="B14" s="189"/>
      <c r="C14" s="190"/>
      <c r="D14" s="52"/>
      <c r="E14" s="190"/>
      <c r="F14" s="190"/>
      <c r="G14" s="191"/>
    </row>
    <row r="15" spans="2:8" s="1" customFormat="1" ht="16.5" customHeight="1">
      <c r="B15" s="189"/>
      <c r="C15" s="190"/>
      <c r="D15" s="52"/>
      <c r="E15" s="190"/>
      <c r="F15" s="190"/>
      <c r="G15" s="191"/>
    </row>
    <row r="16" spans="2:8" s="1" customFormat="1" ht="16.5" customHeight="1">
      <c r="B16" s="189"/>
      <c r="C16" s="190"/>
      <c r="D16" s="52"/>
      <c r="E16" s="190"/>
      <c r="F16" s="190"/>
      <c r="G16" s="191"/>
    </row>
    <row r="17" spans="2:7" s="1" customFormat="1" ht="16.5" customHeight="1">
      <c r="B17" s="427" t="s">
        <v>1</v>
      </c>
      <c r="C17" s="428"/>
      <c r="D17" s="429">
        <f>SUBTOTAL(109,ExpJul176[Amount])</f>
        <v>408.81</v>
      </c>
      <c r="E17" s="428"/>
      <c r="F17" s="428"/>
      <c r="G17" s="427"/>
    </row>
    <row r="19" spans="2:7" s="1" customFormat="1" ht="26.25" customHeight="1">
      <c r="B19" s="205" t="s">
        <v>52</v>
      </c>
      <c r="C19" s="36"/>
      <c r="D19" s="36"/>
      <c r="E19" s="36"/>
      <c r="F19" s="36"/>
      <c r="G19" s="36"/>
    </row>
    <row r="20" spans="2:7" s="1" customFormat="1" ht="16.5" customHeight="1">
      <c r="B20" s="36"/>
      <c r="C20" s="36"/>
      <c r="D20" s="36"/>
      <c r="E20" s="36"/>
      <c r="F20" s="36"/>
      <c r="G20" s="36"/>
    </row>
    <row r="21" spans="2:7" s="1" customFormat="1" ht="16.5" customHeight="1">
      <c r="B21" s="206" t="s">
        <v>50</v>
      </c>
      <c r="C21" s="207" t="s">
        <v>53</v>
      </c>
      <c r="D21" s="206" t="s">
        <v>48</v>
      </c>
      <c r="E21" s="207" t="s">
        <v>47</v>
      </c>
      <c r="F21" s="207" t="s">
        <v>660</v>
      </c>
      <c r="G21" s="206" t="s">
        <v>45</v>
      </c>
    </row>
    <row r="22" spans="2:7" s="1" customFormat="1" ht="16.5" customHeight="1">
      <c r="B22" s="478">
        <v>42949</v>
      </c>
      <c r="C22" s="479" t="s">
        <v>1383</v>
      </c>
      <c r="D22" s="480">
        <v>40</v>
      </c>
      <c r="E22" s="479" t="s">
        <v>6</v>
      </c>
      <c r="F22" s="479" t="s">
        <v>1384</v>
      </c>
      <c r="G22" s="479" t="s">
        <v>1385</v>
      </c>
    </row>
    <row r="23" spans="2:7" s="1" customFormat="1" ht="16.5" customHeight="1">
      <c r="B23" s="25">
        <v>42952</v>
      </c>
      <c r="C23" s="51">
        <v>10686</v>
      </c>
      <c r="D23" s="211">
        <v>15.15</v>
      </c>
      <c r="E23" s="51" t="s">
        <v>3</v>
      </c>
      <c r="F23" s="51" t="s">
        <v>1386</v>
      </c>
      <c r="G23" s="27" t="s">
        <v>1387</v>
      </c>
    </row>
    <row r="24" spans="2:7" s="1" customFormat="1" ht="16.5" customHeight="1">
      <c r="B24" s="25">
        <v>42952</v>
      </c>
      <c r="C24" s="51">
        <v>10686</v>
      </c>
      <c r="D24" s="211">
        <v>10</v>
      </c>
      <c r="E24" s="51" t="s">
        <v>2</v>
      </c>
      <c r="F24" s="51" t="s">
        <v>663</v>
      </c>
      <c r="G24" s="27"/>
    </row>
    <row r="25" spans="2:7" s="1" customFormat="1" ht="16.5" customHeight="1">
      <c r="B25" s="25">
        <v>42952</v>
      </c>
      <c r="C25" s="51">
        <v>10687</v>
      </c>
      <c r="D25" s="211">
        <v>3.49</v>
      </c>
      <c r="E25" s="51" t="s">
        <v>5</v>
      </c>
      <c r="F25" s="51" t="s">
        <v>1388</v>
      </c>
      <c r="G25" s="27" t="s">
        <v>1389</v>
      </c>
    </row>
    <row r="26" spans="2:7" s="1" customFormat="1" ht="16.5" customHeight="1">
      <c r="B26" s="25">
        <v>42952</v>
      </c>
      <c r="C26" s="51">
        <v>10687</v>
      </c>
      <c r="D26" s="211">
        <v>10</v>
      </c>
      <c r="E26" s="51" t="s">
        <v>2</v>
      </c>
      <c r="F26" s="51" t="s">
        <v>1390</v>
      </c>
      <c r="G26" s="27"/>
    </row>
    <row r="27" spans="2:7" s="1" customFormat="1" ht="16.5" customHeight="1">
      <c r="B27" s="25">
        <v>42955</v>
      </c>
      <c r="C27" s="51">
        <v>10697</v>
      </c>
      <c r="D27" s="211">
        <v>539.22</v>
      </c>
      <c r="E27" s="51" t="s">
        <v>16</v>
      </c>
      <c r="F27" s="51" t="s">
        <v>1391</v>
      </c>
      <c r="G27" s="27" t="s">
        <v>1392</v>
      </c>
    </row>
    <row r="28" spans="2:7" s="1" customFormat="1" ht="16.5" customHeight="1">
      <c r="B28" s="25">
        <v>42955</v>
      </c>
      <c r="C28" s="51">
        <v>10697</v>
      </c>
      <c r="D28" s="211">
        <v>77.08</v>
      </c>
      <c r="E28" s="51" t="s">
        <v>5</v>
      </c>
      <c r="F28" s="51" t="s">
        <v>1393</v>
      </c>
      <c r="G28" s="27" t="s">
        <v>1394</v>
      </c>
    </row>
    <row r="29" spans="2:7" s="1" customFormat="1" ht="16.5" customHeight="1">
      <c r="B29" s="25">
        <v>42955</v>
      </c>
      <c r="C29" s="51">
        <v>10697</v>
      </c>
      <c r="D29" s="211">
        <v>6.06</v>
      </c>
      <c r="E29" s="51" t="s">
        <v>3</v>
      </c>
      <c r="F29" s="51" t="s">
        <v>1395</v>
      </c>
      <c r="G29" s="27" t="s">
        <v>1396</v>
      </c>
    </row>
    <row r="30" spans="2:7" s="1" customFormat="1" ht="16.5" customHeight="1">
      <c r="B30" s="25">
        <v>42955</v>
      </c>
      <c r="C30" s="51">
        <v>10697</v>
      </c>
      <c r="D30" s="211">
        <v>40</v>
      </c>
      <c r="E30" s="51" t="s">
        <v>2</v>
      </c>
      <c r="F30" s="51" t="s">
        <v>1397</v>
      </c>
      <c r="G30" s="27"/>
    </row>
    <row r="31" spans="2:7" s="1" customFormat="1" ht="16.5" customHeight="1">
      <c r="B31" s="25">
        <v>42956</v>
      </c>
      <c r="C31" s="51">
        <v>10699</v>
      </c>
      <c r="D31" s="211">
        <v>3.49</v>
      </c>
      <c r="E31" s="51" t="s">
        <v>5</v>
      </c>
      <c r="F31" s="51" t="s">
        <v>1398</v>
      </c>
      <c r="G31" s="27" t="s">
        <v>1399</v>
      </c>
    </row>
    <row r="32" spans="2:7" s="1" customFormat="1" ht="16.5" customHeight="1">
      <c r="B32" s="25">
        <v>42956</v>
      </c>
      <c r="C32" s="51">
        <v>10699</v>
      </c>
      <c r="D32" s="211">
        <v>10</v>
      </c>
      <c r="E32" s="51" t="s">
        <v>2</v>
      </c>
      <c r="F32" s="51" t="s">
        <v>1390</v>
      </c>
      <c r="G32" s="27"/>
    </row>
    <row r="33" spans="2:7" s="1" customFormat="1" ht="16.5" customHeight="1">
      <c r="B33" s="478">
        <v>42957</v>
      </c>
      <c r="C33" s="479" t="s">
        <v>1400</v>
      </c>
      <c r="D33" s="480">
        <v>40</v>
      </c>
      <c r="E33" s="479" t="s">
        <v>6</v>
      </c>
      <c r="F33" s="479" t="s">
        <v>1401</v>
      </c>
      <c r="G33" s="479"/>
    </row>
    <row r="34" spans="2:7" s="1" customFormat="1" ht="16.5" customHeight="1">
      <c r="B34" s="25">
        <v>42969</v>
      </c>
      <c r="C34" s="51">
        <v>10728</v>
      </c>
      <c r="D34" s="211">
        <v>6.99</v>
      </c>
      <c r="E34" s="51" t="s">
        <v>3</v>
      </c>
      <c r="F34" s="51" t="s">
        <v>1402</v>
      </c>
      <c r="G34" s="27" t="s">
        <v>1403</v>
      </c>
    </row>
    <row r="35" spans="2:7" s="1" customFormat="1" ht="16.5" customHeight="1">
      <c r="B35" s="25">
        <v>42969</v>
      </c>
      <c r="C35" s="51">
        <v>10728</v>
      </c>
      <c r="D35" s="211">
        <v>40</v>
      </c>
      <c r="E35" s="51" t="s">
        <v>2</v>
      </c>
      <c r="F35" s="51" t="s">
        <v>1397</v>
      </c>
      <c r="G35" s="27"/>
    </row>
    <row r="36" spans="2:7" s="1" customFormat="1" ht="16.5" customHeight="1">
      <c r="B36" s="208">
        <v>42975</v>
      </c>
      <c r="C36" s="209">
        <v>10751</v>
      </c>
      <c r="D36" s="210">
        <v>10.7</v>
      </c>
      <c r="E36" s="209" t="s">
        <v>17</v>
      </c>
      <c r="F36" s="209" t="s">
        <v>1404</v>
      </c>
      <c r="G36" s="209" t="s">
        <v>1405</v>
      </c>
    </row>
    <row r="37" spans="2:7" s="1" customFormat="1" ht="16.5" customHeight="1">
      <c r="B37" s="208">
        <v>42975</v>
      </c>
      <c r="C37" s="209">
        <v>10751</v>
      </c>
      <c r="D37" s="210">
        <v>7.5</v>
      </c>
      <c r="E37" s="209" t="s">
        <v>17</v>
      </c>
      <c r="F37" s="209" t="s">
        <v>1406</v>
      </c>
      <c r="G37" s="209" t="s">
        <v>1407</v>
      </c>
    </row>
    <row r="38" spans="2:7" s="1" customFormat="1" ht="16.5" customHeight="1">
      <c r="B38" s="208">
        <v>42975</v>
      </c>
      <c r="C38" s="209">
        <v>10751</v>
      </c>
      <c r="D38" s="210">
        <v>42.37</v>
      </c>
      <c r="E38" s="209" t="s">
        <v>17</v>
      </c>
      <c r="F38" s="209" t="s">
        <v>1408</v>
      </c>
      <c r="G38" s="209" t="s">
        <v>1409</v>
      </c>
    </row>
    <row r="39" spans="2:7" s="1" customFormat="1" ht="16.5" customHeight="1">
      <c r="B39" s="341">
        <v>42975</v>
      </c>
      <c r="C39" s="342">
        <v>10751</v>
      </c>
      <c r="D39" s="343">
        <v>100</v>
      </c>
      <c r="E39" s="342" t="s">
        <v>17</v>
      </c>
      <c r="F39" s="342" t="s">
        <v>735</v>
      </c>
      <c r="G39" s="342"/>
    </row>
    <row r="40" spans="2:7" s="1" customFormat="1" ht="16.5" customHeight="1">
      <c r="B40" s="337"/>
      <c r="C40" s="338"/>
      <c r="D40" s="339"/>
      <c r="E40" s="338"/>
      <c r="F40" s="338"/>
      <c r="G40" s="340"/>
    </row>
    <row r="41" spans="2:7" s="1" customFormat="1" ht="16.5" customHeight="1">
      <c r="B41" s="212" t="s">
        <v>1</v>
      </c>
      <c r="C41" s="213"/>
      <c r="D41" s="214">
        <f>SUBTOTAL(109,ExpAug177[Amount])</f>
        <v>1002.0500000000001</v>
      </c>
      <c r="E41" s="213"/>
      <c r="F41" s="213"/>
      <c r="G41" s="212"/>
    </row>
    <row r="43" spans="2:7" s="1" customFormat="1" ht="28.5" customHeight="1">
      <c r="B43" s="205" t="s">
        <v>56</v>
      </c>
      <c r="C43" s="117"/>
      <c r="D43" s="117"/>
      <c r="E43" s="117"/>
      <c r="F43" s="117"/>
      <c r="G43" s="117"/>
    </row>
    <row r="44" spans="2:7" s="1" customFormat="1" ht="16.5" customHeight="1">
      <c r="B44" s="117"/>
      <c r="C44" s="117"/>
      <c r="D44" s="117"/>
      <c r="E44" s="117"/>
      <c r="F44" s="117"/>
      <c r="G44" s="117"/>
    </row>
    <row r="45" spans="2:7" s="1" customFormat="1" ht="16.5" customHeight="1">
      <c r="B45" s="206" t="s">
        <v>50</v>
      </c>
      <c r="C45" s="207" t="s">
        <v>53</v>
      </c>
      <c r="D45" s="206" t="s">
        <v>48</v>
      </c>
      <c r="E45" s="207" t="s">
        <v>47</v>
      </c>
      <c r="F45" s="207" t="s">
        <v>660</v>
      </c>
      <c r="G45" s="206" t="s">
        <v>45</v>
      </c>
    </row>
    <row r="46" spans="2:7" s="1" customFormat="1" ht="16.5" customHeight="1">
      <c r="B46" s="25">
        <v>42986</v>
      </c>
      <c r="C46" s="51">
        <v>10779</v>
      </c>
      <c r="D46" s="211">
        <v>3.49</v>
      </c>
      <c r="E46" s="51" t="s">
        <v>5</v>
      </c>
      <c r="F46" s="51" t="s">
        <v>1410</v>
      </c>
      <c r="G46" s="27" t="s">
        <v>1411</v>
      </c>
    </row>
    <row r="47" spans="2:7" s="1" customFormat="1" ht="16.5" customHeight="1">
      <c r="B47" s="25">
        <v>42986</v>
      </c>
      <c r="C47" s="51">
        <v>10779</v>
      </c>
      <c r="D47" s="211">
        <v>10</v>
      </c>
      <c r="E47" s="51" t="s">
        <v>2</v>
      </c>
      <c r="F47" s="51" t="s">
        <v>33</v>
      </c>
      <c r="G47" s="27"/>
    </row>
    <row r="48" spans="2:7" s="1" customFormat="1" ht="16.5" customHeight="1">
      <c r="B48" s="25">
        <v>42989</v>
      </c>
      <c r="C48" s="51">
        <v>10786</v>
      </c>
      <c r="D48" s="211">
        <v>3.49</v>
      </c>
      <c r="E48" s="51" t="s">
        <v>5</v>
      </c>
      <c r="F48" s="51" t="s">
        <v>1412</v>
      </c>
      <c r="G48" s="27" t="s">
        <v>1413</v>
      </c>
    </row>
    <row r="49" spans="2:7" s="1" customFormat="1" ht="16.5" customHeight="1">
      <c r="B49" s="25">
        <v>42989</v>
      </c>
      <c r="C49" s="51">
        <v>10786</v>
      </c>
      <c r="D49" s="211">
        <v>10</v>
      </c>
      <c r="E49" s="51" t="s">
        <v>2</v>
      </c>
      <c r="F49" s="51" t="s">
        <v>33</v>
      </c>
      <c r="G49" s="27"/>
    </row>
    <row r="50" spans="2:7" s="1" customFormat="1" ht="16.5" customHeight="1">
      <c r="B50" s="25">
        <v>43004</v>
      </c>
      <c r="C50" s="51">
        <v>10821</v>
      </c>
      <c r="D50" s="211">
        <v>6.06</v>
      </c>
      <c r="E50" s="51" t="s">
        <v>3</v>
      </c>
      <c r="F50" s="51" t="s">
        <v>749</v>
      </c>
      <c r="G50" s="27" t="s">
        <v>1414</v>
      </c>
    </row>
    <row r="51" spans="2:7" s="1" customFormat="1" ht="16.5" customHeight="1">
      <c r="B51" s="25">
        <v>43004</v>
      </c>
      <c r="C51" s="51">
        <v>10821</v>
      </c>
      <c r="D51" s="211">
        <v>10</v>
      </c>
      <c r="E51" s="51" t="s">
        <v>2</v>
      </c>
      <c r="F51" s="51" t="s">
        <v>663</v>
      </c>
      <c r="G51" s="27"/>
    </row>
    <row r="52" spans="2:7" s="1" customFormat="1" ht="16.5" customHeight="1">
      <c r="B52" s="208">
        <v>43007</v>
      </c>
      <c r="C52" s="209">
        <v>10838</v>
      </c>
      <c r="D52" s="210">
        <v>10.7</v>
      </c>
      <c r="E52" s="209" t="s">
        <v>17</v>
      </c>
      <c r="F52" s="209" t="s">
        <v>1415</v>
      </c>
      <c r="G52" s="209" t="s">
        <v>1416</v>
      </c>
    </row>
    <row r="53" spans="2:7" s="1" customFormat="1" ht="16.5" customHeight="1">
      <c r="B53" s="208">
        <v>43007</v>
      </c>
      <c r="C53" s="209">
        <v>10838</v>
      </c>
      <c r="D53" s="210">
        <v>42.37</v>
      </c>
      <c r="E53" s="209" t="s">
        <v>17</v>
      </c>
      <c r="F53" s="209" t="s">
        <v>1417</v>
      </c>
      <c r="G53" s="209" t="s">
        <v>1418</v>
      </c>
    </row>
    <row r="54" spans="2:7" s="1" customFormat="1" ht="16.5" customHeight="1">
      <c r="B54" s="208">
        <v>43007</v>
      </c>
      <c r="C54" s="209">
        <v>10838</v>
      </c>
      <c r="D54" s="210">
        <v>80</v>
      </c>
      <c r="E54" s="209" t="s">
        <v>17</v>
      </c>
      <c r="F54" s="209" t="s">
        <v>1419</v>
      </c>
      <c r="G54" s="209"/>
    </row>
    <row r="55" spans="2:7" s="1" customFormat="1" ht="16.5" customHeight="1">
      <c r="B55" s="25"/>
      <c r="C55" s="51"/>
      <c r="D55" s="211"/>
      <c r="E55" s="51"/>
      <c r="F55" s="51"/>
      <c r="G55" s="27"/>
    </row>
    <row r="56" spans="2:7" s="1" customFormat="1" ht="16.5" customHeight="1">
      <c r="B56" s="25"/>
      <c r="C56" s="51"/>
      <c r="D56" s="211"/>
      <c r="E56" s="51"/>
      <c r="F56" s="51"/>
      <c r="G56" s="27"/>
    </row>
    <row r="57" spans="2:7" s="1" customFormat="1" ht="16.5" customHeight="1">
      <c r="B57" s="25"/>
      <c r="C57" s="51"/>
      <c r="D57" s="211"/>
      <c r="E57" s="51"/>
      <c r="F57" s="51"/>
      <c r="G57" s="27"/>
    </row>
    <row r="58" spans="2:7" s="1" customFormat="1" ht="16.5" customHeight="1">
      <c r="B58" s="25"/>
      <c r="C58" s="51"/>
      <c r="D58" s="211"/>
      <c r="E58" s="51"/>
      <c r="F58" s="51"/>
      <c r="G58" s="27"/>
    </row>
    <row r="59" spans="2:7" s="1" customFormat="1" ht="16.5" customHeight="1">
      <c r="B59" s="25"/>
      <c r="C59" s="51"/>
      <c r="D59" s="211"/>
      <c r="E59" s="51"/>
      <c r="F59" s="51"/>
      <c r="G59" s="27"/>
    </row>
    <row r="60" spans="2:7" s="1" customFormat="1" ht="16.5" customHeight="1">
      <c r="B60" s="25"/>
      <c r="C60" s="51"/>
      <c r="D60" s="211"/>
      <c r="E60" s="51"/>
      <c r="F60" s="51"/>
      <c r="G60" s="27"/>
    </row>
    <row r="61" spans="2:7" s="1" customFormat="1" ht="16.5" customHeight="1">
      <c r="B61" s="212" t="s">
        <v>1</v>
      </c>
      <c r="C61" s="213"/>
      <c r="D61" s="214">
        <f>SUBTOTAL(109,ExpSep178[Amount])</f>
        <v>176.10999999999999</v>
      </c>
      <c r="E61" s="213"/>
      <c r="F61" s="213"/>
      <c r="G61" s="212"/>
    </row>
    <row r="63" spans="2:7" s="1" customFormat="1" ht="27" customHeight="1">
      <c r="B63" s="205" t="s">
        <v>70</v>
      </c>
      <c r="C63" s="117"/>
      <c r="D63" s="117"/>
      <c r="E63" s="117"/>
      <c r="F63" s="117"/>
      <c r="G63" s="117"/>
    </row>
    <row r="64" spans="2:7" s="1" customFormat="1" ht="16.5" customHeight="1">
      <c r="B64" s="117"/>
      <c r="C64" s="117"/>
      <c r="D64" s="117"/>
      <c r="E64" s="117"/>
      <c r="F64" s="117"/>
      <c r="G64" s="117"/>
    </row>
    <row r="65" spans="2:7" s="1" customFormat="1" ht="16.5" customHeight="1">
      <c r="B65" s="206" t="s">
        <v>50</v>
      </c>
      <c r="C65" s="207" t="s">
        <v>71</v>
      </c>
      <c r="D65" s="206" t="s">
        <v>48</v>
      </c>
      <c r="E65" s="207" t="s">
        <v>47</v>
      </c>
      <c r="F65" s="207" t="s">
        <v>660</v>
      </c>
      <c r="G65" s="206" t="s">
        <v>45</v>
      </c>
    </row>
    <row r="66" spans="2:7" s="1" customFormat="1" ht="16.5" customHeight="1">
      <c r="B66" s="25">
        <v>43011</v>
      </c>
      <c r="C66" s="51">
        <v>10845</v>
      </c>
      <c r="D66" s="211">
        <v>10.37</v>
      </c>
      <c r="E66" s="51" t="s">
        <v>3</v>
      </c>
      <c r="F66" s="51" t="s">
        <v>1420</v>
      </c>
      <c r="G66" s="27" t="s">
        <v>1421</v>
      </c>
    </row>
    <row r="67" spans="2:7" s="1" customFormat="1" ht="16.5" customHeight="1">
      <c r="B67" s="25">
        <v>43011</v>
      </c>
      <c r="C67" s="51">
        <v>10845</v>
      </c>
      <c r="D67" s="211">
        <v>20</v>
      </c>
      <c r="E67" s="51" t="s">
        <v>2</v>
      </c>
      <c r="F67" s="51" t="s">
        <v>178</v>
      </c>
      <c r="G67" s="27"/>
    </row>
    <row r="68" spans="2:7" s="1" customFormat="1" ht="16.5" customHeight="1">
      <c r="B68" s="25">
        <v>43020</v>
      </c>
      <c r="C68" s="51">
        <v>10862</v>
      </c>
      <c r="D68" s="211">
        <v>81.099999999999994</v>
      </c>
      <c r="E68" s="51" t="s">
        <v>1686</v>
      </c>
      <c r="F68" s="51" t="s">
        <v>1687</v>
      </c>
      <c r="G68" s="27" t="s">
        <v>1688</v>
      </c>
    </row>
    <row r="69" spans="2:7" s="1" customFormat="1" ht="16.5" customHeight="1">
      <c r="B69" s="25">
        <v>43020</v>
      </c>
      <c r="C69" s="51">
        <v>10862</v>
      </c>
      <c r="D69" s="211">
        <v>20</v>
      </c>
      <c r="E69" s="51" t="s">
        <v>2</v>
      </c>
      <c r="F69" s="51" t="s">
        <v>399</v>
      </c>
      <c r="G69" s="27"/>
    </row>
    <row r="70" spans="2:7" s="1" customFormat="1" ht="16.5" customHeight="1">
      <c r="B70" s="25">
        <v>43027</v>
      </c>
      <c r="C70" s="51">
        <v>10876</v>
      </c>
      <c r="D70" s="211">
        <v>3.49</v>
      </c>
      <c r="E70" s="51" t="s">
        <v>5</v>
      </c>
      <c r="F70" s="51" t="s">
        <v>1740</v>
      </c>
      <c r="G70" s="27" t="s">
        <v>1741</v>
      </c>
    </row>
    <row r="71" spans="2:7" s="1" customFormat="1" ht="16.5" customHeight="1">
      <c r="B71" s="25">
        <v>43027</v>
      </c>
      <c r="C71" s="51">
        <v>10876</v>
      </c>
      <c r="D71" s="211">
        <v>10</v>
      </c>
      <c r="E71" s="51" t="s">
        <v>2</v>
      </c>
      <c r="F71" s="51" t="s">
        <v>555</v>
      </c>
      <c r="G71" s="27"/>
    </row>
    <row r="72" spans="2:7" s="1" customFormat="1" ht="16.5" customHeight="1">
      <c r="B72" s="25">
        <v>43027</v>
      </c>
      <c r="C72" s="51">
        <v>10877</v>
      </c>
      <c r="D72" s="211">
        <v>5.08</v>
      </c>
      <c r="E72" s="51" t="s">
        <v>1686</v>
      </c>
      <c r="F72" s="51" t="s">
        <v>1742</v>
      </c>
      <c r="G72" s="27" t="s">
        <v>1743</v>
      </c>
    </row>
    <row r="73" spans="2:7" s="1" customFormat="1" ht="16.5" customHeight="1">
      <c r="B73" s="25">
        <v>43027</v>
      </c>
      <c r="C73" s="51">
        <v>10877</v>
      </c>
      <c r="D73" s="211">
        <v>40</v>
      </c>
      <c r="E73" s="51" t="s">
        <v>2</v>
      </c>
      <c r="F73" s="51" t="s">
        <v>256</v>
      </c>
      <c r="G73" s="27"/>
    </row>
    <row r="74" spans="2:7" s="1" customFormat="1" ht="16.5" customHeight="1">
      <c r="B74" s="25"/>
      <c r="C74" s="51"/>
      <c r="D74" s="211"/>
      <c r="E74" s="51"/>
      <c r="F74" s="51"/>
      <c r="G74" s="27"/>
    </row>
    <row r="75" spans="2:7" s="1" customFormat="1" ht="16.5" customHeight="1">
      <c r="B75" s="25"/>
      <c r="C75" s="51"/>
      <c r="D75" s="211"/>
      <c r="E75" s="51"/>
      <c r="F75" s="51"/>
      <c r="G75" s="27"/>
    </row>
    <row r="76" spans="2:7" s="1" customFormat="1" ht="16.5" customHeight="1">
      <c r="B76" s="25"/>
      <c r="C76" s="51"/>
      <c r="D76" s="211"/>
      <c r="E76" s="51"/>
      <c r="F76" s="51"/>
      <c r="G76" s="27"/>
    </row>
    <row r="77" spans="2:7" s="1" customFormat="1" ht="16.5" customHeight="1">
      <c r="B77" s="212" t="s">
        <v>1</v>
      </c>
      <c r="C77" s="213"/>
      <c r="D77" s="214">
        <f>SUBTOTAL(109,ExpOct179[Amount])</f>
        <v>190.04000000000002</v>
      </c>
      <c r="E77" s="213"/>
      <c r="F77" s="213"/>
      <c r="G77" s="212"/>
    </row>
    <row r="78" spans="2:7" s="1" customFormat="1" ht="16.5" customHeight="1">
      <c r="B78" s="212"/>
      <c r="C78" s="213"/>
      <c r="D78" s="214"/>
      <c r="E78" s="213"/>
      <c r="F78" s="213"/>
      <c r="G78" s="212"/>
    </row>
    <row r="79" spans="2:7" s="1" customFormat="1" ht="25.5" customHeight="1">
      <c r="B79" s="205" t="s">
        <v>159</v>
      </c>
      <c r="C79" s="117"/>
      <c r="D79" s="117"/>
      <c r="E79" s="117"/>
      <c r="F79" s="117"/>
      <c r="G79" s="117"/>
    </row>
    <row r="80" spans="2:7" s="1" customFormat="1" ht="16.5" customHeight="1">
      <c r="B80" s="117"/>
      <c r="C80" s="117"/>
      <c r="D80" s="117"/>
      <c r="E80" s="117"/>
      <c r="F80" s="117"/>
      <c r="G80" s="117"/>
    </row>
    <row r="81" spans="2:7" s="1" customFormat="1" ht="16.5" customHeight="1">
      <c r="B81" s="206" t="s">
        <v>50</v>
      </c>
      <c r="C81" s="207" t="s">
        <v>71</v>
      </c>
      <c r="D81" s="206" t="s">
        <v>48</v>
      </c>
      <c r="E81" s="207" t="s">
        <v>47</v>
      </c>
      <c r="F81" s="207" t="s">
        <v>161</v>
      </c>
      <c r="G81" s="206" t="s">
        <v>160</v>
      </c>
    </row>
    <row r="82" spans="2:7" s="1" customFormat="1" ht="16.5" customHeight="1">
      <c r="B82" s="25"/>
      <c r="C82" s="51"/>
      <c r="D82" s="211"/>
      <c r="E82" s="51"/>
      <c r="F82" s="51"/>
      <c r="G82" s="27"/>
    </row>
    <row r="83" spans="2:7" s="1" customFormat="1" ht="16.5" customHeight="1">
      <c r="B83" s="25"/>
      <c r="C83" s="51"/>
      <c r="D83" s="211"/>
      <c r="E83" s="51"/>
      <c r="F83" s="51"/>
      <c r="G83" s="27"/>
    </row>
    <row r="84" spans="2:7" s="1" customFormat="1" ht="16.5" customHeight="1">
      <c r="B84" s="25"/>
      <c r="C84" s="51"/>
      <c r="D84" s="211"/>
      <c r="E84" s="51"/>
      <c r="F84" s="51"/>
      <c r="G84" s="27"/>
    </row>
    <row r="85" spans="2:7" s="1" customFormat="1" ht="16.5" customHeight="1">
      <c r="B85" s="25"/>
      <c r="C85" s="51"/>
      <c r="D85" s="211"/>
      <c r="E85" s="51"/>
      <c r="F85" s="51"/>
      <c r="G85" s="27"/>
    </row>
    <row r="86" spans="2:7" s="1" customFormat="1" ht="16.5" customHeight="1">
      <c r="B86" s="25"/>
      <c r="C86" s="51"/>
      <c r="D86" s="211"/>
      <c r="E86" s="51"/>
      <c r="F86" s="51"/>
      <c r="G86" s="27"/>
    </row>
    <row r="87" spans="2:7" s="1" customFormat="1" ht="16.5" customHeight="1">
      <c r="B87" s="25"/>
      <c r="C87" s="51"/>
      <c r="D87" s="211"/>
      <c r="E87" s="51"/>
      <c r="F87" s="51"/>
      <c r="G87" s="27"/>
    </row>
    <row r="88" spans="2:7" s="1" customFormat="1" ht="16.5" customHeight="1">
      <c r="B88" s="25"/>
      <c r="C88" s="51"/>
      <c r="D88" s="211"/>
      <c r="E88" s="51"/>
      <c r="F88" s="51"/>
      <c r="G88" s="27"/>
    </row>
    <row r="89" spans="2:7" s="1" customFormat="1" ht="16.5" customHeight="1">
      <c r="B89" s="25"/>
      <c r="C89" s="51"/>
      <c r="D89" s="211"/>
      <c r="E89" s="51"/>
      <c r="F89" s="51"/>
      <c r="G89" s="27"/>
    </row>
    <row r="90" spans="2:7" s="1" customFormat="1" ht="16.5" customHeight="1">
      <c r="B90" s="25"/>
      <c r="C90" s="51"/>
      <c r="D90" s="211"/>
      <c r="E90" s="51"/>
      <c r="F90" s="51"/>
      <c r="G90" s="27"/>
    </row>
    <row r="91" spans="2:7" s="1" customFormat="1" ht="16.5" customHeight="1">
      <c r="B91" s="25"/>
      <c r="C91" s="51"/>
      <c r="D91" s="211"/>
      <c r="E91" s="51"/>
      <c r="F91" s="51"/>
      <c r="G91" s="27"/>
    </row>
    <row r="92" spans="2:7" s="1" customFormat="1" ht="16.5" customHeight="1">
      <c r="B92" s="212" t="s">
        <v>1</v>
      </c>
      <c r="C92" s="213"/>
      <c r="D92" s="214">
        <f>SUBTOTAL(109,ExpNov128141154167180[Amount])</f>
        <v>0</v>
      </c>
      <c r="E92" s="213"/>
      <c r="F92" s="213"/>
      <c r="G92" s="212"/>
    </row>
    <row r="94" spans="2:7" s="1" customFormat="1" ht="27" customHeight="1">
      <c r="B94" s="205" t="s">
        <v>162</v>
      </c>
      <c r="C94" s="117"/>
      <c r="D94" s="117"/>
      <c r="E94" s="117"/>
      <c r="F94" s="117"/>
      <c r="G94" s="117"/>
    </row>
    <row r="95" spans="2:7" s="1" customFormat="1" ht="16.5" customHeight="1">
      <c r="B95" s="117"/>
      <c r="C95" s="117"/>
      <c r="D95" s="117"/>
      <c r="E95" s="117"/>
      <c r="F95" s="117"/>
      <c r="G95" s="117"/>
    </row>
    <row r="96" spans="2:7" s="1" customFormat="1" ht="16.5" customHeight="1">
      <c r="B96" s="206" t="s">
        <v>50</v>
      </c>
      <c r="C96" s="207" t="s">
        <v>71</v>
      </c>
      <c r="D96" s="206" t="s">
        <v>48</v>
      </c>
      <c r="E96" s="207" t="s">
        <v>47</v>
      </c>
      <c r="F96" s="207" t="s">
        <v>161</v>
      </c>
      <c r="G96" s="206" t="s">
        <v>160</v>
      </c>
    </row>
    <row r="97" spans="2:7" s="1" customFormat="1" ht="16.5" customHeight="1">
      <c r="B97" s="25"/>
      <c r="C97" s="51"/>
      <c r="D97" s="211"/>
      <c r="E97" s="51"/>
      <c r="F97" s="51"/>
      <c r="G97" s="27"/>
    </row>
    <row r="98" spans="2:7" s="1" customFormat="1" ht="16.5" customHeight="1">
      <c r="B98" s="25"/>
      <c r="C98" s="51"/>
      <c r="D98" s="211"/>
      <c r="E98" s="51"/>
      <c r="F98" s="51"/>
      <c r="G98" s="27"/>
    </row>
    <row r="99" spans="2:7" s="1" customFormat="1" ht="16.5" customHeight="1">
      <c r="B99" s="25"/>
      <c r="C99" s="51"/>
      <c r="D99" s="211"/>
      <c r="E99" s="51"/>
      <c r="F99" s="51"/>
      <c r="G99" s="27"/>
    </row>
    <row r="100" spans="2:7" s="1" customFormat="1" ht="16.5" customHeight="1">
      <c r="B100" s="25"/>
      <c r="C100" s="51"/>
      <c r="D100" s="211"/>
      <c r="E100" s="51"/>
      <c r="F100" s="51"/>
      <c r="G100" s="27"/>
    </row>
    <row r="101" spans="2:7" s="1" customFormat="1" ht="16.5" customHeight="1">
      <c r="B101" s="25"/>
      <c r="C101" s="51"/>
      <c r="D101" s="211"/>
      <c r="E101" s="51"/>
      <c r="F101" s="51"/>
      <c r="G101" s="27"/>
    </row>
    <row r="102" spans="2:7" s="1" customFormat="1" ht="16.5" customHeight="1">
      <c r="B102" s="25"/>
      <c r="C102" s="51"/>
      <c r="D102" s="211"/>
      <c r="E102" s="51"/>
      <c r="F102" s="51"/>
      <c r="G102" s="27"/>
    </row>
    <row r="103" spans="2:7" s="1" customFormat="1" ht="16.5" customHeight="1">
      <c r="B103" s="212" t="s">
        <v>1</v>
      </c>
      <c r="C103" s="213"/>
      <c r="D103" s="214">
        <f>SUBTOTAL(109,ExpDec129142155168181[Amount])</f>
        <v>0</v>
      </c>
      <c r="E103" s="213"/>
      <c r="F103" s="213"/>
      <c r="G103" s="212"/>
    </row>
    <row r="105" spans="2:7" s="1" customFormat="1" ht="27" customHeight="1">
      <c r="B105" s="205" t="s">
        <v>163</v>
      </c>
      <c r="C105" s="117"/>
      <c r="D105" s="117"/>
      <c r="E105" s="117"/>
      <c r="F105" s="117"/>
      <c r="G105" s="117"/>
    </row>
    <row r="106" spans="2:7" s="1" customFormat="1" ht="16.5" customHeight="1">
      <c r="B106" s="117"/>
      <c r="C106" s="117"/>
      <c r="D106" s="117"/>
      <c r="E106" s="117"/>
      <c r="F106" s="117"/>
      <c r="G106" s="117"/>
    </row>
    <row r="107" spans="2:7" s="1" customFormat="1" ht="16.5" customHeight="1">
      <c r="B107" s="206" t="s">
        <v>50</v>
      </c>
      <c r="C107" s="207" t="s">
        <v>164</v>
      </c>
      <c r="D107" s="206" t="s">
        <v>48</v>
      </c>
      <c r="E107" s="207" t="s">
        <v>47</v>
      </c>
      <c r="F107" s="207" t="s">
        <v>161</v>
      </c>
      <c r="G107" s="206" t="s">
        <v>160</v>
      </c>
    </row>
    <row r="108" spans="2:7" s="1" customFormat="1" ht="16.5" customHeight="1">
      <c r="B108" s="25"/>
      <c r="C108" s="51"/>
      <c r="D108" s="211"/>
      <c r="E108" s="51"/>
      <c r="F108" s="51"/>
      <c r="G108" s="27"/>
    </row>
    <row r="109" spans="2:7" s="1" customFormat="1" ht="16.5" customHeight="1">
      <c r="B109" s="25"/>
      <c r="C109" s="51"/>
      <c r="D109" s="211"/>
      <c r="E109" s="51"/>
      <c r="F109" s="51"/>
      <c r="G109" s="27"/>
    </row>
    <row r="110" spans="2:7" s="1" customFormat="1" ht="16.5" customHeight="1">
      <c r="B110" s="25"/>
      <c r="C110" s="51"/>
      <c r="D110" s="211"/>
      <c r="E110" s="51"/>
      <c r="F110" s="51"/>
      <c r="G110" s="27"/>
    </row>
    <row r="111" spans="2:7" s="1" customFormat="1" ht="16.5" customHeight="1">
      <c r="B111" s="27"/>
      <c r="C111" s="26"/>
      <c r="D111" s="211"/>
      <c r="E111" s="26"/>
      <c r="F111" s="26"/>
      <c r="G111" s="27"/>
    </row>
    <row r="112" spans="2:7" s="1" customFormat="1" ht="16.5" customHeight="1">
      <c r="B112" s="27"/>
      <c r="C112" s="26"/>
      <c r="D112" s="211"/>
      <c r="E112" s="26"/>
      <c r="F112" s="26"/>
      <c r="G112" s="27"/>
    </row>
    <row r="113" spans="2:7" s="1" customFormat="1" ht="16.5" customHeight="1">
      <c r="B113" s="27"/>
      <c r="C113" s="26"/>
      <c r="D113" s="211"/>
      <c r="E113" s="26"/>
      <c r="F113" s="26"/>
      <c r="G113" s="27"/>
    </row>
    <row r="114" spans="2:7" s="1" customFormat="1" ht="16.5" customHeight="1">
      <c r="B114" s="27"/>
      <c r="C114" s="26"/>
      <c r="D114" s="211"/>
      <c r="E114" s="26"/>
      <c r="F114" s="26"/>
      <c r="G114" s="27"/>
    </row>
    <row r="115" spans="2:7" s="1" customFormat="1" ht="16.5" customHeight="1">
      <c r="B115" s="27"/>
      <c r="C115" s="26"/>
      <c r="D115" s="211"/>
      <c r="E115" s="26"/>
      <c r="F115" s="26"/>
      <c r="G115" s="27"/>
    </row>
    <row r="116" spans="2:7" s="1" customFormat="1" ht="16.5" customHeight="1">
      <c r="B116" s="212" t="s">
        <v>1</v>
      </c>
      <c r="C116" s="213"/>
      <c r="D116" s="214">
        <f>SUBTOTAL(109,ExpJan130143156169182[Amount])</f>
        <v>0</v>
      </c>
      <c r="E116" s="213"/>
      <c r="F116" s="213"/>
      <c r="G116" s="212"/>
    </row>
    <row r="118" spans="2:7" s="1" customFormat="1" ht="24" customHeight="1">
      <c r="B118" s="205" t="s">
        <v>165</v>
      </c>
      <c r="C118" s="117"/>
      <c r="D118" s="117"/>
      <c r="E118" s="117"/>
      <c r="F118" s="117"/>
      <c r="G118" s="117"/>
    </row>
    <row r="119" spans="2:7" s="1" customFormat="1" ht="16.5" customHeight="1">
      <c r="B119" s="117"/>
      <c r="C119" s="117"/>
      <c r="D119" s="117"/>
      <c r="E119" s="117"/>
      <c r="F119" s="117"/>
      <c r="G119" s="117"/>
    </row>
    <row r="120" spans="2:7" s="1" customFormat="1" ht="16.5" customHeight="1">
      <c r="B120" s="206" t="s">
        <v>50</v>
      </c>
      <c r="C120" s="207" t="s">
        <v>71</v>
      </c>
      <c r="D120" s="206" t="s">
        <v>48</v>
      </c>
      <c r="E120" s="207" t="s">
        <v>47</v>
      </c>
      <c r="F120" s="206" t="s">
        <v>660</v>
      </c>
      <c r="G120" s="206" t="s">
        <v>45</v>
      </c>
    </row>
    <row r="121" spans="2:7" s="1" customFormat="1" ht="16.5" customHeight="1">
      <c r="B121" s="25"/>
      <c r="C121" s="51"/>
      <c r="D121" s="211"/>
      <c r="E121" s="51"/>
      <c r="F121" s="27"/>
      <c r="G121" s="27"/>
    </row>
    <row r="122" spans="2:7" s="1" customFormat="1" ht="16.5" customHeight="1">
      <c r="B122" s="25"/>
      <c r="C122" s="51"/>
      <c r="D122" s="211"/>
      <c r="E122" s="51"/>
      <c r="F122" s="27"/>
      <c r="G122" s="27"/>
    </row>
    <row r="123" spans="2:7" s="1" customFormat="1" ht="16.5" customHeight="1">
      <c r="B123" s="25"/>
      <c r="C123" s="51"/>
      <c r="D123" s="211"/>
      <c r="E123" s="51"/>
      <c r="F123" s="27"/>
      <c r="G123" s="27"/>
    </row>
    <row r="124" spans="2:7" s="1" customFormat="1" ht="16.5" customHeight="1">
      <c r="B124" s="25"/>
      <c r="C124" s="51"/>
      <c r="D124" s="211"/>
      <c r="E124" s="51"/>
      <c r="F124" s="27"/>
      <c r="G124" s="27"/>
    </row>
    <row r="125" spans="2:7" s="1" customFormat="1" ht="16.5" customHeight="1">
      <c r="B125" s="25"/>
      <c r="C125" s="51"/>
      <c r="D125" s="211"/>
      <c r="E125" s="51"/>
      <c r="F125" s="27"/>
      <c r="G125" s="27"/>
    </row>
    <row r="126" spans="2:7" s="1" customFormat="1" ht="16.5" customHeight="1">
      <c r="B126" s="25"/>
      <c r="C126" s="51"/>
      <c r="D126" s="211"/>
      <c r="E126" s="51"/>
      <c r="F126" s="27"/>
      <c r="G126" s="27"/>
    </row>
    <row r="127" spans="2:7" s="1" customFormat="1" ht="16.5" customHeight="1">
      <c r="B127" s="337"/>
      <c r="C127" s="338"/>
      <c r="D127" s="339"/>
      <c r="E127" s="338"/>
      <c r="F127" s="340"/>
      <c r="G127" s="340"/>
    </row>
    <row r="128" spans="2:7" s="1" customFormat="1" ht="16.5" customHeight="1">
      <c r="B128" s="337"/>
      <c r="C128" s="338"/>
      <c r="D128" s="339"/>
      <c r="E128" s="338"/>
      <c r="F128" s="340"/>
      <c r="G128" s="340"/>
    </row>
    <row r="129" spans="2:7" s="1" customFormat="1" ht="16.5" customHeight="1">
      <c r="B129" s="337"/>
      <c r="C129" s="338"/>
      <c r="D129" s="339"/>
      <c r="E129" s="338"/>
      <c r="F129" s="340"/>
      <c r="G129" s="340"/>
    </row>
    <row r="130" spans="2:7" s="1" customFormat="1" ht="16.5" customHeight="1">
      <c r="B130" s="337"/>
      <c r="C130" s="338"/>
      <c r="D130" s="339"/>
      <c r="E130" s="338"/>
      <c r="F130" s="340"/>
      <c r="G130" s="340"/>
    </row>
    <row r="131" spans="2:7" s="1" customFormat="1" ht="16.5" customHeight="1">
      <c r="B131" s="337"/>
      <c r="C131" s="338"/>
      <c r="D131" s="339"/>
      <c r="E131" s="338"/>
      <c r="F131" s="340"/>
      <c r="G131" s="340"/>
    </row>
    <row r="132" spans="2:7" s="1" customFormat="1" ht="16.5" customHeight="1">
      <c r="B132" s="224" t="s">
        <v>1</v>
      </c>
      <c r="C132" s="225"/>
      <c r="D132" s="226">
        <f>SUBTOTAL(109,ExpFeb131144157170183[Amount])</f>
        <v>0</v>
      </c>
      <c r="E132" s="225"/>
      <c r="F132" s="224"/>
      <c r="G132" s="395"/>
    </row>
    <row r="134" spans="2:7" s="1" customFormat="1" ht="24.75" customHeight="1">
      <c r="B134" s="205" t="s">
        <v>166</v>
      </c>
      <c r="C134" s="117"/>
      <c r="D134" s="117"/>
      <c r="E134" s="117"/>
      <c r="F134" s="117"/>
      <c r="G134" s="117"/>
    </row>
    <row r="135" spans="2:7" s="1" customFormat="1" ht="16.5" customHeight="1">
      <c r="B135" s="117"/>
      <c r="C135" s="117"/>
      <c r="D135" s="117"/>
      <c r="E135" s="117"/>
      <c r="F135" s="117"/>
      <c r="G135" s="117"/>
    </row>
    <row r="136" spans="2:7" s="1" customFormat="1" ht="16.5" customHeight="1">
      <c r="B136" s="206" t="s">
        <v>50</v>
      </c>
      <c r="C136" s="207" t="s">
        <v>71</v>
      </c>
      <c r="D136" s="206" t="s">
        <v>48</v>
      </c>
      <c r="E136" s="207" t="s">
        <v>47</v>
      </c>
      <c r="F136" s="207" t="s">
        <v>660</v>
      </c>
      <c r="G136" s="206" t="s">
        <v>45</v>
      </c>
    </row>
    <row r="137" spans="2:7" s="1" customFormat="1" ht="16.5" customHeight="1">
      <c r="B137" s="25"/>
      <c r="C137" s="51"/>
      <c r="D137" s="211"/>
      <c r="E137" s="51"/>
      <c r="F137" s="51"/>
      <c r="G137" s="27"/>
    </row>
    <row r="138" spans="2:7" s="1" customFormat="1" ht="16.5" customHeight="1">
      <c r="B138" s="25"/>
      <c r="C138" s="51"/>
      <c r="D138" s="211"/>
      <c r="E138" s="51"/>
      <c r="F138" s="51"/>
      <c r="G138" s="27"/>
    </row>
    <row r="139" spans="2:7" s="1" customFormat="1" ht="16.5" customHeight="1">
      <c r="B139" s="25"/>
      <c r="C139" s="51"/>
      <c r="D139" s="211"/>
      <c r="E139" s="51"/>
      <c r="F139" s="51"/>
      <c r="G139" s="27"/>
    </row>
    <row r="140" spans="2:7" s="1" customFormat="1" ht="16.5" customHeight="1">
      <c r="B140" s="25"/>
      <c r="C140" s="51"/>
      <c r="D140" s="211"/>
      <c r="E140" s="51"/>
      <c r="F140" s="51"/>
      <c r="G140" s="27"/>
    </row>
    <row r="141" spans="2:7" s="1" customFormat="1" ht="16.5" customHeight="1">
      <c r="B141" s="25"/>
      <c r="C141" s="51"/>
      <c r="D141" s="211"/>
      <c r="E141" s="51"/>
      <c r="F141" s="51"/>
      <c r="G141" s="27"/>
    </row>
    <row r="142" spans="2:7" s="1" customFormat="1" ht="16.5" customHeight="1">
      <c r="B142" s="25"/>
      <c r="C142" s="51"/>
      <c r="D142" s="211"/>
      <c r="E142" s="51"/>
      <c r="F142" s="51"/>
      <c r="G142" s="27"/>
    </row>
    <row r="143" spans="2:7" s="1" customFormat="1" ht="16.5" customHeight="1">
      <c r="B143" s="25"/>
      <c r="C143" s="51"/>
      <c r="D143" s="211"/>
      <c r="E143" s="51"/>
      <c r="F143" s="51"/>
      <c r="G143" s="27"/>
    </row>
    <row r="144" spans="2:7" s="1" customFormat="1" ht="16.5" customHeight="1">
      <c r="B144" s="25"/>
      <c r="C144" s="51"/>
      <c r="D144" s="211"/>
      <c r="E144" s="51"/>
      <c r="F144" s="51"/>
      <c r="G144" s="27"/>
    </row>
    <row r="145" spans="2:7" s="1" customFormat="1" ht="16.5" customHeight="1">
      <c r="B145" s="25"/>
      <c r="C145" s="51"/>
      <c r="D145" s="211"/>
      <c r="E145" s="51"/>
      <c r="F145" s="51"/>
      <c r="G145" s="27"/>
    </row>
    <row r="146" spans="2:7" s="1" customFormat="1" ht="16.5" customHeight="1">
      <c r="B146" s="25"/>
      <c r="C146" s="51"/>
      <c r="D146" s="211"/>
      <c r="E146" s="51"/>
      <c r="F146" s="51"/>
      <c r="G146" s="27"/>
    </row>
    <row r="147" spans="2:7" s="1" customFormat="1" ht="16.5" customHeight="1">
      <c r="B147" s="25"/>
      <c r="C147" s="51"/>
      <c r="D147" s="211"/>
      <c r="E147" s="51"/>
      <c r="F147" s="51"/>
      <c r="G147" s="27"/>
    </row>
    <row r="148" spans="2:7" s="1" customFormat="1" ht="16.5" customHeight="1">
      <c r="B148" s="25"/>
      <c r="C148" s="51"/>
      <c r="D148" s="211"/>
      <c r="E148" s="51"/>
      <c r="F148" s="51"/>
      <c r="G148" s="27"/>
    </row>
    <row r="149" spans="2:7" s="1" customFormat="1" ht="16.5" customHeight="1">
      <c r="B149" s="25"/>
      <c r="C149" s="51"/>
      <c r="D149" s="211"/>
      <c r="E149" s="51"/>
      <c r="F149" s="51"/>
      <c r="G149" s="27"/>
    </row>
    <row r="150" spans="2:7" s="1" customFormat="1" ht="16.5" customHeight="1">
      <c r="B150" s="212" t="s">
        <v>1</v>
      </c>
      <c r="C150" s="213"/>
      <c r="D150" s="214">
        <f>SUBTOTAL(109,ExpMar132145158171184[Amount])</f>
        <v>0</v>
      </c>
      <c r="E150" s="213"/>
      <c r="F150" s="213"/>
      <c r="G150" s="212"/>
    </row>
    <row r="152" spans="2:7" s="1" customFormat="1" ht="25.5" customHeight="1">
      <c r="B152" s="205" t="s">
        <v>167</v>
      </c>
      <c r="C152" s="117"/>
      <c r="D152" s="117"/>
      <c r="E152" s="117"/>
      <c r="F152" s="117"/>
      <c r="G152" s="117"/>
    </row>
    <row r="153" spans="2:7" s="1" customFormat="1" ht="16.5" customHeight="1">
      <c r="B153" s="117"/>
      <c r="C153" s="117"/>
      <c r="D153" s="117"/>
      <c r="E153" s="117"/>
      <c r="F153" s="117"/>
      <c r="G153" s="117"/>
    </row>
    <row r="154" spans="2:7" s="1" customFormat="1" ht="16.5" customHeight="1">
      <c r="B154" s="206" t="s">
        <v>50</v>
      </c>
      <c r="C154" s="207" t="s">
        <v>168</v>
      </c>
      <c r="D154" s="206" t="s">
        <v>48</v>
      </c>
      <c r="E154" s="207" t="s">
        <v>47</v>
      </c>
      <c r="F154" s="207" t="s">
        <v>660</v>
      </c>
      <c r="G154" s="206" t="s">
        <v>45</v>
      </c>
    </row>
    <row r="155" spans="2:7" s="1" customFormat="1" ht="16.5" customHeight="1">
      <c r="B155" s="215"/>
      <c r="C155" s="51"/>
      <c r="D155" s="216"/>
      <c r="E155" s="51"/>
      <c r="F155" s="51"/>
      <c r="G155" s="51"/>
    </row>
    <row r="156" spans="2:7" s="1" customFormat="1" ht="16.5" customHeight="1">
      <c r="B156" s="215"/>
      <c r="C156" s="51"/>
      <c r="D156" s="216"/>
      <c r="E156" s="51"/>
      <c r="F156" s="51"/>
      <c r="G156" s="51"/>
    </row>
    <row r="157" spans="2:7" s="1" customFormat="1" ht="16.5" customHeight="1">
      <c r="B157" s="215"/>
      <c r="C157" s="51"/>
      <c r="D157" s="216"/>
      <c r="E157" s="51"/>
      <c r="F157" s="51"/>
      <c r="G157" s="51"/>
    </row>
    <row r="158" spans="2:7" s="1" customFormat="1" ht="16.5" customHeight="1">
      <c r="B158" s="215"/>
      <c r="C158" s="51"/>
      <c r="D158" s="216"/>
      <c r="E158" s="51"/>
      <c r="F158" s="51"/>
      <c r="G158" s="51"/>
    </row>
    <row r="159" spans="2:7" s="1" customFormat="1" ht="16.5" customHeight="1">
      <c r="B159" s="215"/>
      <c r="C159" s="51"/>
      <c r="D159" s="216"/>
      <c r="E159" s="51"/>
      <c r="F159" s="51"/>
      <c r="G159" s="51"/>
    </row>
    <row r="160" spans="2:7" s="1" customFormat="1" ht="16.5" customHeight="1">
      <c r="B160" s="215"/>
      <c r="C160" s="51"/>
      <c r="D160" s="216"/>
      <c r="E160" s="51"/>
      <c r="F160" s="51"/>
      <c r="G160" s="51"/>
    </row>
    <row r="161" spans="2:7" s="1" customFormat="1" ht="16.5" customHeight="1">
      <c r="B161" s="215"/>
      <c r="C161" s="51"/>
      <c r="D161" s="216"/>
      <c r="E161" s="51"/>
      <c r="F161" s="51"/>
      <c r="G161" s="51"/>
    </row>
    <row r="162" spans="2:7" s="1" customFormat="1" ht="16.5" customHeight="1">
      <c r="B162" s="215"/>
      <c r="C162" s="51"/>
      <c r="D162" s="216"/>
      <c r="E162" s="51"/>
      <c r="F162" s="51"/>
      <c r="G162" s="51"/>
    </row>
    <row r="163" spans="2:7" s="1" customFormat="1" ht="16.5" customHeight="1">
      <c r="B163" s="215"/>
      <c r="C163" s="51"/>
      <c r="D163" s="216"/>
      <c r="E163" s="51"/>
      <c r="F163" s="51"/>
      <c r="G163" s="51"/>
    </row>
    <row r="164" spans="2:7" s="1" customFormat="1" ht="16.5" customHeight="1">
      <c r="B164" s="215"/>
      <c r="C164" s="51"/>
      <c r="D164" s="216"/>
      <c r="E164" s="51"/>
      <c r="F164" s="51"/>
      <c r="G164" s="51"/>
    </row>
    <row r="165" spans="2:7" s="1" customFormat="1" ht="16.5" customHeight="1">
      <c r="B165" s="215"/>
      <c r="C165" s="51"/>
      <c r="D165" s="216"/>
      <c r="E165" s="51"/>
      <c r="F165" s="51"/>
      <c r="G165" s="51"/>
    </row>
    <row r="166" spans="2:7" s="1" customFormat="1" ht="16.5" customHeight="1">
      <c r="B166" s="212" t="s">
        <v>1</v>
      </c>
      <c r="C166" s="213"/>
      <c r="D166" s="214">
        <f>SUBTOTAL(109,ExpApr133146159172185[Amount])</f>
        <v>0</v>
      </c>
      <c r="E166" s="213"/>
      <c r="F166" s="213"/>
      <c r="G166" s="212"/>
    </row>
    <row r="168" spans="2:7" s="1" customFormat="1" ht="27" customHeight="1">
      <c r="B168" s="205" t="s">
        <v>169</v>
      </c>
      <c r="C168" s="117"/>
      <c r="D168" s="117"/>
      <c r="E168" s="117"/>
      <c r="F168" s="117"/>
      <c r="G168" s="117"/>
    </row>
    <row r="169" spans="2:7" s="1" customFormat="1" ht="16.5" customHeight="1">
      <c r="B169" s="117"/>
      <c r="C169" s="117"/>
      <c r="D169" s="117"/>
      <c r="E169" s="117"/>
      <c r="F169" s="117"/>
      <c r="G169" s="117"/>
    </row>
    <row r="170" spans="2:7" s="1" customFormat="1" ht="16.5" customHeight="1">
      <c r="B170" s="206" t="s">
        <v>50</v>
      </c>
      <c r="C170" s="207" t="s">
        <v>71</v>
      </c>
      <c r="D170" s="206" t="s">
        <v>48</v>
      </c>
      <c r="E170" s="207" t="s">
        <v>47</v>
      </c>
      <c r="F170" s="207" t="s">
        <v>660</v>
      </c>
      <c r="G170" s="206" t="s">
        <v>45</v>
      </c>
    </row>
    <row r="171" spans="2:7" s="1" customFormat="1" ht="16.5" customHeight="1">
      <c r="B171" s="25"/>
      <c r="C171" s="51"/>
      <c r="D171" s="211"/>
      <c r="E171" s="51"/>
      <c r="F171" s="51"/>
      <c r="G171" s="27"/>
    </row>
    <row r="172" spans="2:7" s="1" customFormat="1" ht="16.5" customHeight="1">
      <c r="B172" s="25"/>
      <c r="C172" s="51"/>
      <c r="D172" s="211"/>
      <c r="E172" s="51"/>
      <c r="F172" s="51"/>
      <c r="G172" s="27"/>
    </row>
    <row r="173" spans="2:7" s="1" customFormat="1" ht="16.5" customHeight="1">
      <c r="B173" s="25"/>
      <c r="C173" s="51"/>
      <c r="D173" s="211"/>
      <c r="E173" s="51"/>
      <c r="F173" s="51"/>
      <c r="G173" s="27"/>
    </row>
    <row r="174" spans="2:7" s="1" customFormat="1" ht="16.5" customHeight="1">
      <c r="B174" s="25"/>
      <c r="C174" s="51"/>
      <c r="D174" s="211"/>
      <c r="E174" s="51"/>
      <c r="F174" s="51"/>
      <c r="G174" s="27"/>
    </row>
    <row r="175" spans="2:7" s="1" customFormat="1" ht="16.5" customHeight="1">
      <c r="B175" s="25"/>
      <c r="C175" s="51"/>
      <c r="D175" s="211"/>
      <c r="E175" s="51"/>
      <c r="F175" s="51"/>
      <c r="G175" s="27"/>
    </row>
    <row r="176" spans="2:7" s="1" customFormat="1" ht="16.5" customHeight="1">
      <c r="B176" s="25"/>
      <c r="C176" s="51"/>
      <c r="D176" s="211"/>
      <c r="E176" s="51"/>
      <c r="F176" s="51"/>
      <c r="G176" s="27"/>
    </row>
    <row r="177" spans="2:7" s="1" customFormat="1" ht="16.5" customHeight="1">
      <c r="B177" s="25"/>
      <c r="C177" s="51"/>
      <c r="D177" s="211"/>
      <c r="E177" s="51"/>
      <c r="F177" s="51"/>
      <c r="G177" s="27"/>
    </row>
    <row r="178" spans="2:7" s="1" customFormat="1" ht="16.5" customHeight="1">
      <c r="B178" s="25"/>
      <c r="C178" s="51"/>
      <c r="D178" s="211"/>
      <c r="E178" s="51"/>
      <c r="F178" s="51"/>
      <c r="G178" s="27"/>
    </row>
    <row r="179" spans="2:7" s="1" customFormat="1" ht="16.5" customHeight="1">
      <c r="B179" s="25"/>
      <c r="C179" s="51"/>
      <c r="D179" s="211"/>
      <c r="E179" s="51"/>
      <c r="F179" s="51"/>
      <c r="G179" s="27"/>
    </row>
    <row r="180" spans="2:7" s="1" customFormat="1" ht="16.5" customHeight="1">
      <c r="B180" s="25"/>
      <c r="C180" s="51"/>
      <c r="D180" s="211"/>
      <c r="E180" s="51"/>
      <c r="F180" s="51"/>
      <c r="G180" s="27"/>
    </row>
    <row r="181" spans="2:7" s="1" customFormat="1" ht="16.5" customHeight="1">
      <c r="B181" s="25"/>
      <c r="C181" s="51"/>
      <c r="D181" s="211"/>
      <c r="E181" s="51"/>
      <c r="F181" s="51"/>
      <c r="G181" s="27"/>
    </row>
    <row r="182" spans="2:7" s="1" customFormat="1" ht="16.5" customHeight="1">
      <c r="B182" s="25"/>
      <c r="C182" s="51"/>
      <c r="D182" s="211"/>
      <c r="E182" s="51"/>
      <c r="F182" s="51"/>
      <c r="G182" s="27"/>
    </row>
    <row r="183" spans="2:7" s="1" customFormat="1" ht="16.5" customHeight="1">
      <c r="B183" s="224" t="s">
        <v>1</v>
      </c>
      <c r="C183" s="225"/>
      <c r="D183" s="226">
        <f>SUBTOTAL(109,ExpMay134147160173186[Amount])</f>
        <v>0</v>
      </c>
      <c r="E183" s="225"/>
      <c r="F183" s="225"/>
      <c r="G183" s="224"/>
    </row>
    <row r="185" spans="2:7" s="1" customFormat="1" ht="25.5" customHeight="1">
      <c r="B185" s="205" t="s">
        <v>170</v>
      </c>
      <c r="C185" s="117"/>
      <c r="D185" s="117"/>
      <c r="E185" s="117"/>
      <c r="F185" s="117"/>
      <c r="G185" s="117"/>
    </row>
    <row r="186" spans="2:7" s="1" customFormat="1" ht="16.5" customHeight="1">
      <c r="B186" s="117"/>
      <c r="C186" s="117"/>
      <c r="D186" s="117"/>
      <c r="E186" s="117"/>
      <c r="F186" s="117"/>
      <c r="G186" s="117"/>
    </row>
    <row r="187" spans="2:7" s="1" customFormat="1" ht="16.5" customHeight="1">
      <c r="B187" s="206" t="s">
        <v>50</v>
      </c>
      <c r="C187" s="207" t="s">
        <v>155</v>
      </c>
      <c r="D187" s="206" t="s">
        <v>48</v>
      </c>
      <c r="E187" s="207" t="s">
        <v>47</v>
      </c>
      <c r="F187" s="207" t="s">
        <v>660</v>
      </c>
      <c r="G187" s="206" t="s">
        <v>45</v>
      </c>
    </row>
    <row r="188" spans="2:7" s="1" customFormat="1" ht="16.5" customHeight="1">
      <c r="B188" s="215"/>
      <c r="C188" s="51"/>
      <c r="D188" s="216"/>
      <c r="E188" s="51"/>
      <c r="F188" s="51"/>
      <c r="G188" s="51"/>
    </row>
    <row r="189" spans="2:7" s="1" customFormat="1" ht="16.5" customHeight="1">
      <c r="B189" s="215"/>
      <c r="C189" s="51"/>
      <c r="D189" s="216"/>
      <c r="E189" s="51"/>
      <c r="F189" s="51"/>
      <c r="G189" s="51"/>
    </row>
    <row r="190" spans="2:7" s="1" customFormat="1" ht="16.5" customHeight="1">
      <c r="B190" s="215"/>
      <c r="C190" s="51"/>
      <c r="D190" s="216"/>
      <c r="E190" s="51"/>
      <c r="F190" s="51"/>
      <c r="G190" s="51"/>
    </row>
    <row r="191" spans="2:7" s="1" customFormat="1" ht="16.5" customHeight="1">
      <c r="B191" s="215"/>
      <c r="C191" s="51"/>
      <c r="D191" s="216"/>
      <c r="E191" s="51"/>
      <c r="F191" s="51"/>
      <c r="G191" s="51"/>
    </row>
    <row r="192" spans="2:7" s="1" customFormat="1" ht="16.5" customHeight="1">
      <c r="B192" s="215"/>
      <c r="C192" s="51"/>
      <c r="D192" s="216"/>
      <c r="E192" s="51"/>
      <c r="F192" s="51"/>
      <c r="G192" s="51"/>
    </row>
    <row r="193" spans="2:7" s="1" customFormat="1" ht="16.5" customHeight="1">
      <c r="B193" s="215"/>
      <c r="C193" s="51"/>
      <c r="D193" s="216"/>
      <c r="E193" s="51"/>
      <c r="F193" s="51"/>
      <c r="G193" s="51"/>
    </row>
    <row r="194" spans="2:7" s="1" customFormat="1" ht="16.5" customHeight="1">
      <c r="B194" s="215"/>
      <c r="C194" s="51"/>
      <c r="D194" s="216"/>
      <c r="E194" s="51"/>
      <c r="F194" s="51"/>
      <c r="G194" s="51"/>
    </row>
    <row r="195" spans="2:7" s="1" customFormat="1" ht="16.5" customHeight="1">
      <c r="B195" s="215"/>
      <c r="C195" s="51"/>
      <c r="D195" s="216"/>
      <c r="E195" s="51"/>
      <c r="F195" s="51"/>
      <c r="G195" s="51"/>
    </row>
    <row r="196" spans="2:7" s="1" customFormat="1" ht="16.5" customHeight="1">
      <c r="B196" s="215"/>
      <c r="C196" s="51"/>
      <c r="D196" s="216"/>
      <c r="E196" s="51"/>
      <c r="F196" s="51"/>
      <c r="G196" s="51"/>
    </row>
    <row r="197" spans="2:7" s="1" customFormat="1" ht="16.5" customHeight="1">
      <c r="B197" s="215"/>
      <c r="C197" s="51"/>
      <c r="D197" s="216"/>
      <c r="E197" s="51"/>
      <c r="F197" s="51"/>
      <c r="G197" s="51"/>
    </row>
    <row r="198" spans="2:7" s="1" customFormat="1" ht="16.5" customHeight="1">
      <c r="B198" s="215"/>
      <c r="C198" s="51"/>
      <c r="D198" s="216"/>
      <c r="E198" s="51"/>
      <c r="F198" s="51"/>
      <c r="G198" s="51"/>
    </row>
    <row r="199" spans="2:7" s="1" customFormat="1" ht="16.5" customHeight="1">
      <c r="B199" s="224" t="s">
        <v>1</v>
      </c>
      <c r="C199" s="225"/>
      <c r="D199" s="226">
        <f>SUBTOTAL(109,ExpJun135148161174187[Amount])</f>
        <v>0</v>
      </c>
      <c r="E199" s="225"/>
      <c r="F199" s="225"/>
      <c r="G199" s="224"/>
    </row>
  </sheetData>
  <dataValidations count="14">
    <dataValidation type="custom" errorStyle="warning" allowBlank="1" showInputMessage="1" showErrorMessage="1" errorTitle="Amount Validation" error="Amount should be a number." sqref="D5:D14 D22:D40 D46:D60 D66:D76 D82:D91 D97:D102 D108:D115 D121:D131 D137:D149 D155:D165 D171:D182 D188:D198">
      <formula1>ISNUMBER($D5)</formula1>
    </dataValidation>
    <dataValidation type="custom" errorStyle="warning" allowBlank="1" showInputMessage="1" showErrorMessage="1" errorTitle="Date Validation" error="A date in July needs be entered  in order for this expense to be added to the Summary sheet." sqref="B5:B14">
      <formula1>MONTH($B5)=7</formula1>
    </dataValidation>
    <dataValidation type="list" errorStyle="warning" allowBlank="1" showInputMessage="1" showErrorMessage="1" errorTitle="Unknown Category" error="An expense from the drop down should be selected in order for it to be included on the Summary sheet." sqref="E5:F16 E22:F40 E46:F60 E66:F76 E82:F91 E97:F102 E108:F115 E121:E131 E137:F149 E155:F165 E171:F182 E188:F198">
      <formula1>ExpenseCategories</formula1>
    </dataValidation>
    <dataValidation type="custom" errorStyle="warning" allowBlank="1" showInputMessage="1" showErrorMessage="1" errorTitle="Date Validation" error="A date in August needs be entered  in order for this expense to be added to the Summary sheet." sqref="B22:B40">
      <formula1>MONTH($B22)=8</formula1>
    </dataValidation>
    <dataValidation type="custom" errorStyle="warning" allowBlank="1" showInputMessage="1" showErrorMessage="1" errorTitle="Date Validation" error="A date in September needs be entered  in order for this expense to be added to the Summary sheet." sqref="B46:B60">
      <formula1>MONTH($B46)=9</formula1>
    </dataValidation>
    <dataValidation type="custom" errorStyle="warning" allowBlank="1" showInputMessage="1" showErrorMessage="1" errorTitle="Date Validation" error="A date in October needs be entered  in order for this expense to be added to the Summary sheet." sqref="B66:B76">
      <formula1>MONTH($B66)=10</formula1>
    </dataValidation>
    <dataValidation type="custom" errorStyle="warning" allowBlank="1" showInputMessage="1" showErrorMessage="1" errorTitle="Date Validation" error="A date in November needs be entered  in order for this expense to be added to the Summary sheet." sqref="B82:B91">
      <formula1>MONTH($B82)=11</formula1>
    </dataValidation>
    <dataValidation type="custom" errorStyle="warning" allowBlank="1" showInputMessage="1" showErrorMessage="1" errorTitle="Date Validation" error="A date in December needs be entered  in order for this expense to be added to the Summary sheet." sqref="B97:B102">
      <formula1>MONTH($B97)=12</formula1>
    </dataValidation>
    <dataValidation type="custom" errorStyle="warning" allowBlank="1" showInputMessage="1" showErrorMessage="1" errorTitle="Date Validation" error="A date in January needs be entered in order for this expense to be added to the Summary sheet." sqref="B108:B115">
      <formula1>MONTH($B108)=1</formula1>
    </dataValidation>
    <dataValidation type="custom" errorStyle="warning" allowBlank="1" showInputMessage="1" showErrorMessage="1" errorTitle="Date Validation" error="A date in February needs be entered in order for this expense to be added to the Summary sheet." sqref="B121:B131">
      <formula1>MONTH($B121)=2</formula1>
    </dataValidation>
    <dataValidation type="custom" errorStyle="warning" allowBlank="1" showInputMessage="1" showErrorMessage="1" errorTitle="Date Validation" error="A date in March needs be entered in order for this expense to be added to the Summary sheet." sqref="B137:B149">
      <formula1>MONTH($B137)=3</formula1>
    </dataValidation>
    <dataValidation type="custom" errorStyle="warning" allowBlank="1" showInputMessage="1" showErrorMessage="1" errorTitle="Date Validation" error="A date in April needs be entered  in order for this expense to be added to the Summary sheet." sqref="B155:B165">
      <formula1>MONTH($B155)=4</formula1>
    </dataValidation>
    <dataValidation type="custom" errorStyle="warning" allowBlank="1" showInputMessage="1" showErrorMessage="1" errorTitle="Date Validation" error="A date in May needs be entered  in order for this expense to be added to the Summary sheet." sqref="B171:B182">
      <formula1>MONTH($B171)=5</formula1>
    </dataValidation>
    <dataValidation type="custom" errorStyle="warning" allowBlank="1" showInputMessage="1" showErrorMessage="1" errorTitle="Date Validation" error="A date in June needs be entered  in order for this expense to be added to the Summary sheet." sqref="B188:B198">
      <formula1>MONTH($B188)=6</formula1>
    </dataValidation>
  </dataValidations>
  <printOptions horizontalCentered="1"/>
  <pageMargins left="0.25" right="0.25" top="0.75" bottom="0.75" header="0.3" footer="0.3"/>
  <pageSetup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9"/>
  <sheetViews>
    <sheetView workbookViewId="0">
      <selection activeCell="M13" sqref="A1:XFD1048576"/>
    </sheetView>
  </sheetViews>
  <sheetFormatPr defaultColWidth="9.140625" defaultRowHeight="12.75"/>
  <cols>
    <col min="1" max="1" width="16.140625" style="260" customWidth="1"/>
    <col min="2" max="2" width="13.42578125" style="260" customWidth="1"/>
    <col min="3" max="3" width="11.42578125" style="260" customWidth="1"/>
    <col min="4" max="4" width="14" style="260" customWidth="1"/>
    <col min="5" max="5" width="14.140625" style="260" customWidth="1"/>
    <col min="6" max="6" width="12.7109375" style="260" customWidth="1"/>
    <col min="7" max="7" width="13.28515625" style="260" customWidth="1"/>
    <col min="8" max="16384" width="9.140625" style="260"/>
  </cols>
  <sheetData>
    <row r="1" spans="1:7" ht="13.5" customHeight="1">
      <c r="A1" s="278" t="s">
        <v>155</v>
      </c>
      <c r="B1" s="279" t="s">
        <v>154</v>
      </c>
      <c r="C1" s="280"/>
      <c r="D1" s="279" t="s">
        <v>153</v>
      </c>
      <c r="E1" s="280"/>
      <c r="F1" s="279" t="s">
        <v>152</v>
      </c>
      <c r="G1" s="280"/>
    </row>
    <row r="2" spans="1:7" ht="22.5">
      <c r="A2" s="516"/>
      <c r="B2" s="517" t="str">
        <f t="shared" ref="B2:B39" si="0">D1</f>
        <v>Current PM Date &amp; Mileage</v>
      </c>
      <c r="C2" s="361"/>
      <c r="D2" s="518"/>
      <c r="E2" s="352"/>
      <c r="F2" s="519">
        <f t="shared" ref="F2:F39" si="1">SUM(E2-E1)</f>
        <v>0</v>
      </c>
      <c r="G2" s="520"/>
    </row>
    <row r="3" spans="1:7">
      <c r="A3" s="516"/>
      <c r="B3" s="354">
        <f t="shared" si="0"/>
        <v>0</v>
      </c>
      <c r="C3" s="355"/>
      <c r="D3" s="521" t="s">
        <v>888</v>
      </c>
      <c r="E3" s="357">
        <v>4983</v>
      </c>
      <c r="F3" s="358">
        <f t="shared" si="1"/>
        <v>4983</v>
      </c>
      <c r="G3" s="359" t="b">
        <f t="shared" ref="G3:G27" si="2">IF(F3&gt;5250,"OVER")</f>
        <v>0</v>
      </c>
    </row>
    <row r="4" spans="1:7">
      <c r="A4" s="516">
        <v>9395</v>
      </c>
      <c r="B4" s="354" t="str">
        <f t="shared" si="0"/>
        <v>10.6.15</v>
      </c>
      <c r="C4" s="355">
        <v>4983</v>
      </c>
      <c r="D4" s="521" t="s">
        <v>1376</v>
      </c>
      <c r="E4" s="357">
        <v>9953</v>
      </c>
      <c r="F4" s="358">
        <f t="shared" si="1"/>
        <v>4970</v>
      </c>
      <c r="G4" s="359" t="b">
        <f t="shared" si="2"/>
        <v>0</v>
      </c>
    </row>
    <row r="5" spans="1:7">
      <c r="A5" s="516">
        <v>9492</v>
      </c>
      <c r="B5" s="354" t="str">
        <f t="shared" si="0"/>
        <v>11.21.15</v>
      </c>
      <c r="C5" s="355">
        <v>9953</v>
      </c>
      <c r="D5" s="521" t="s">
        <v>936</v>
      </c>
      <c r="E5" s="357">
        <v>14947</v>
      </c>
      <c r="F5" s="358">
        <f t="shared" si="1"/>
        <v>4994</v>
      </c>
      <c r="G5" s="359" t="b">
        <f t="shared" si="2"/>
        <v>0</v>
      </c>
    </row>
    <row r="6" spans="1:7">
      <c r="A6" s="516">
        <v>9571</v>
      </c>
      <c r="B6" s="354" t="str">
        <f t="shared" si="0"/>
        <v>1.5.16</v>
      </c>
      <c r="C6" s="355">
        <v>14947</v>
      </c>
      <c r="D6" s="521" t="s">
        <v>1375</v>
      </c>
      <c r="E6" s="357">
        <v>19944</v>
      </c>
      <c r="F6" s="358">
        <f t="shared" si="1"/>
        <v>4997</v>
      </c>
      <c r="G6" s="359" t="b">
        <f t="shared" si="2"/>
        <v>0</v>
      </c>
    </row>
    <row r="7" spans="1:7">
      <c r="A7" s="516">
        <v>9672</v>
      </c>
      <c r="B7" s="354" t="str">
        <f t="shared" si="0"/>
        <v>2.25.16</v>
      </c>
      <c r="C7" s="355">
        <v>19944</v>
      </c>
      <c r="D7" s="521" t="s">
        <v>135</v>
      </c>
      <c r="E7" s="357">
        <v>24876</v>
      </c>
      <c r="F7" s="358">
        <f t="shared" si="1"/>
        <v>4932</v>
      </c>
      <c r="G7" s="359" t="b">
        <f t="shared" si="2"/>
        <v>0</v>
      </c>
    </row>
    <row r="8" spans="1:7">
      <c r="A8" s="516">
        <v>9728</v>
      </c>
      <c r="B8" s="354" t="str">
        <f t="shared" si="0"/>
        <v>3.29.16</v>
      </c>
      <c r="C8" s="355">
        <v>24876</v>
      </c>
      <c r="D8" s="521" t="s">
        <v>1277</v>
      </c>
      <c r="E8" s="357">
        <v>29996</v>
      </c>
      <c r="F8" s="358">
        <f t="shared" si="1"/>
        <v>5120</v>
      </c>
      <c r="G8" s="359" t="b">
        <f t="shared" si="2"/>
        <v>0</v>
      </c>
    </row>
    <row r="9" spans="1:7">
      <c r="A9" s="516">
        <v>9796</v>
      </c>
      <c r="B9" s="354" t="str">
        <f t="shared" si="0"/>
        <v>5.3.16</v>
      </c>
      <c r="C9" s="355">
        <v>29996</v>
      </c>
      <c r="D9" s="521" t="s">
        <v>465</v>
      </c>
      <c r="E9" s="357">
        <v>34969</v>
      </c>
      <c r="F9" s="358">
        <f t="shared" si="1"/>
        <v>4973</v>
      </c>
      <c r="G9" s="359" t="b">
        <f t="shared" si="2"/>
        <v>0</v>
      </c>
    </row>
    <row r="10" spans="1:7">
      <c r="A10" s="516">
        <v>9855</v>
      </c>
      <c r="B10" s="354" t="str">
        <f t="shared" si="0"/>
        <v>6.10.16</v>
      </c>
      <c r="C10" s="355">
        <v>34969</v>
      </c>
      <c r="D10" s="521" t="s">
        <v>1374</v>
      </c>
      <c r="E10" s="357">
        <v>39942</v>
      </c>
      <c r="F10" s="358">
        <f t="shared" si="1"/>
        <v>4973</v>
      </c>
      <c r="G10" s="359" t="b">
        <f t="shared" si="2"/>
        <v>0</v>
      </c>
    </row>
    <row r="11" spans="1:7">
      <c r="A11" s="516">
        <v>9935</v>
      </c>
      <c r="B11" s="354" t="str">
        <f t="shared" si="0"/>
        <v>7.27.16</v>
      </c>
      <c r="C11" s="355">
        <v>39942</v>
      </c>
      <c r="D11" s="521" t="s">
        <v>1373</v>
      </c>
      <c r="E11" s="357">
        <v>44794</v>
      </c>
      <c r="F11" s="358">
        <f t="shared" si="1"/>
        <v>4852</v>
      </c>
      <c r="G11" s="359" t="b">
        <f t="shared" si="2"/>
        <v>0</v>
      </c>
    </row>
    <row r="12" spans="1:7">
      <c r="A12" s="516">
        <v>10006</v>
      </c>
      <c r="B12" s="354" t="str">
        <f t="shared" si="0"/>
        <v>9.2.16</v>
      </c>
      <c r="C12" s="355">
        <v>44794</v>
      </c>
      <c r="D12" s="521" t="s">
        <v>1372</v>
      </c>
      <c r="E12" s="357">
        <v>49843</v>
      </c>
      <c r="F12" s="358">
        <f t="shared" si="1"/>
        <v>5049</v>
      </c>
      <c r="G12" s="359" t="b">
        <f t="shared" si="2"/>
        <v>0</v>
      </c>
    </row>
    <row r="13" spans="1:7">
      <c r="A13" s="516">
        <v>10081</v>
      </c>
      <c r="B13" s="354" t="str">
        <f t="shared" si="0"/>
        <v>10.7.16</v>
      </c>
      <c r="C13" s="355">
        <v>49843</v>
      </c>
      <c r="D13" s="521" t="s">
        <v>1371</v>
      </c>
      <c r="E13" s="357">
        <v>54932</v>
      </c>
      <c r="F13" s="358">
        <f t="shared" si="1"/>
        <v>5089</v>
      </c>
      <c r="G13" s="359" t="b">
        <f t="shared" si="2"/>
        <v>0</v>
      </c>
    </row>
    <row r="14" spans="1:7">
      <c r="A14" s="516">
        <v>10149</v>
      </c>
      <c r="B14" s="354" t="str">
        <f t="shared" si="0"/>
        <v>11.16.16</v>
      </c>
      <c r="C14" s="355">
        <v>54932</v>
      </c>
      <c r="D14" s="521" t="s">
        <v>1370</v>
      </c>
      <c r="E14" s="357">
        <v>59799</v>
      </c>
      <c r="F14" s="358">
        <f t="shared" si="1"/>
        <v>4867</v>
      </c>
      <c r="G14" s="359" t="b">
        <f t="shared" si="2"/>
        <v>0</v>
      </c>
    </row>
    <row r="15" spans="1:7">
      <c r="A15" s="516">
        <v>10207</v>
      </c>
      <c r="B15" s="354" t="str">
        <f t="shared" si="0"/>
        <v>12.23.16</v>
      </c>
      <c r="C15" s="355">
        <v>59799</v>
      </c>
      <c r="D15" s="521" t="s">
        <v>1369</v>
      </c>
      <c r="E15" s="538">
        <v>64837</v>
      </c>
      <c r="F15" s="358">
        <f t="shared" si="1"/>
        <v>5038</v>
      </c>
      <c r="G15" s="359" t="b">
        <f t="shared" si="2"/>
        <v>0</v>
      </c>
    </row>
    <row r="16" spans="1:7">
      <c r="A16" s="516">
        <v>10275</v>
      </c>
      <c r="B16" s="354" t="str">
        <f t="shared" si="0"/>
        <v>2.1.17</v>
      </c>
      <c r="C16" s="361">
        <v>64837</v>
      </c>
      <c r="D16" s="522" t="s">
        <v>1368</v>
      </c>
      <c r="E16" s="363">
        <v>69861</v>
      </c>
      <c r="F16" s="358">
        <f t="shared" si="1"/>
        <v>5024</v>
      </c>
      <c r="G16" s="359" t="b">
        <f t="shared" si="2"/>
        <v>0</v>
      </c>
    </row>
    <row r="17" spans="1:7" ht="13.5" thickBot="1">
      <c r="A17" s="523">
        <v>10365</v>
      </c>
      <c r="B17" s="354" t="str">
        <f t="shared" si="0"/>
        <v>3.20.17</v>
      </c>
      <c r="C17" s="365">
        <v>68861</v>
      </c>
      <c r="D17" s="524" t="s">
        <v>1367</v>
      </c>
      <c r="E17" s="367">
        <v>74966</v>
      </c>
      <c r="F17" s="358">
        <f t="shared" si="1"/>
        <v>5105</v>
      </c>
      <c r="G17" s="359" t="b">
        <f t="shared" si="2"/>
        <v>0</v>
      </c>
    </row>
    <row r="18" spans="1:7" ht="13.5" thickBot="1">
      <c r="A18" s="525">
        <v>10433</v>
      </c>
      <c r="B18" s="354" t="str">
        <f t="shared" si="0"/>
        <v>4.24.17</v>
      </c>
      <c r="C18" s="370">
        <v>74966</v>
      </c>
      <c r="D18" s="526" t="s">
        <v>1366</v>
      </c>
      <c r="E18" s="372">
        <v>80065</v>
      </c>
      <c r="F18" s="358">
        <f t="shared" si="1"/>
        <v>5099</v>
      </c>
      <c r="G18" s="359" t="b">
        <f t="shared" si="2"/>
        <v>0</v>
      </c>
    </row>
    <row r="19" spans="1:7">
      <c r="A19" s="527">
        <v>10514</v>
      </c>
      <c r="B19" s="354" t="str">
        <f t="shared" si="0"/>
        <v>6.8.17</v>
      </c>
      <c r="C19" s="375">
        <v>80065</v>
      </c>
      <c r="D19" s="528" t="s">
        <v>1365</v>
      </c>
      <c r="E19" s="377">
        <v>85066</v>
      </c>
      <c r="F19" s="358">
        <f t="shared" si="1"/>
        <v>5001</v>
      </c>
      <c r="G19" s="359" t="b">
        <f t="shared" si="2"/>
        <v>0</v>
      </c>
    </row>
    <row r="20" spans="1:7">
      <c r="A20" s="516">
        <v>10654</v>
      </c>
      <c r="B20" s="354" t="str">
        <f t="shared" si="0"/>
        <v>7.24.17</v>
      </c>
      <c r="C20" s="355">
        <v>85066</v>
      </c>
      <c r="D20" s="521" t="s">
        <v>1364</v>
      </c>
      <c r="E20" s="357">
        <v>90075</v>
      </c>
      <c r="F20" s="358">
        <f t="shared" si="1"/>
        <v>5009</v>
      </c>
      <c r="G20" s="359" t="b">
        <f t="shared" si="2"/>
        <v>0</v>
      </c>
    </row>
    <row r="21" spans="1:7">
      <c r="A21" s="516">
        <v>10751</v>
      </c>
      <c r="B21" s="354" t="str">
        <f t="shared" si="0"/>
        <v>8.28.17</v>
      </c>
      <c r="C21" s="355">
        <v>90075</v>
      </c>
      <c r="D21" s="521" t="s">
        <v>1363</v>
      </c>
      <c r="E21" s="357">
        <v>94868</v>
      </c>
      <c r="F21" s="358">
        <f t="shared" si="1"/>
        <v>4793</v>
      </c>
      <c r="G21" s="359" t="b">
        <f t="shared" si="2"/>
        <v>0</v>
      </c>
    </row>
    <row r="22" spans="1:7">
      <c r="A22" s="516">
        <v>10838</v>
      </c>
      <c r="B22" s="354" t="str">
        <f t="shared" si="0"/>
        <v>9.29.17</v>
      </c>
      <c r="C22" s="355">
        <v>94868</v>
      </c>
      <c r="D22" s="521"/>
      <c r="E22" s="357"/>
      <c r="F22" s="358">
        <f t="shared" si="1"/>
        <v>-94868</v>
      </c>
      <c r="G22" s="359" t="b">
        <f t="shared" si="2"/>
        <v>0</v>
      </c>
    </row>
    <row r="23" spans="1:7">
      <c r="A23" s="516"/>
      <c r="B23" s="354">
        <f t="shared" si="0"/>
        <v>0</v>
      </c>
      <c r="C23" s="355"/>
      <c r="D23" s="521"/>
      <c r="E23" s="357"/>
      <c r="F23" s="358">
        <f t="shared" si="1"/>
        <v>0</v>
      </c>
      <c r="G23" s="359" t="b">
        <f t="shared" si="2"/>
        <v>0</v>
      </c>
    </row>
    <row r="24" spans="1:7">
      <c r="A24" s="516"/>
      <c r="B24" s="354">
        <f t="shared" si="0"/>
        <v>0</v>
      </c>
      <c r="C24" s="355"/>
      <c r="D24" s="521"/>
      <c r="E24" s="357"/>
      <c r="F24" s="358">
        <f t="shared" si="1"/>
        <v>0</v>
      </c>
      <c r="G24" s="359" t="b">
        <f t="shared" si="2"/>
        <v>0</v>
      </c>
    </row>
    <row r="25" spans="1:7">
      <c r="A25" s="516"/>
      <c r="B25" s="354">
        <f t="shared" si="0"/>
        <v>0</v>
      </c>
      <c r="C25" s="355"/>
      <c r="D25" s="521"/>
      <c r="E25" s="357"/>
      <c r="F25" s="358">
        <f t="shared" si="1"/>
        <v>0</v>
      </c>
      <c r="G25" s="359" t="b">
        <f t="shared" si="2"/>
        <v>0</v>
      </c>
    </row>
    <row r="26" spans="1:7">
      <c r="A26" s="516"/>
      <c r="B26" s="354">
        <f t="shared" si="0"/>
        <v>0</v>
      </c>
      <c r="C26" s="355"/>
      <c r="D26" s="521"/>
      <c r="E26" s="357"/>
      <c r="F26" s="358">
        <f t="shared" si="1"/>
        <v>0</v>
      </c>
      <c r="G26" s="359" t="b">
        <f t="shared" si="2"/>
        <v>0</v>
      </c>
    </row>
    <row r="27" spans="1:7">
      <c r="A27" s="516"/>
      <c r="B27" s="354">
        <f t="shared" si="0"/>
        <v>0</v>
      </c>
      <c r="C27" s="355"/>
      <c r="D27" s="521"/>
      <c r="E27" s="357"/>
      <c r="F27" s="358">
        <f t="shared" si="1"/>
        <v>0</v>
      </c>
      <c r="G27" s="359" t="b">
        <f t="shared" si="2"/>
        <v>0</v>
      </c>
    </row>
    <row r="28" spans="1:7">
      <c r="A28" s="516"/>
      <c r="B28" s="354">
        <f t="shared" si="0"/>
        <v>0</v>
      </c>
      <c r="C28" s="355"/>
      <c r="D28" s="521"/>
      <c r="E28" s="357"/>
      <c r="F28" s="358">
        <f t="shared" si="1"/>
        <v>0</v>
      </c>
      <c r="G28" s="359"/>
    </row>
    <row r="29" spans="1:7">
      <c r="A29" s="516"/>
      <c r="B29" s="354">
        <f t="shared" si="0"/>
        <v>0</v>
      </c>
      <c r="C29" s="355"/>
      <c r="D29" s="521"/>
      <c r="E29" s="357"/>
      <c r="F29" s="358">
        <f t="shared" si="1"/>
        <v>0</v>
      </c>
      <c r="G29" s="359"/>
    </row>
    <row r="30" spans="1:7">
      <c r="A30" s="516"/>
      <c r="B30" s="354">
        <f t="shared" si="0"/>
        <v>0</v>
      </c>
      <c r="C30" s="355"/>
      <c r="D30" s="521"/>
      <c r="E30" s="357"/>
      <c r="F30" s="358">
        <f t="shared" si="1"/>
        <v>0</v>
      </c>
      <c r="G30" s="359"/>
    </row>
    <row r="31" spans="1:7">
      <c r="A31" s="516"/>
      <c r="B31" s="354">
        <f t="shared" si="0"/>
        <v>0</v>
      </c>
      <c r="C31" s="355"/>
      <c r="D31" s="521"/>
      <c r="E31" s="357"/>
      <c r="F31" s="358">
        <f t="shared" si="1"/>
        <v>0</v>
      </c>
      <c r="G31" s="359"/>
    </row>
    <row r="32" spans="1:7">
      <c r="A32" s="516"/>
      <c r="B32" s="354">
        <f t="shared" si="0"/>
        <v>0</v>
      </c>
      <c r="C32" s="355"/>
      <c r="D32" s="521"/>
      <c r="E32" s="357"/>
      <c r="F32" s="358">
        <f t="shared" si="1"/>
        <v>0</v>
      </c>
      <c r="G32" s="359"/>
    </row>
    <row r="33" spans="1:7">
      <c r="A33" s="516"/>
      <c r="B33" s="354">
        <f t="shared" si="0"/>
        <v>0</v>
      </c>
      <c r="C33" s="355"/>
      <c r="D33" s="521"/>
      <c r="E33" s="357"/>
      <c r="F33" s="358">
        <f t="shared" si="1"/>
        <v>0</v>
      </c>
      <c r="G33" s="359"/>
    </row>
    <row r="34" spans="1:7">
      <c r="A34" s="516"/>
      <c r="B34" s="354">
        <f t="shared" si="0"/>
        <v>0</v>
      </c>
      <c r="C34" s="355"/>
      <c r="D34" s="521"/>
      <c r="E34" s="357"/>
      <c r="F34" s="358">
        <f t="shared" si="1"/>
        <v>0</v>
      </c>
      <c r="G34" s="359"/>
    </row>
    <row r="35" spans="1:7">
      <c r="A35" s="516"/>
      <c r="B35" s="354">
        <f t="shared" si="0"/>
        <v>0</v>
      </c>
      <c r="C35" s="355"/>
      <c r="D35" s="521"/>
      <c r="E35" s="357"/>
      <c r="F35" s="358">
        <f t="shared" si="1"/>
        <v>0</v>
      </c>
      <c r="G35" s="359"/>
    </row>
    <row r="36" spans="1:7">
      <c r="A36" s="516"/>
      <c r="B36" s="354">
        <f t="shared" si="0"/>
        <v>0</v>
      </c>
      <c r="C36" s="355"/>
      <c r="D36" s="521"/>
      <c r="E36" s="357"/>
      <c r="F36" s="358">
        <f t="shared" si="1"/>
        <v>0</v>
      </c>
      <c r="G36" s="359"/>
    </row>
    <row r="37" spans="1:7">
      <c r="A37" s="516"/>
      <c r="B37" s="354">
        <f t="shared" si="0"/>
        <v>0</v>
      </c>
      <c r="C37" s="355"/>
      <c r="D37" s="521"/>
      <c r="E37" s="357"/>
      <c r="F37" s="358">
        <f t="shared" si="1"/>
        <v>0</v>
      </c>
      <c r="G37" s="359"/>
    </row>
    <row r="38" spans="1:7">
      <c r="A38" s="516"/>
      <c r="B38" s="354">
        <f t="shared" si="0"/>
        <v>0</v>
      </c>
      <c r="C38" s="355"/>
      <c r="D38" s="521"/>
      <c r="E38" s="357"/>
      <c r="F38" s="358">
        <f t="shared" si="1"/>
        <v>0</v>
      </c>
      <c r="G38" s="359"/>
    </row>
    <row r="39" spans="1:7">
      <c r="A39" s="516"/>
      <c r="B39" s="354">
        <f t="shared" si="0"/>
        <v>0</v>
      </c>
      <c r="C39" s="355"/>
      <c r="D39" s="521"/>
      <c r="E39" s="357"/>
      <c r="F39" s="358">
        <f t="shared" si="1"/>
        <v>0</v>
      </c>
      <c r="G39" s="359"/>
    </row>
  </sheetData>
  <mergeCells count="3">
    <mergeCell ref="B1:C1"/>
    <mergeCell ref="D1:E1"/>
    <mergeCell ref="F1:G1"/>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Q21"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'[8]Projected Maint Practices'!Q7</f>
        <v>4913</v>
      </c>
      <c r="D6" s="264">
        <f>'[8]True Maint Practices'!Q7</f>
        <v>2827</v>
      </c>
    </row>
    <row r="7" spans="1:6" ht="15">
      <c r="B7" s="263">
        <v>2</v>
      </c>
      <c r="C7" s="264">
        <f>'[8]Projected Maint Practices'!Q8</f>
        <v>4913</v>
      </c>
      <c r="D7" s="264">
        <f>'[8]True Maint Practices'!Q8</f>
        <v>2499</v>
      </c>
    </row>
    <row r="8" spans="1:6" ht="15">
      <c r="B8" s="263">
        <v>3</v>
      </c>
      <c r="C8" s="264">
        <f>'[8]Projected Maint Practices'!Q9</f>
        <v>4913</v>
      </c>
      <c r="D8" s="264">
        <f>'[8]True Maint Practices'!Q9</f>
        <v>3530.5</v>
      </c>
    </row>
    <row r="9" spans="1:6" ht="15">
      <c r="B9" s="263">
        <v>4</v>
      </c>
      <c r="C9" s="264">
        <f>'[8]Projected Maint Practices'!Q10</f>
        <v>4913</v>
      </c>
      <c r="D9" s="264">
        <f>'[8]True Maint Practices'!Q10</f>
        <v>2735</v>
      </c>
    </row>
    <row r="10" spans="1:6" ht="15">
      <c r="B10" s="263">
        <v>5</v>
      </c>
      <c r="C10" s="264">
        <f>'[8]Projected Maint Practices'!Q11</f>
        <v>17239.669999999998</v>
      </c>
      <c r="D10" s="264">
        <f>'[8]True Maint Practices'!Q11</f>
        <v>0</v>
      </c>
    </row>
    <row r="11" spans="1:6" ht="15">
      <c r="B11" s="263">
        <v>6</v>
      </c>
      <c r="C11" s="264">
        <f>'[8]Projected Maint Practices'!Q12</f>
        <v>4913</v>
      </c>
      <c r="D11" s="264">
        <f>'[8]True Maint Practices'!Q12</f>
        <v>0</v>
      </c>
    </row>
    <row r="12" spans="1:6" ht="15">
      <c r="B12" s="263">
        <v>7</v>
      </c>
      <c r="C12" s="264">
        <f>'[8]Projected Maint Practices'!Q13</f>
        <v>4913</v>
      </c>
      <c r="D12" s="264">
        <f>'[8]True Maint Practices'!Q13</f>
        <v>0</v>
      </c>
    </row>
    <row r="13" spans="1:6" ht="15">
      <c r="B13" s="263">
        <v>8</v>
      </c>
      <c r="C13" s="264">
        <f>'[8]Projected Maint Practices'!Q14</f>
        <v>4913</v>
      </c>
      <c r="D13" s="264">
        <f>'[8]True Maint Practices'!Q14</f>
        <v>0</v>
      </c>
    </row>
    <row r="14" spans="1:6" ht="15">
      <c r="B14" s="263">
        <v>9</v>
      </c>
      <c r="C14" s="264">
        <f>'[8]Projected Maint Practices'!Q15</f>
        <v>4913</v>
      </c>
      <c r="D14" s="264">
        <f>'[8]True Maint Practices'!Q15</f>
        <v>0</v>
      </c>
    </row>
    <row r="15" spans="1:6" ht="15">
      <c r="B15" s="263">
        <v>10</v>
      </c>
      <c r="C15" s="264">
        <f>'[8]Projected Maint Practices'!Q16</f>
        <v>4913</v>
      </c>
      <c r="D15" s="264">
        <f>'[8]True Maint Practices'!Q16</f>
        <v>0</v>
      </c>
    </row>
    <row r="16" spans="1:6" ht="15">
      <c r="B16" s="263">
        <v>11</v>
      </c>
      <c r="C16" s="264">
        <f>'[8]Projected Maint Practices'!Q17</f>
        <v>4913</v>
      </c>
      <c r="D16" s="264">
        <f>'[8]True Maint Practices'!Q17</f>
        <v>0</v>
      </c>
    </row>
    <row r="17" spans="2:4" ht="15">
      <c r="B17" s="263">
        <v>12</v>
      </c>
      <c r="C17" s="264">
        <f>'[8]Projected Maint Practices'!Q18</f>
        <v>4913</v>
      </c>
      <c r="D17" s="264">
        <f>'[8]True Maint Practices'!Q18</f>
        <v>0</v>
      </c>
    </row>
    <row r="18" spans="2:4" ht="15">
      <c r="B18" s="260" t="s">
        <v>1</v>
      </c>
      <c r="C18" s="264">
        <f>SUM(C6:C17)</f>
        <v>71282.67</v>
      </c>
      <c r="D18" s="264">
        <f>SUM(D6:D17)</f>
        <v>11591.5</v>
      </c>
    </row>
  </sheetData>
  <printOptions horizontalCentered="1" verticalCentered="1"/>
  <pageMargins left="0.5" right="0.5" top="0.75" bottom="0.75" header="0.5" footer="0.5"/>
  <pageSetup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3"/>
  <sheetViews>
    <sheetView showGridLines="0" zoomScaleNormal="100" workbookViewId="0">
      <selection activeCell="N71" sqref="A1:XFD1048576"/>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s="1" customFormat="1" ht="16.5" customHeight="1">
      <c r="B1" s="43"/>
      <c r="C1" s="43"/>
      <c r="D1" s="43"/>
      <c r="E1" s="43"/>
      <c r="F1" s="43"/>
      <c r="G1" s="43"/>
      <c r="H1" s="43"/>
      <c r="I1" s="43"/>
      <c r="J1" s="43"/>
      <c r="K1" s="43"/>
      <c r="L1" s="43"/>
      <c r="M1" s="43"/>
      <c r="N1" s="43"/>
      <c r="O1" s="43"/>
      <c r="P1" s="43"/>
    </row>
    <row r="2" spans="2:22" s="1" customFormat="1" ht="31.5" customHeight="1">
      <c r="B2" s="404" t="s">
        <v>1807</v>
      </c>
      <c r="C2" s="43"/>
      <c r="D2" s="43"/>
      <c r="E2" s="43"/>
      <c r="F2" s="43"/>
      <c r="G2" s="43"/>
      <c r="H2" s="43"/>
      <c r="I2" s="43"/>
      <c r="J2" s="43"/>
      <c r="K2" s="43"/>
      <c r="L2" s="43"/>
      <c r="M2" s="43"/>
      <c r="N2" s="43"/>
      <c r="O2" s="43" t="s">
        <v>233</v>
      </c>
      <c r="P2" s="43"/>
    </row>
    <row r="3" spans="2:22" s="1" customFormat="1" ht="16.5" customHeight="1">
      <c r="B3" s="43"/>
      <c r="C3" s="43"/>
      <c r="D3" s="43"/>
      <c r="E3" s="43"/>
      <c r="F3" s="43"/>
      <c r="G3" s="43"/>
      <c r="H3" s="43"/>
      <c r="I3" s="43"/>
      <c r="J3" s="43"/>
      <c r="K3" s="43"/>
      <c r="L3" s="43"/>
      <c r="M3" s="43"/>
      <c r="N3" s="43"/>
      <c r="O3" s="43"/>
      <c r="P3" s="43"/>
    </row>
    <row r="12" spans="2:22" s="1" customFormat="1" ht="16.5" customHeight="1">
      <c r="V12" s="1" t="s">
        <v>32</v>
      </c>
    </row>
    <row r="18" spans="2:16" s="1" customFormat="1"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s="1" customFormat="1" ht="16.5" customHeight="1">
      <c r="B19" s="101" t="s">
        <v>17</v>
      </c>
      <c r="C19" s="8"/>
      <c r="D19" s="8"/>
      <c r="E19" s="8"/>
      <c r="F19" s="8"/>
      <c r="G19" s="8"/>
      <c r="H19" s="8"/>
      <c r="I19" s="8">
        <v>204.3</v>
      </c>
      <c r="J19" s="8">
        <v>291.79000000000002</v>
      </c>
      <c r="K19" s="8"/>
      <c r="L19" s="8">
        <v>158.11000000000001</v>
      </c>
      <c r="M19" s="30"/>
      <c r="N19" s="8"/>
      <c r="O19" s="4">
        <f t="shared" ref="O19:O38" si="0">SUM(C19:N19)</f>
        <v>654.20000000000005</v>
      </c>
      <c r="P19" s="102"/>
    </row>
    <row r="20" spans="2:16" s="1" customFormat="1" ht="16.5" customHeight="1">
      <c r="B20" s="101" t="s">
        <v>16</v>
      </c>
      <c r="C20" s="8"/>
      <c r="D20" s="8"/>
      <c r="E20" s="8"/>
      <c r="F20" s="8"/>
      <c r="G20" s="8"/>
      <c r="H20" s="8"/>
      <c r="I20" s="8"/>
      <c r="J20" s="8" t="s">
        <v>1425</v>
      </c>
      <c r="K20" s="8"/>
      <c r="L20" s="8"/>
      <c r="M20" s="30"/>
      <c r="N20" s="8"/>
      <c r="O20" s="4">
        <f t="shared" si="0"/>
        <v>0</v>
      </c>
      <c r="P20" s="102"/>
    </row>
    <row r="21" spans="2:16" s="1" customFormat="1" ht="16.5" customHeight="1">
      <c r="B21" s="101" t="s">
        <v>15</v>
      </c>
      <c r="C21" s="8"/>
      <c r="D21" s="8"/>
      <c r="E21" s="8"/>
      <c r="F21" s="8"/>
      <c r="G21" s="8"/>
      <c r="H21" s="8"/>
      <c r="I21" s="8"/>
      <c r="J21" s="8"/>
      <c r="K21" s="8"/>
      <c r="L21" s="8"/>
      <c r="M21" s="30"/>
      <c r="N21" s="8"/>
      <c r="O21" s="4">
        <f t="shared" si="0"/>
        <v>0</v>
      </c>
      <c r="P21" s="102"/>
    </row>
    <row r="22" spans="2:16" s="1" customFormat="1" ht="16.5" customHeight="1">
      <c r="B22" s="101" t="s">
        <v>14</v>
      </c>
      <c r="C22" s="8"/>
      <c r="D22" s="8"/>
      <c r="E22" s="8"/>
      <c r="F22" s="8"/>
      <c r="G22" s="8"/>
      <c r="H22" s="8"/>
      <c r="I22" s="8"/>
      <c r="J22" s="8"/>
      <c r="K22" s="8"/>
      <c r="L22" s="8"/>
      <c r="M22" s="30"/>
      <c r="N22" s="8"/>
      <c r="O22" s="4">
        <f t="shared" si="0"/>
        <v>0</v>
      </c>
      <c r="P22" s="102"/>
    </row>
    <row r="23" spans="2:16" s="1" customFormat="1" ht="16.5" customHeight="1">
      <c r="B23" s="101" t="s">
        <v>13</v>
      </c>
      <c r="C23" s="8"/>
      <c r="D23" s="8"/>
      <c r="E23" s="8"/>
      <c r="F23" s="8"/>
      <c r="G23" s="8"/>
      <c r="H23" s="8"/>
      <c r="I23" s="8"/>
      <c r="J23" s="8"/>
      <c r="K23" s="8"/>
      <c r="L23" s="8"/>
      <c r="M23" s="30"/>
      <c r="N23" s="8"/>
      <c r="O23" s="4">
        <f t="shared" si="0"/>
        <v>0</v>
      </c>
      <c r="P23" s="102"/>
    </row>
    <row r="24" spans="2:16" s="1" customFormat="1" ht="16.5" customHeight="1">
      <c r="B24" s="103" t="s">
        <v>12</v>
      </c>
      <c r="C24" s="17"/>
      <c r="D24" s="17"/>
      <c r="E24" s="17"/>
      <c r="F24" s="17"/>
      <c r="G24" s="17"/>
      <c r="H24" s="17"/>
      <c r="I24" s="17"/>
      <c r="J24" s="17"/>
      <c r="K24" s="17"/>
      <c r="L24" s="17"/>
      <c r="M24" s="35"/>
      <c r="N24" s="17"/>
      <c r="O24" s="4">
        <f t="shared" si="0"/>
        <v>0</v>
      </c>
      <c r="P24" s="102"/>
    </row>
    <row r="25" spans="2:16" s="1" customFormat="1" ht="16.5" customHeight="1">
      <c r="B25" s="103" t="s">
        <v>11</v>
      </c>
      <c r="C25" s="17"/>
      <c r="D25" s="17"/>
      <c r="E25" s="17"/>
      <c r="F25" s="17"/>
      <c r="G25" s="17"/>
      <c r="H25" s="17"/>
      <c r="I25" s="17"/>
      <c r="J25" s="17"/>
      <c r="K25" s="17"/>
      <c r="L25" s="17"/>
      <c r="M25" s="35"/>
      <c r="N25" s="17"/>
      <c r="O25" s="4">
        <f t="shared" si="0"/>
        <v>0</v>
      </c>
      <c r="P25" s="102"/>
    </row>
    <row r="26" spans="2:16" s="1" customFormat="1" ht="16.5" customHeight="1">
      <c r="B26" s="103" t="s">
        <v>10</v>
      </c>
      <c r="C26" s="17"/>
      <c r="D26" s="17"/>
      <c r="E26" s="17"/>
      <c r="F26" s="17"/>
      <c r="G26" s="17"/>
      <c r="H26" s="17"/>
      <c r="I26" s="17"/>
      <c r="J26" s="17"/>
      <c r="K26" s="17"/>
      <c r="L26" s="17"/>
      <c r="M26" s="35"/>
      <c r="N26" s="17"/>
      <c r="O26" s="4">
        <f t="shared" si="0"/>
        <v>0</v>
      </c>
      <c r="P26" s="102"/>
    </row>
    <row r="27" spans="2:16" s="1" customFormat="1" ht="16.5" customHeight="1">
      <c r="B27" s="103" t="s">
        <v>9</v>
      </c>
      <c r="C27" s="17"/>
      <c r="D27" s="17"/>
      <c r="E27" s="17"/>
      <c r="F27" s="17"/>
      <c r="G27" s="17"/>
      <c r="H27" s="17"/>
      <c r="I27" s="17"/>
      <c r="J27" s="17">
        <v>25.49</v>
      </c>
      <c r="K27" s="17"/>
      <c r="L27" s="17"/>
      <c r="M27" s="35"/>
      <c r="N27" s="17"/>
      <c r="O27" s="4">
        <f t="shared" si="0"/>
        <v>25.49</v>
      </c>
      <c r="P27" s="102"/>
    </row>
    <row r="28" spans="2:16" s="1" customFormat="1" ht="16.5" hidden="1" customHeight="1">
      <c r="B28" s="103"/>
      <c r="C28" s="15"/>
      <c r="D28" s="15"/>
      <c r="E28" s="15"/>
      <c r="F28" s="15"/>
      <c r="G28" s="15"/>
      <c r="H28" s="15"/>
      <c r="I28" s="15"/>
      <c r="J28" s="15"/>
      <c r="K28" s="15"/>
      <c r="L28" s="15"/>
      <c r="M28" s="16"/>
      <c r="N28" s="15"/>
      <c r="O28" s="4">
        <f t="shared" si="0"/>
        <v>0</v>
      </c>
      <c r="P28" s="102"/>
    </row>
    <row r="29" spans="2:16" s="1" customFormat="1" ht="16.5" hidden="1" customHeight="1">
      <c r="B29" s="103"/>
      <c r="C29" s="15"/>
      <c r="D29" s="15"/>
      <c r="E29" s="15"/>
      <c r="F29" s="15"/>
      <c r="G29" s="15"/>
      <c r="H29" s="15"/>
      <c r="I29" s="15"/>
      <c r="J29" s="15"/>
      <c r="K29" s="15"/>
      <c r="L29" s="15"/>
      <c r="M29" s="16"/>
      <c r="N29" s="15"/>
      <c r="O29" s="4">
        <f t="shared" si="0"/>
        <v>0</v>
      </c>
      <c r="P29" s="102"/>
    </row>
    <row r="30" spans="2:16" s="1" customFormat="1" ht="16.5" hidden="1" customHeight="1">
      <c r="B30" s="103"/>
      <c r="C30" s="15"/>
      <c r="D30" s="15"/>
      <c r="E30" s="15"/>
      <c r="F30" s="15"/>
      <c r="G30" s="15"/>
      <c r="H30" s="15"/>
      <c r="I30" s="15"/>
      <c r="J30" s="15"/>
      <c r="K30" s="15"/>
      <c r="L30" s="15"/>
      <c r="M30" s="16"/>
      <c r="N30" s="15"/>
      <c r="O30" s="4">
        <f t="shared" si="0"/>
        <v>0</v>
      </c>
      <c r="P30" s="102"/>
    </row>
    <row r="31" spans="2:16" s="1" customFormat="1" ht="16.5" hidden="1" customHeight="1">
      <c r="B31" s="103"/>
      <c r="C31" s="15"/>
      <c r="D31" s="15"/>
      <c r="E31" s="15"/>
      <c r="F31" s="15"/>
      <c r="G31" s="15"/>
      <c r="H31" s="15"/>
      <c r="I31" s="15"/>
      <c r="J31" s="15"/>
      <c r="K31" s="15"/>
      <c r="L31" s="15"/>
      <c r="M31" s="16"/>
      <c r="N31" s="15"/>
      <c r="O31" s="4">
        <f t="shared" si="0"/>
        <v>0</v>
      </c>
      <c r="P31" s="102"/>
    </row>
    <row r="32" spans="2:16" s="1" customFormat="1" ht="16.5" customHeight="1">
      <c r="B32" s="103" t="s">
        <v>8</v>
      </c>
      <c r="C32" s="4"/>
      <c r="D32" s="4"/>
      <c r="E32" s="4"/>
      <c r="F32" s="4"/>
      <c r="G32" s="4"/>
      <c r="H32" s="4"/>
      <c r="I32" s="4"/>
      <c r="J32" s="4"/>
      <c r="K32" s="4"/>
      <c r="L32" s="4"/>
      <c r="M32" s="33"/>
      <c r="N32" s="4"/>
      <c r="O32" s="4">
        <f t="shared" si="0"/>
        <v>0</v>
      </c>
      <c r="P32" s="102"/>
    </row>
    <row r="33" spans="2:18" s="1" customFormat="1" ht="16.5" customHeight="1">
      <c r="B33" s="103" t="s">
        <v>7</v>
      </c>
      <c r="C33" s="12"/>
      <c r="D33" s="12"/>
      <c r="E33" s="12"/>
      <c r="F33" s="12"/>
      <c r="G33" s="12"/>
      <c r="H33" s="12"/>
      <c r="I33" s="12"/>
      <c r="J33" s="12"/>
      <c r="K33" s="12"/>
      <c r="L33" s="12"/>
      <c r="M33" s="32"/>
      <c r="N33" s="12"/>
      <c r="O33" s="4">
        <f t="shared" si="0"/>
        <v>0</v>
      </c>
      <c r="P33" s="102"/>
    </row>
    <row r="34" spans="2:18" s="1" customFormat="1" ht="16.5" customHeight="1">
      <c r="B34" s="103" t="s">
        <v>6</v>
      </c>
      <c r="C34" s="41"/>
      <c r="D34" s="41"/>
      <c r="E34" s="41"/>
      <c r="F34" s="41"/>
      <c r="G34" s="41"/>
      <c r="H34" s="41"/>
      <c r="I34" s="41"/>
      <c r="J34" s="41">
        <v>329.61</v>
      </c>
      <c r="K34" s="41"/>
      <c r="L34" s="41"/>
      <c r="M34" s="42"/>
      <c r="N34" s="41"/>
      <c r="O34" s="4">
        <f t="shared" si="0"/>
        <v>329.61</v>
      </c>
      <c r="P34" s="102"/>
    </row>
    <row r="35" spans="2:18" s="1" customFormat="1" ht="16.5" customHeight="1">
      <c r="B35" s="103" t="s">
        <v>5</v>
      </c>
      <c r="C35" s="8"/>
      <c r="D35" s="8"/>
      <c r="E35" s="8"/>
      <c r="F35" s="8"/>
      <c r="G35" s="8"/>
      <c r="H35" s="8"/>
      <c r="I35" s="8"/>
      <c r="J35" s="8">
        <v>3.49</v>
      </c>
      <c r="K35" s="8"/>
      <c r="L35" s="8"/>
      <c r="M35" s="30"/>
      <c r="N35" s="8"/>
      <c r="O35" s="4">
        <f t="shared" si="0"/>
        <v>3.49</v>
      </c>
      <c r="P35" s="102"/>
    </row>
    <row r="36" spans="2:18" s="1" customFormat="1" ht="16.5" customHeight="1">
      <c r="B36" s="103" t="s">
        <v>171</v>
      </c>
      <c r="C36" s="8"/>
      <c r="D36" s="8"/>
      <c r="E36" s="8"/>
      <c r="F36" s="8"/>
      <c r="G36" s="8"/>
      <c r="H36" s="8"/>
      <c r="I36" s="8"/>
      <c r="J36" s="8"/>
      <c r="K36" s="8">
        <v>10.99</v>
      </c>
      <c r="L36" s="8"/>
      <c r="M36" s="30"/>
      <c r="N36" s="8"/>
      <c r="O36" s="4">
        <f t="shared" si="0"/>
        <v>10.99</v>
      </c>
      <c r="P36" s="102"/>
    </row>
    <row r="37" spans="2:18" s="1" customFormat="1" ht="16.5" customHeight="1">
      <c r="B37" s="103" t="s">
        <v>1424</v>
      </c>
      <c r="C37" s="41"/>
      <c r="D37" s="41"/>
      <c r="E37" s="41"/>
      <c r="F37" s="41"/>
      <c r="G37" s="41"/>
      <c r="H37" s="41"/>
      <c r="I37" s="41"/>
      <c r="J37" s="41"/>
      <c r="K37" s="41"/>
      <c r="L37" s="41"/>
      <c r="M37" s="42"/>
      <c r="N37" s="41"/>
      <c r="O37" s="4">
        <f t="shared" si="0"/>
        <v>0</v>
      </c>
      <c r="P37" s="102"/>
    </row>
    <row r="38" spans="2:18" s="1" customFormat="1" ht="16.5" customHeight="1">
      <c r="B38" s="103" t="s">
        <v>2</v>
      </c>
      <c r="C38" s="5"/>
      <c r="D38" s="5"/>
      <c r="E38" s="5"/>
      <c r="F38" s="5"/>
      <c r="G38" s="5"/>
      <c r="H38" s="5"/>
      <c r="I38" s="5"/>
      <c r="J38" s="5"/>
      <c r="K38" s="5"/>
      <c r="L38" s="5"/>
      <c r="M38" s="29"/>
      <c r="N38" s="5"/>
      <c r="O38" s="4">
        <f t="shared" si="0"/>
        <v>0</v>
      </c>
      <c r="P38" s="102"/>
    </row>
    <row r="39" spans="2:18" s="1" customFormat="1" ht="16.5" customHeight="1">
      <c r="B39" s="103" t="s">
        <v>3</v>
      </c>
      <c r="C39" s="8"/>
      <c r="D39" s="8"/>
      <c r="E39" s="8"/>
      <c r="F39" s="8"/>
      <c r="G39" s="8"/>
      <c r="H39" s="8"/>
      <c r="I39" s="8"/>
      <c r="J39" s="8">
        <v>20</v>
      </c>
      <c r="K39" s="8">
        <v>50</v>
      </c>
      <c r="L39" s="8"/>
      <c r="M39" s="30"/>
      <c r="N39" s="8"/>
      <c r="O39" s="4">
        <f>[20]summary!$R$18</f>
        <v>0</v>
      </c>
      <c r="P39" s="102"/>
    </row>
    <row r="40" spans="2:18" s="1" customFormat="1" ht="16.5" customHeight="1">
      <c r="B40" s="101" t="s">
        <v>1</v>
      </c>
      <c r="C40" s="104">
        <f>SUBTOTAL(109,ExpenseSummary188[Jan])</f>
        <v>0</v>
      </c>
      <c r="D40" s="105">
        <f>SUBTOTAL(109,ExpenseSummary188[Feb])</f>
        <v>0</v>
      </c>
      <c r="E40" s="104">
        <f>SUBTOTAL(109,ExpenseSummary188[Mar])</f>
        <v>0</v>
      </c>
      <c r="F40" s="105">
        <f>SUBTOTAL(109,ExpenseSummary188[Apr])</f>
        <v>0</v>
      </c>
      <c r="G40" s="104">
        <f>SUBTOTAL(109,ExpenseSummary188[May])</f>
        <v>0</v>
      </c>
      <c r="H40" s="105">
        <f>SUBTOTAL(109,ExpenseSummary188[Jun])</f>
        <v>0</v>
      </c>
      <c r="I40" s="104">
        <f>SUBTOTAL(109,ExpenseSummary188[Jul])</f>
        <v>204.3</v>
      </c>
      <c r="J40" s="105">
        <f>SUBTOTAL(109,ExpenseSummary188[Aug])</f>
        <v>670.38000000000011</v>
      </c>
      <c r="K40" s="104">
        <f>SUBTOTAL(109,ExpenseSummary188[Sep])</f>
        <v>60.99</v>
      </c>
      <c r="L40" s="105">
        <f>SUBTOTAL(109,ExpenseSummary188[Oct])</f>
        <v>158.11000000000001</v>
      </c>
      <c r="M40" s="267">
        <f>SUBTOTAL(109,ExpenseSummary188[Nov])</f>
        <v>0</v>
      </c>
      <c r="N40" s="105">
        <f>SUBTOTAL(109,ExpenseSummary188[Dec])</f>
        <v>0</v>
      </c>
      <c r="O40" s="106">
        <f>SUBTOTAL(109,ExpenseSummary188[Total])</f>
        <v>1023.7800000000001</v>
      </c>
      <c r="P40" s="102"/>
    </row>
    <row r="41" spans="2:18" s="1" customFormat="1" ht="16.5" customHeight="1">
      <c r="B41" s="28"/>
      <c r="C41" s="28" t="s">
        <v>1423</v>
      </c>
    </row>
    <row r="43" spans="2:18" s="1" customFormat="1" ht="16.5" customHeight="1">
      <c r="B43" s="268"/>
      <c r="C43" s="268"/>
      <c r="D43" s="269"/>
      <c r="E43" s="270" t="s">
        <v>118</v>
      </c>
      <c r="F43" s="270"/>
      <c r="G43" s="270"/>
      <c r="H43" s="270"/>
      <c r="I43" s="270"/>
      <c r="J43" s="270"/>
      <c r="K43" s="270"/>
      <c r="L43" s="270"/>
      <c r="M43" s="270"/>
      <c r="N43" s="270"/>
      <c r="O43" s="270"/>
      <c r="P43" s="270"/>
      <c r="Q43" s="270"/>
      <c r="R43" s="270"/>
    </row>
    <row r="44" spans="2:18" s="1" customFormat="1" ht="16.5" customHeight="1">
      <c r="B44" s="271" t="s">
        <v>1378</v>
      </c>
      <c r="C44" s="272" t="s">
        <v>1459</v>
      </c>
      <c r="D44" s="269"/>
      <c r="E44" s="273" t="s">
        <v>1808</v>
      </c>
      <c r="F44" s="273"/>
      <c r="G44" s="273"/>
      <c r="H44" s="273"/>
      <c r="I44" s="273"/>
      <c r="J44" s="273"/>
      <c r="K44" s="273"/>
      <c r="L44" s="273"/>
      <c r="M44" s="273"/>
      <c r="N44" s="273"/>
      <c r="O44" s="273"/>
      <c r="P44" s="273"/>
      <c r="Q44" s="273"/>
      <c r="R44" s="273"/>
    </row>
    <row r="45" spans="2:18" s="1" customFormat="1" ht="16.5" customHeight="1">
      <c r="B45" s="274" t="s">
        <v>115</v>
      </c>
      <c r="C45" s="275" t="s">
        <v>289</v>
      </c>
      <c r="D45" s="269"/>
      <c r="E45" s="270" t="s">
        <v>113</v>
      </c>
      <c r="F45" s="270"/>
      <c r="G45" s="270"/>
      <c r="H45" s="270"/>
      <c r="I45" s="270"/>
      <c r="J45" s="270"/>
      <c r="K45" s="270"/>
      <c r="L45" s="270"/>
      <c r="M45" s="270"/>
      <c r="N45" s="270"/>
      <c r="O45" s="270"/>
      <c r="P45" s="270"/>
      <c r="Q45" s="270"/>
      <c r="R45" s="270"/>
    </row>
    <row r="46" spans="2:18" s="1" customFormat="1" ht="16.5" customHeight="1" thickBot="1">
      <c r="B46" s="274" t="s">
        <v>112</v>
      </c>
      <c r="C46" s="276">
        <v>133494</v>
      </c>
      <c r="D46" s="268"/>
      <c r="E46" s="273" t="s">
        <v>1460</v>
      </c>
      <c r="F46" s="273"/>
      <c r="G46" s="273"/>
      <c r="H46" s="273"/>
      <c r="I46" s="273"/>
      <c r="J46" s="273"/>
      <c r="K46" s="273"/>
      <c r="L46" s="273"/>
      <c r="M46" s="273"/>
      <c r="N46" s="273"/>
      <c r="O46" s="273"/>
      <c r="P46" s="273"/>
      <c r="Q46" s="273"/>
      <c r="R46" s="273"/>
    </row>
    <row r="47" spans="2:18" s="1" customFormat="1" ht="16.5" customHeight="1">
      <c r="B47" s="274" t="s">
        <v>110</v>
      </c>
      <c r="C47" s="277"/>
      <c r="D47" s="260"/>
      <c r="E47" s="278" t="s">
        <v>109</v>
      </c>
      <c r="F47" s="279" t="s">
        <v>108</v>
      </c>
      <c r="G47" s="280"/>
      <c r="H47" s="279" t="s">
        <v>107</v>
      </c>
      <c r="I47" s="280"/>
      <c r="J47" s="279" t="s">
        <v>106</v>
      </c>
      <c r="K47" s="280"/>
      <c r="L47" s="279" t="s">
        <v>105</v>
      </c>
      <c r="M47" s="280"/>
      <c r="N47" s="279" t="s">
        <v>96</v>
      </c>
      <c r="O47" s="280"/>
      <c r="P47" s="279" t="s">
        <v>104</v>
      </c>
      <c r="Q47" s="280"/>
      <c r="R47" s="281" t="s">
        <v>103</v>
      </c>
    </row>
    <row r="48" spans="2:18" s="1" customFormat="1" ht="16.5" customHeight="1">
      <c r="B48" s="282" t="s">
        <v>102</v>
      </c>
      <c r="C48" s="283">
        <v>283</v>
      </c>
      <c r="D48" s="262"/>
      <c r="E48" s="284"/>
      <c r="F48" s="285" t="s">
        <v>101</v>
      </c>
      <c r="G48" s="286" t="s">
        <v>100</v>
      </c>
      <c r="H48" s="285" t="s">
        <v>101</v>
      </c>
      <c r="I48" s="286" t="s">
        <v>100</v>
      </c>
      <c r="J48" s="285" t="s">
        <v>101</v>
      </c>
      <c r="K48" s="286" t="s">
        <v>100</v>
      </c>
      <c r="L48" s="287" t="s">
        <v>101</v>
      </c>
      <c r="M48" s="405" t="s">
        <v>100</v>
      </c>
      <c r="N48" s="287" t="s">
        <v>101</v>
      </c>
      <c r="O48" s="286" t="s">
        <v>100</v>
      </c>
      <c r="P48" s="287" t="s">
        <v>101</v>
      </c>
      <c r="Q48" s="286" t="s">
        <v>100</v>
      </c>
      <c r="R48" s="284"/>
    </row>
    <row r="49" spans="2:18" s="1" customFormat="1" ht="16.5" customHeight="1">
      <c r="B49" s="274" t="s">
        <v>99</v>
      </c>
      <c r="C49" s="288">
        <v>6867</v>
      </c>
      <c r="D49" s="260"/>
      <c r="E49" s="289" t="s">
        <v>87</v>
      </c>
      <c r="F49" s="290">
        <v>7</v>
      </c>
      <c r="G49" s="291">
        <f t="shared" ref="G49:G60" si="1">SUM($B$6*F49)*C61</f>
        <v>0</v>
      </c>
      <c r="H49" s="292"/>
      <c r="I49" s="291">
        <f>IF(H49&gt;0,($B$7*C61),0)</f>
        <v>0</v>
      </c>
      <c r="J49" s="293"/>
      <c r="K49" s="291">
        <f>IF(J49&gt;0,($B$8*C61),0)</f>
        <v>0</v>
      </c>
      <c r="L49" s="292">
        <v>2</v>
      </c>
      <c r="M49" s="406">
        <f t="shared" ref="M49:M60" si="2">IF(L49&gt;0,($B$9*L49),0)</f>
        <v>0</v>
      </c>
      <c r="N49" s="294">
        <v>2</v>
      </c>
      <c r="O49" s="291">
        <f t="shared" ref="O49:O60" si="3">IF(N49&gt;0,($B$10*N49),0)</f>
        <v>0</v>
      </c>
      <c r="P49" s="295">
        <v>2</v>
      </c>
      <c r="Q49" s="291">
        <f t="shared" ref="Q49:Q60" si="4">SUM(P49*$B$17)*C61</f>
        <v>0</v>
      </c>
      <c r="R49" s="296">
        <f t="shared" ref="R49:R60" si="5">SUM(Q49+O49+M49+K49+I49+G49)</f>
        <v>0</v>
      </c>
    </row>
    <row r="50" spans="2:18" s="1" customFormat="1" ht="16.5" customHeight="1">
      <c r="B50" s="274" t="s">
        <v>98</v>
      </c>
      <c r="C50" s="288">
        <v>5460</v>
      </c>
      <c r="D50" s="260"/>
      <c r="E50" s="289" t="s">
        <v>86</v>
      </c>
      <c r="F50" s="290">
        <v>7</v>
      </c>
      <c r="G50" s="291">
        <f t="shared" si="1"/>
        <v>0</v>
      </c>
      <c r="H50" s="292"/>
      <c r="I50" s="291">
        <f>IF(H50&gt;0,($B$7*C62),0)</f>
        <v>0</v>
      </c>
      <c r="J50" s="293"/>
      <c r="K50" s="291">
        <f>IF(J50&gt;0,($B$8*C62),0)</f>
        <v>0</v>
      </c>
      <c r="L50" s="292">
        <v>2</v>
      </c>
      <c r="M50" s="406">
        <f t="shared" si="2"/>
        <v>0</v>
      </c>
      <c r="N50" s="294">
        <v>2</v>
      </c>
      <c r="O50" s="291">
        <f t="shared" si="3"/>
        <v>0</v>
      </c>
      <c r="P50" s="295">
        <v>2</v>
      </c>
      <c r="Q50" s="291">
        <f t="shared" si="4"/>
        <v>0</v>
      </c>
      <c r="R50" s="296">
        <f t="shared" si="5"/>
        <v>0</v>
      </c>
    </row>
    <row r="51" spans="2:18" s="1" customFormat="1" ht="16.5" customHeight="1">
      <c r="B51" s="407" t="s">
        <v>97</v>
      </c>
      <c r="C51" s="288">
        <v>324</v>
      </c>
      <c r="D51" s="260"/>
      <c r="E51" s="289" t="s">
        <v>84</v>
      </c>
      <c r="F51" s="290">
        <v>7</v>
      </c>
      <c r="G51" s="291">
        <f t="shared" si="1"/>
        <v>0</v>
      </c>
      <c r="H51" s="292"/>
      <c r="I51" s="291">
        <f>IF(H51&gt;0,($B$7*C63),0)</f>
        <v>0</v>
      </c>
      <c r="J51" s="293"/>
      <c r="K51" s="291">
        <f>IF(J51&gt;0,($B$8*C63),0)</f>
        <v>0</v>
      </c>
      <c r="L51" s="292">
        <v>2</v>
      </c>
      <c r="M51" s="406">
        <f t="shared" si="2"/>
        <v>0</v>
      </c>
      <c r="N51" s="294">
        <v>2</v>
      </c>
      <c r="O51" s="291">
        <f t="shared" si="3"/>
        <v>0</v>
      </c>
      <c r="P51" s="295">
        <v>2</v>
      </c>
      <c r="Q51" s="291">
        <f t="shared" si="4"/>
        <v>0</v>
      </c>
      <c r="R51" s="296">
        <f t="shared" si="5"/>
        <v>0</v>
      </c>
    </row>
    <row r="52" spans="2:18" s="1" customFormat="1" ht="16.5" customHeight="1">
      <c r="B52" s="408" t="s">
        <v>96</v>
      </c>
      <c r="C52" s="288">
        <v>1050</v>
      </c>
      <c r="D52" s="260"/>
      <c r="E52" s="289" t="s">
        <v>83</v>
      </c>
      <c r="F52" s="290">
        <v>7</v>
      </c>
      <c r="G52" s="291">
        <f t="shared" si="1"/>
        <v>0</v>
      </c>
      <c r="H52" s="292"/>
      <c r="I52" s="291">
        <f>IF(H52&gt;0,($B$7*C64),0)</f>
        <v>0</v>
      </c>
      <c r="J52" s="293"/>
      <c r="K52" s="291">
        <f>IF(J52&gt;0,($B$8*C64),0)</f>
        <v>0</v>
      </c>
      <c r="L52" s="292">
        <v>2</v>
      </c>
      <c r="M52" s="406">
        <f t="shared" si="2"/>
        <v>0</v>
      </c>
      <c r="N52" s="294">
        <v>2</v>
      </c>
      <c r="O52" s="291">
        <f t="shared" si="3"/>
        <v>0</v>
      </c>
      <c r="P52" s="295">
        <v>2</v>
      </c>
      <c r="Q52" s="291">
        <f t="shared" si="4"/>
        <v>0</v>
      </c>
      <c r="R52" s="296">
        <f t="shared" si="5"/>
        <v>0</v>
      </c>
    </row>
    <row r="53" spans="2:18" s="1" customFormat="1" ht="16.5" customHeight="1">
      <c r="B53" s="274" t="s">
        <v>95</v>
      </c>
      <c r="C53" s="141">
        <v>35000</v>
      </c>
      <c r="D53" s="260"/>
      <c r="E53" s="289" t="s">
        <v>82</v>
      </c>
      <c r="F53" s="290">
        <v>7</v>
      </c>
      <c r="G53" s="291">
        <f t="shared" si="1"/>
        <v>0</v>
      </c>
      <c r="H53" s="292"/>
      <c r="I53" s="291">
        <v>6866.67</v>
      </c>
      <c r="J53" s="293"/>
      <c r="K53" s="291">
        <v>5460</v>
      </c>
      <c r="L53" s="292">
        <v>2</v>
      </c>
      <c r="M53" s="406">
        <f t="shared" si="2"/>
        <v>0</v>
      </c>
      <c r="N53" s="294">
        <v>2</v>
      </c>
      <c r="O53" s="291">
        <f t="shared" si="3"/>
        <v>0</v>
      </c>
      <c r="P53" s="295">
        <v>2</v>
      </c>
      <c r="Q53" s="291">
        <f t="shared" si="4"/>
        <v>0</v>
      </c>
      <c r="R53" s="296">
        <f t="shared" si="5"/>
        <v>12326.67</v>
      </c>
    </row>
    <row r="54" spans="2:18" s="1" customFormat="1" ht="16.5" customHeight="1">
      <c r="B54" s="274" t="s">
        <v>94</v>
      </c>
      <c r="C54" s="141">
        <v>5000</v>
      </c>
      <c r="D54" s="260"/>
      <c r="E54" s="289" t="s">
        <v>80</v>
      </c>
      <c r="F54" s="290">
        <v>7</v>
      </c>
      <c r="G54" s="291">
        <f t="shared" si="1"/>
        <v>0</v>
      </c>
      <c r="H54" s="292"/>
      <c r="I54" s="291">
        <f t="shared" ref="I54:I60" si="6">IF(H54&gt;0,($B$7*C66),0)</f>
        <v>0</v>
      </c>
      <c r="J54" s="293"/>
      <c r="K54" s="291">
        <f t="shared" ref="K54:K60" si="7">IF(J54&gt;0,($B$8*C66),0)</f>
        <v>0</v>
      </c>
      <c r="L54" s="292">
        <v>2</v>
      </c>
      <c r="M54" s="406">
        <f t="shared" si="2"/>
        <v>0</v>
      </c>
      <c r="N54" s="294">
        <v>2</v>
      </c>
      <c r="O54" s="291">
        <f t="shared" si="3"/>
        <v>0</v>
      </c>
      <c r="P54" s="295">
        <v>2</v>
      </c>
      <c r="Q54" s="291">
        <f t="shared" si="4"/>
        <v>0</v>
      </c>
      <c r="R54" s="296">
        <f t="shared" si="5"/>
        <v>0</v>
      </c>
    </row>
    <row r="55" spans="2:18" s="1" customFormat="1" ht="16.5" customHeight="1">
      <c r="B55" s="274" t="s">
        <v>93</v>
      </c>
      <c r="C55" s="141">
        <v>175000</v>
      </c>
      <c r="D55" s="260"/>
      <c r="E55" s="289" t="s">
        <v>79</v>
      </c>
      <c r="F55" s="290">
        <v>7</v>
      </c>
      <c r="G55" s="291">
        <f t="shared" si="1"/>
        <v>0</v>
      </c>
      <c r="H55" s="292"/>
      <c r="I55" s="291">
        <f t="shared" si="6"/>
        <v>0</v>
      </c>
      <c r="J55" s="293"/>
      <c r="K55" s="291">
        <f t="shared" si="7"/>
        <v>0</v>
      </c>
      <c r="L55" s="292">
        <v>2</v>
      </c>
      <c r="M55" s="406">
        <f t="shared" si="2"/>
        <v>0</v>
      </c>
      <c r="N55" s="294">
        <v>2</v>
      </c>
      <c r="O55" s="291">
        <f t="shared" si="3"/>
        <v>0</v>
      </c>
      <c r="P55" s="295">
        <v>2</v>
      </c>
      <c r="Q55" s="291">
        <f t="shared" si="4"/>
        <v>0</v>
      </c>
      <c r="R55" s="296">
        <f t="shared" si="5"/>
        <v>0</v>
      </c>
    </row>
    <row r="56" spans="2:18" s="1" customFormat="1" ht="16.5" customHeight="1">
      <c r="B56" s="274" t="s">
        <v>92</v>
      </c>
      <c r="C56" s="141">
        <v>175000</v>
      </c>
      <c r="D56" s="260"/>
      <c r="E56" s="289" t="s">
        <v>78</v>
      </c>
      <c r="F56" s="290">
        <v>7</v>
      </c>
      <c r="G56" s="291">
        <f t="shared" si="1"/>
        <v>0</v>
      </c>
      <c r="H56" s="292"/>
      <c r="I56" s="291">
        <f t="shared" si="6"/>
        <v>0</v>
      </c>
      <c r="J56" s="293"/>
      <c r="K56" s="291">
        <f t="shared" si="7"/>
        <v>0</v>
      </c>
      <c r="L56" s="292">
        <v>2</v>
      </c>
      <c r="M56" s="406">
        <f t="shared" si="2"/>
        <v>0</v>
      </c>
      <c r="N56" s="294">
        <v>2</v>
      </c>
      <c r="O56" s="291">
        <f t="shared" si="3"/>
        <v>0</v>
      </c>
      <c r="P56" s="295">
        <v>2</v>
      </c>
      <c r="Q56" s="291">
        <f t="shared" si="4"/>
        <v>0</v>
      </c>
      <c r="R56" s="296">
        <f t="shared" si="5"/>
        <v>0</v>
      </c>
    </row>
    <row r="57" spans="2:18" s="1" customFormat="1" ht="16.5" customHeight="1">
      <c r="B57" s="274" t="s">
        <v>91</v>
      </c>
      <c r="C57" s="141">
        <v>12000</v>
      </c>
      <c r="D57" s="260"/>
      <c r="E57" s="289" t="s">
        <v>77</v>
      </c>
      <c r="F57" s="290">
        <v>7</v>
      </c>
      <c r="G57" s="291">
        <f t="shared" si="1"/>
        <v>0</v>
      </c>
      <c r="H57" s="292"/>
      <c r="I57" s="291">
        <f t="shared" si="6"/>
        <v>0</v>
      </c>
      <c r="J57" s="293"/>
      <c r="K57" s="291">
        <f t="shared" si="7"/>
        <v>0</v>
      </c>
      <c r="L57" s="292">
        <v>2</v>
      </c>
      <c r="M57" s="406">
        <f t="shared" si="2"/>
        <v>0</v>
      </c>
      <c r="N57" s="294">
        <v>2</v>
      </c>
      <c r="O57" s="291">
        <f t="shared" si="3"/>
        <v>0</v>
      </c>
      <c r="P57" s="295">
        <v>2</v>
      </c>
      <c r="Q57" s="291">
        <f t="shared" si="4"/>
        <v>0</v>
      </c>
      <c r="R57" s="296">
        <f t="shared" si="5"/>
        <v>0</v>
      </c>
    </row>
    <row r="58" spans="2:18" s="1" customFormat="1" ht="16.5" customHeight="1">
      <c r="B58" s="274" t="s">
        <v>90</v>
      </c>
      <c r="C58" s="141">
        <v>25000</v>
      </c>
      <c r="D58" s="260"/>
      <c r="E58" s="289" t="s">
        <v>76</v>
      </c>
      <c r="F58" s="290">
        <v>7</v>
      </c>
      <c r="G58" s="291">
        <f t="shared" si="1"/>
        <v>0</v>
      </c>
      <c r="H58" s="292"/>
      <c r="I58" s="291">
        <f t="shared" si="6"/>
        <v>0</v>
      </c>
      <c r="J58" s="293"/>
      <c r="K58" s="291">
        <f t="shared" si="7"/>
        <v>0</v>
      </c>
      <c r="L58" s="292">
        <v>2</v>
      </c>
      <c r="M58" s="406">
        <f t="shared" si="2"/>
        <v>0</v>
      </c>
      <c r="N58" s="294">
        <v>2</v>
      </c>
      <c r="O58" s="291">
        <f t="shared" si="3"/>
        <v>0</v>
      </c>
      <c r="P58" s="295">
        <v>2</v>
      </c>
      <c r="Q58" s="291">
        <f t="shared" si="4"/>
        <v>0</v>
      </c>
      <c r="R58" s="296">
        <f t="shared" si="5"/>
        <v>0</v>
      </c>
    </row>
    <row r="59" spans="2:18" s="1" customFormat="1" ht="16.5" customHeight="1">
      <c r="B59" s="297" t="s">
        <v>89</v>
      </c>
      <c r="C59" s="298">
        <v>92</v>
      </c>
      <c r="D59" s="260"/>
      <c r="E59" s="289" t="s">
        <v>75</v>
      </c>
      <c r="F59" s="290">
        <v>7</v>
      </c>
      <c r="G59" s="291">
        <f t="shared" si="1"/>
        <v>0</v>
      </c>
      <c r="H59" s="292"/>
      <c r="I59" s="291">
        <f t="shared" si="6"/>
        <v>0</v>
      </c>
      <c r="J59" s="293"/>
      <c r="K59" s="291">
        <f t="shared" si="7"/>
        <v>0</v>
      </c>
      <c r="L59" s="292">
        <v>2</v>
      </c>
      <c r="M59" s="406">
        <f t="shared" si="2"/>
        <v>0</v>
      </c>
      <c r="N59" s="294">
        <v>2</v>
      </c>
      <c r="O59" s="291">
        <f t="shared" si="3"/>
        <v>0</v>
      </c>
      <c r="P59" s="295">
        <v>2</v>
      </c>
      <c r="Q59" s="291">
        <f t="shared" si="4"/>
        <v>0</v>
      </c>
      <c r="R59" s="296">
        <f t="shared" si="5"/>
        <v>0</v>
      </c>
    </row>
    <row r="60" spans="2:18" s="1" customFormat="1" ht="16.5" customHeight="1">
      <c r="B60" s="299" t="s">
        <v>88</v>
      </c>
      <c r="C60" s="300"/>
      <c r="D60" s="260"/>
      <c r="E60" s="289" t="s">
        <v>74</v>
      </c>
      <c r="F60" s="290">
        <v>7</v>
      </c>
      <c r="G60" s="291">
        <f t="shared" si="1"/>
        <v>0</v>
      </c>
      <c r="H60" s="292"/>
      <c r="I60" s="291">
        <f t="shared" si="6"/>
        <v>0</v>
      </c>
      <c r="J60" s="293"/>
      <c r="K60" s="291">
        <f t="shared" si="7"/>
        <v>0</v>
      </c>
      <c r="L60" s="292">
        <v>2</v>
      </c>
      <c r="M60" s="406">
        <f t="shared" si="2"/>
        <v>0</v>
      </c>
      <c r="N60" s="294">
        <v>2</v>
      </c>
      <c r="O60" s="291">
        <f t="shared" si="3"/>
        <v>0</v>
      </c>
      <c r="P60" s="295">
        <v>2</v>
      </c>
      <c r="Q60" s="291">
        <f t="shared" si="4"/>
        <v>0</v>
      </c>
      <c r="R60" s="296">
        <f t="shared" si="5"/>
        <v>0</v>
      </c>
    </row>
    <row r="61" spans="2:18" s="1" customFormat="1" ht="16.5" customHeight="1">
      <c r="B61" s="513" t="s">
        <v>87</v>
      </c>
      <c r="C61" s="514">
        <v>1</v>
      </c>
      <c r="D61" s="260"/>
      <c r="E61" s="303"/>
      <c r="F61" s="304"/>
      <c r="G61" s="305"/>
      <c r="H61" s="306"/>
      <c r="I61" s="307"/>
      <c r="J61" s="308"/>
      <c r="K61" s="307"/>
      <c r="L61" s="306"/>
      <c r="M61" s="409"/>
      <c r="N61" s="304"/>
      <c r="O61" s="305"/>
      <c r="P61" s="306"/>
      <c r="Q61" s="307"/>
      <c r="R61" s="309"/>
    </row>
    <row r="62" spans="2:18" s="1" customFormat="1" ht="16.5" customHeight="1" thickBot="1">
      <c r="B62" s="513" t="s">
        <v>86</v>
      </c>
      <c r="C62" s="513">
        <f t="shared" ref="C62:C72" si="8">SUM(C61+(C61*$B$5))</f>
        <v>1</v>
      </c>
      <c r="D62" s="260"/>
      <c r="E62" s="310" t="s">
        <v>85</v>
      </c>
      <c r="F62" s="311"/>
      <c r="G62" s="312">
        <f>SUM(G49:G60)</f>
        <v>0</v>
      </c>
      <c r="H62" s="313"/>
      <c r="I62" s="312">
        <f>SUM(I49:I60)</f>
        <v>6866.67</v>
      </c>
      <c r="J62" s="314"/>
      <c r="K62" s="312">
        <f>SUM(K49:K60)</f>
        <v>5460</v>
      </c>
      <c r="L62" s="313"/>
      <c r="M62" s="410">
        <f>SUM(M49:M60)</f>
        <v>0</v>
      </c>
      <c r="N62" s="315"/>
      <c r="O62" s="312">
        <f>SUM(O49:O60)</f>
        <v>0</v>
      </c>
      <c r="P62" s="313"/>
      <c r="Q62" s="312">
        <f>SUM(Q49:Q60)</f>
        <v>0</v>
      </c>
      <c r="R62" s="316">
        <f>SUM(R49:R60)</f>
        <v>12326.67</v>
      </c>
    </row>
    <row r="63" spans="2:18" s="1" customFormat="1" ht="16.5" customHeight="1" thickTop="1" thickBot="1">
      <c r="B63" s="513" t="s">
        <v>84</v>
      </c>
      <c r="C63" s="513">
        <f t="shared" si="8"/>
        <v>1</v>
      </c>
      <c r="D63" s="269"/>
      <c r="E63" s="317"/>
      <c r="F63" s="318"/>
      <c r="G63" s="319"/>
      <c r="H63" s="320"/>
      <c r="I63" s="319"/>
      <c r="J63" s="321"/>
      <c r="K63" s="319"/>
      <c r="L63" s="320"/>
      <c r="M63" s="411"/>
      <c r="N63" s="318"/>
      <c r="O63" s="322"/>
      <c r="P63" s="320"/>
      <c r="Q63" s="319"/>
      <c r="R63" s="323"/>
    </row>
    <row r="64" spans="2:18" s="1" customFormat="1" ht="16.5" customHeight="1">
      <c r="B64" s="513" t="s">
        <v>83</v>
      </c>
      <c r="C64" s="515">
        <f t="shared" si="8"/>
        <v>1</v>
      </c>
      <c r="D64" s="269"/>
      <c r="E64" s="269"/>
      <c r="F64" s="325"/>
      <c r="G64" s="269"/>
      <c r="H64" s="326"/>
      <c r="I64" s="269"/>
      <c r="J64" s="327"/>
      <c r="K64" s="269"/>
      <c r="L64" s="326"/>
      <c r="M64" s="412"/>
      <c r="N64" s="325"/>
      <c r="O64" s="269"/>
      <c r="P64" s="326"/>
      <c r="Q64" s="269"/>
      <c r="R64" s="269"/>
    </row>
    <row r="65" spans="2:18" s="1" customFormat="1" ht="16.5" customHeight="1">
      <c r="B65" s="513" t="s">
        <v>82</v>
      </c>
      <c r="C65" s="515">
        <f t="shared" si="8"/>
        <v>1</v>
      </c>
      <c r="D65" s="269"/>
      <c r="E65" s="269" t="s">
        <v>81</v>
      </c>
      <c r="F65" s="325"/>
      <c r="G65" s="269"/>
      <c r="H65" s="326"/>
      <c r="I65" s="269"/>
      <c r="J65" s="327"/>
      <c r="K65" s="269"/>
      <c r="L65" s="326"/>
      <c r="M65" s="412"/>
      <c r="N65" s="325"/>
      <c r="O65" s="269"/>
      <c r="P65" s="326"/>
      <c r="Q65" s="269"/>
      <c r="R65" s="269"/>
    </row>
    <row r="66" spans="2:18" s="1" customFormat="1" ht="16.5" customHeight="1">
      <c r="B66" s="513" t="s">
        <v>80</v>
      </c>
      <c r="C66" s="515">
        <f t="shared" si="8"/>
        <v>1</v>
      </c>
      <c r="D66" s="269"/>
      <c r="E66" s="269"/>
      <c r="F66" s="325"/>
      <c r="G66" s="269"/>
      <c r="H66" s="326"/>
      <c r="I66" s="269"/>
      <c r="J66" s="327"/>
      <c r="K66" s="269"/>
      <c r="L66" s="326"/>
      <c r="M66" s="412"/>
      <c r="N66" s="325"/>
      <c r="O66" s="269"/>
      <c r="P66" s="326"/>
      <c r="Q66" s="269"/>
      <c r="R66" s="269"/>
    </row>
    <row r="67" spans="2:18" s="1" customFormat="1" ht="16.5" customHeight="1">
      <c r="B67" s="513" t="s">
        <v>79</v>
      </c>
      <c r="C67" s="515">
        <f t="shared" si="8"/>
        <v>1</v>
      </c>
      <c r="D67" s="269"/>
      <c r="E67" s="413" t="s">
        <v>291</v>
      </c>
      <c r="F67" s="414"/>
      <c r="G67" s="415"/>
      <c r="H67" s="416"/>
      <c r="I67" s="413"/>
      <c r="J67" s="417"/>
      <c r="K67" s="413"/>
      <c r="L67" s="417"/>
      <c r="M67" s="413"/>
      <c r="N67" s="417"/>
      <c r="O67" s="413"/>
      <c r="P67" s="326"/>
      <c r="Q67" s="269"/>
      <c r="R67" s="269"/>
    </row>
    <row r="68" spans="2:18" s="1" customFormat="1" ht="16.5" customHeight="1">
      <c r="B68" s="513" t="s">
        <v>78</v>
      </c>
      <c r="C68" s="515">
        <f t="shared" si="8"/>
        <v>1</v>
      </c>
      <c r="D68" s="269"/>
      <c r="E68" s="418" t="s">
        <v>292</v>
      </c>
      <c r="F68" s="419"/>
      <c r="G68" s="418"/>
      <c r="H68" s="420"/>
      <c r="I68" s="269"/>
      <c r="J68" s="326"/>
      <c r="K68" s="269"/>
      <c r="L68" s="326"/>
      <c r="M68" s="269"/>
      <c r="N68" s="326"/>
      <c r="O68" s="269"/>
      <c r="P68" s="326"/>
      <c r="Q68" s="269"/>
      <c r="R68" s="269"/>
    </row>
    <row r="69" spans="2:18" s="1" customFormat="1" ht="16.5" customHeight="1">
      <c r="B69" s="513" t="s">
        <v>77</v>
      </c>
      <c r="C69" s="515">
        <f t="shared" si="8"/>
        <v>1</v>
      </c>
      <c r="D69" s="269"/>
      <c r="E69" s="269"/>
      <c r="F69" s="325"/>
      <c r="G69" s="269"/>
      <c r="H69" s="326"/>
      <c r="I69" s="269"/>
      <c r="J69" s="327"/>
      <c r="K69" s="269"/>
      <c r="L69" s="326"/>
      <c r="M69" s="412"/>
      <c r="N69" s="325"/>
      <c r="O69" s="269"/>
      <c r="P69" s="326"/>
      <c r="Q69" s="269"/>
      <c r="R69" s="269"/>
    </row>
    <row r="70" spans="2:18" s="1" customFormat="1" ht="16.5" customHeight="1">
      <c r="B70" s="513" t="s">
        <v>76</v>
      </c>
      <c r="C70" s="515">
        <f t="shared" si="8"/>
        <v>1</v>
      </c>
      <c r="D70" s="269"/>
      <c r="E70" s="269"/>
      <c r="F70" s="325"/>
      <c r="G70" s="269"/>
      <c r="H70" s="326"/>
      <c r="I70" s="269"/>
      <c r="J70" s="327"/>
      <c r="K70" s="269"/>
      <c r="L70" s="326"/>
      <c r="M70" s="412"/>
      <c r="N70" s="325"/>
      <c r="O70" s="269"/>
      <c r="P70" s="326"/>
      <c r="Q70" s="269"/>
      <c r="R70" s="269"/>
    </row>
    <row r="71" spans="2:18" s="1" customFormat="1" ht="16.5" customHeight="1">
      <c r="B71" s="513" t="s">
        <v>75</v>
      </c>
      <c r="C71" s="515">
        <f t="shared" si="8"/>
        <v>1</v>
      </c>
      <c r="D71" s="269"/>
      <c r="E71" s="269"/>
      <c r="F71" s="325"/>
      <c r="G71" s="269"/>
      <c r="H71" s="326"/>
      <c r="I71" s="269"/>
      <c r="J71" s="327"/>
      <c r="K71" s="269"/>
      <c r="L71" s="326"/>
      <c r="M71" s="412"/>
      <c r="N71" s="325"/>
      <c r="O71" s="269"/>
      <c r="P71" s="326"/>
      <c r="Q71" s="269"/>
      <c r="R71" s="269"/>
    </row>
    <row r="72" spans="2:18" s="1" customFormat="1" ht="16.5" customHeight="1">
      <c r="B72" s="513" t="s">
        <v>74</v>
      </c>
      <c r="C72" s="515">
        <f t="shared" si="8"/>
        <v>1</v>
      </c>
      <c r="D72" s="269"/>
      <c r="E72" s="269"/>
      <c r="F72" s="325"/>
      <c r="G72" s="269"/>
      <c r="H72" s="326"/>
      <c r="I72" s="269"/>
      <c r="J72" s="327"/>
      <c r="K72" s="269"/>
      <c r="L72" s="326"/>
      <c r="M72" s="412"/>
      <c r="N72" s="325"/>
      <c r="O72" s="269"/>
      <c r="P72" s="326"/>
      <c r="Q72" s="269"/>
      <c r="R72" s="269"/>
    </row>
    <row r="74" spans="2:18" s="1" customFormat="1" ht="16.5" customHeight="1">
      <c r="B74" s="268"/>
      <c r="C74" s="268"/>
      <c r="D74" s="269"/>
      <c r="E74" s="270" t="s">
        <v>118</v>
      </c>
      <c r="F74" s="270"/>
      <c r="G74" s="270"/>
      <c r="H74" s="270"/>
      <c r="I74" s="270"/>
      <c r="J74" s="270"/>
      <c r="K74" s="270"/>
      <c r="L74" s="270"/>
      <c r="M74" s="270"/>
      <c r="N74" s="270"/>
      <c r="O74" s="270"/>
      <c r="P74" s="270"/>
      <c r="Q74" s="270"/>
      <c r="R74" s="270"/>
    </row>
    <row r="75" spans="2:18" s="1" customFormat="1" ht="16.5" customHeight="1">
      <c r="B75" s="271" t="s">
        <v>1378</v>
      </c>
      <c r="C75" s="272" t="s">
        <v>1459</v>
      </c>
      <c r="D75" s="269"/>
      <c r="E75" s="273" t="s">
        <v>1809</v>
      </c>
      <c r="F75" s="273"/>
      <c r="G75" s="273"/>
      <c r="H75" s="273"/>
      <c r="I75" s="273"/>
      <c r="J75" s="273"/>
      <c r="K75" s="273"/>
      <c r="L75" s="273"/>
      <c r="M75" s="273"/>
      <c r="N75" s="273"/>
      <c r="O75" s="273"/>
      <c r="P75" s="273"/>
      <c r="Q75" s="273"/>
      <c r="R75" s="273"/>
    </row>
    <row r="76" spans="2:18" s="1" customFormat="1" ht="16.5" customHeight="1">
      <c r="B76" s="274" t="s">
        <v>115</v>
      </c>
      <c r="C76" s="275" t="s">
        <v>289</v>
      </c>
      <c r="D76" s="269"/>
      <c r="E76" s="270" t="s">
        <v>119</v>
      </c>
      <c r="F76" s="270"/>
      <c r="G76" s="270"/>
      <c r="H76" s="270"/>
      <c r="I76" s="270"/>
      <c r="J76" s="270"/>
      <c r="K76" s="270"/>
      <c r="L76" s="270"/>
      <c r="M76" s="270"/>
      <c r="N76" s="270"/>
      <c r="O76" s="270"/>
      <c r="P76" s="270"/>
      <c r="Q76" s="270"/>
      <c r="R76" s="270"/>
    </row>
    <row r="77" spans="2:18" s="1" customFormat="1" ht="16.5" customHeight="1" thickBot="1">
      <c r="B77" s="274" t="s">
        <v>112</v>
      </c>
      <c r="C77" s="276">
        <v>133494</v>
      </c>
      <c r="D77" s="268"/>
      <c r="E77" s="330" t="s">
        <v>1380</v>
      </c>
      <c r="F77" s="330"/>
      <c r="G77" s="330"/>
      <c r="H77" s="330"/>
      <c r="I77" s="330"/>
      <c r="J77" s="330"/>
      <c r="K77" s="330"/>
      <c r="L77" s="330"/>
      <c r="M77" s="330"/>
      <c r="N77" s="330"/>
      <c r="O77" s="330"/>
      <c r="P77" s="330"/>
      <c r="Q77" s="330"/>
      <c r="R77" s="330"/>
    </row>
    <row r="78" spans="2:18" s="1" customFormat="1" ht="16.5" customHeight="1">
      <c r="B78" s="274" t="s">
        <v>110</v>
      </c>
      <c r="C78" s="277"/>
      <c r="D78" s="260"/>
      <c r="E78" s="278" t="s">
        <v>109</v>
      </c>
      <c r="F78" s="279" t="s">
        <v>108</v>
      </c>
      <c r="G78" s="280"/>
      <c r="H78" s="279" t="s">
        <v>107</v>
      </c>
      <c r="I78" s="280"/>
      <c r="J78" s="279" t="s">
        <v>106</v>
      </c>
      <c r="K78" s="280"/>
      <c r="L78" s="279" t="s">
        <v>105</v>
      </c>
      <c r="M78" s="280"/>
      <c r="N78" s="279" t="s">
        <v>96</v>
      </c>
      <c r="O78" s="280"/>
      <c r="P78" s="279" t="s">
        <v>104</v>
      </c>
      <c r="Q78" s="280"/>
      <c r="R78" s="281" t="s">
        <v>103</v>
      </c>
    </row>
    <row r="79" spans="2:18" s="1" customFormat="1" ht="16.5" customHeight="1">
      <c r="B79" s="274" t="s">
        <v>102</v>
      </c>
      <c r="C79" s="283">
        <v>125</v>
      </c>
      <c r="D79" s="260"/>
      <c r="E79" s="289"/>
      <c r="F79" s="285" t="s">
        <v>101</v>
      </c>
      <c r="G79" s="331" t="s">
        <v>100</v>
      </c>
      <c r="H79" s="285" t="s">
        <v>101</v>
      </c>
      <c r="I79" s="331" t="s">
        <v>100</v>
      </c>
      <c r="J79" s="285" t="s">
        <v>101</v>
      </c>
      <c r="K79" s="331" t="s">
        <v>100</v>
      </c>
      <c r="L79" s="285" t="s">
        <v>101</v>
      </c>
      <c r="M79" s="331" t="s">
        <v>100</v>
      </c>
      <c r="N79" s="285" t="s">
        <v>101</v>
      </c>
      <c r="O79" s="331" t="s">
        <v>100</v>
      </c>
      <c r="P79" s="287" t="s">
        <v>101</v>
      </c>
      <c r="Q79" s="331" t="s">
        <v>100</v>
      </c>
      <c r="R79" s="289"/>
    </row>
    <row r="80" spans="2:18" s="1" customFormat="1" ht="16.5" customHeight="1">
      <c r="B80" s="274" t="s">
        <v>107</v>
      </c>
      <c r="C80" s="288">
        <v>6867</v>
      </c>
      <c r="D80" s="260"/>
      <c r="E80" s="289" t="s">
        <v>87</v>
      </c>
      <c r="F80" s="290">
        <v>2</v>
      </c>
      <c r="G80" s="291">
        <f t="shared" ref="G80:G91" si="9">SUM($B$6*F80)*C92</f>
        <v>0</v>
      </c>
      <c r="H80" s="292"/>
      <c r="I80" s="291">
        <f t="shared" ref="I80:I91" si="10">IF(H80&gt;0,($B$7*C92),0)</f>
        <v>0</v>
      </c>
      <c r="J80" s="293"/>
      <c r="K80" s="291">
        <f t="shared" ref="K80:K91" si="11">IF(J80&gt;0,($B$8*C92),0)</f>
        <v>0</v>
      </c>
      <c r="L80" s="292"/>
      <c r="M80" s="406">
        <f t="shared" ref="M80:M91" si="12">IF(L80&gt;0,($B$9*L80),0)</f>
        <v>0</v>
      </c>
      <c r="N80" s="290"/>
      <c r="O80" s="291">
        <f t="shared" ref="O80:O91" si="13">IF(N80&gt;0,($B$10*N80),0)</f>
        <v>0</v>
      </c>
      <c r="P80" s="295"/>
      <c r="Q80" s="291">
        <f t="shared" ref="Q80:Q91" si="14">SUM(P80*$B$17)*C92</f>
        <v>0</v>
      </c>
      <c r="R80" s="296">
        <f t="shared" ref="R80:R91" si="15">SUM(Q80+O80+M80+K80+I80+G80)</f>
        <v>0</v>
      </c>
    </row>
    <row r="81" spans="2:18" s="1" customFormat="1" ht="16.5" customHeight="1">
      <c r="B81" s="274" t="s">
        <v>121</v>
      </c>
      <c r="C81" s="288">
        <v>5460</v>
      </c>
      <c r="D81" s="260"/>
      <c r="E81" s="289" t="s">
        <v>86</v>
      </c>
      <c r="F81" s="290">
        <v>8</v>
      </c>
      <c r="G81" s="291">
        <f t="shared" si="9"/>
        <v>0</v>
      </c>
      <c r="H81" s="292"/>
      <c r="I81" s="291">
        <f t="shared" si="10"/>
        <v>0</v>
      </c>
      <c r="J81" s="293"/>
      <c r="K81" s="291">
        <f t="shared" si="11"/>
        <v>0</v>
      </c>
      <c r="L81" s="469">
        <v>2.5</v>
      </c>
      <c r="M81" s="406">
        <f t="shared" si="12"/>
        <v>0</v>
      </c>
      <c r="N81" s="294">
        <v>1.5</v>
      </c>
      <c r="O81" s="291">
        <f t="shared" si="13"/>
        <v>0</v>
      </c>
      <c r="P81" s="295">
        <v>2</v>
      </c>
      <c r="Q81" s="291">
        <f t="shared" si="14"/>
        <v>0</v>
      </c>
      <c r="R81" s="296">
        <f t="shared" si="15"/>
        <v>0</v>
      </c>
    </row>
    <row r="82" spans="2:18" s="1" customFormat="1" ht="16.5" customHeight="1">
      <c r="B82" s="407" t="s">
        <v>122</v>
      </c>
      <c r="C82" s="288">
        <v>324</v>
      </c>
      <c r="D82" s="260"/>
      <c r="E82" s="289" t="s">
        <v>84</v>
      </c>
      <c r="F82" s="290">
        <v>8</v>
      </c>
      <c r="G82" s="291">
        <f t="shared" si="9"/>
        <v>0</v>
      </c>
      <c r="H82" s="292"/>
      <c r="I82" s="291">
        <f t="shared" si="10"/>
        <v>0</v>
      </c>
      <c r="J82" s="293"/>
      <c r="K82" s="291">
        <f t="shared" si="11"/>
        <v>0</v>
      </c>
      <c r="L82" s="292">
        <v>2</v>
      </c>
      <c r="M82" s="406">
        <f t="shared" si="12"/>
        <v>0</v>
      </c>
      <c r="N82" s="294">
        <v>0.33</v>
      </c>
      <c r="O82" s="291">
        <f t="shared" si="13"/>
        <v>0</v>
      </c>
      <c r="P82" s="295">
        <v>1</v>
      </c>
      <c r="Q82" s="291">
        <f t="shared" si="14"/>
        <v>0</v>
      </c>
      <c r="R82" s="296">
        <f t="shared" si="15"/>
        <v>0</v>
      </c>
    </row>
    <row r="83" spans="2:18" s="1" customFormat="1" ht="16.5" customHeight="1">
      <c r="B83" s="408" t="s">
        <v>123</v>
      </c>
      <c r="C83" s="288">
        <v>1050</v>
      </c>
      <c r="D83" s="260"/>
      <c r="E83" s="289" t="s">
        <v>83</v>
      </c>
      <c r="F83" s="290"/>
      <c r="G83" s="291">
        <f t="shared" si="9"/>
        <v>0</v>
      </c>
      <c r="H83" s="292"/>
      <c r="I83" s="291">
        <f t="shared" si="10"/>
        <v>0</v>
      </c>
      <c r="J83" s="293"/>
      <c r="K83" s="291">
        <f t="shared" si="11"/>
        <v>0</v>
      </c>
      <c r="L83" s="292"/>
      <c r="M83" s="406">
        <f t="shared" si="12"/>
        <v>0</v>
      </c>
      <c r="N83" s="294"/>
      <c r="O83" s="291">
        <f t="shared" si="13"/>
        <v>0</v>
      </c>
      <c r="P83" s="295"/>
      <c r="Q83" s="291">
        <f t="shared" si="14"/>
        <v>0</v>
      </c>
      <c r="R83" s="296">
        <f t="shared" si="15"/>
        <v>0</v>
      </c>
    </row>
    <row r="84" spans="2:18" s="1" customFormat="1" ht="16.5" customHeight="1">
      <c r="B84" s="274" t="s">
        <v>95</v>
      </c>
      <c r="C84" s="141">
        <v>35000</v>
      </c>
      <c r="D84" s="260"/>
      <c r="E84" s="289" t="s">
        <v>82</v>
      </c>
      <c r="F84" s="290"/>
      <c r="G84" s="291">
        <f t="shared" si="9"/>
        <v>0</v>
      </c>
      <c r="H84" s="292"/>
      <c r="I84" s="291">
        <f t="shared" si="10"/>
        <v>0</v>
      </c>
      <c r="J84" s="293"/>
      <c r="K84" s="291">
        <f t="shared" si="11"/>
        <v>0</v>
      </c>
      <c r="L84" s="292"/>
      <c r="M84" s="406">
        <f t="shared" si="12"/>
        <v>0</v>
      </c>
      <c r="N84" s="294"/>
      <c r="O84" s="291">
        <f t="shared" si="13"/>
        <v>0</v>
      </c>
      <c r="P84" s="295"/>
      <c r="Q84" s="291">
        <f t="shared" si="14"/>
        <v>0</v>
      </c>
      <c r="R84" s="296">
        <f t="shared" si="15"/>
        <v>0</v>
      </c>
    </row>
    <row r="85" spans="2:18" s="1" customFormat="1" ht="16.5" customHeight="1">
      <c r="B85" s="274" t="s">
        <v>94</v>
      </c>
      <c r="C85" s="141">
        <v>5000</v>
      </c>
      <c r="D85" s="260"/>
      <c r="E85" s="289" t="s">
        <v>80</v>
      </c>
      <c r="F85" s="290"/>
      <c r="G85" s="291">
        <f t="shared" si="9"/>
        <v>0</v>
      </c>
      <c r="H85" s="292"/>
      <c r="I85" s="291">
        <f t="shared" si="10"/>
        <v>0</v>
      </c>
      <c r="J85" s="293"/>
      <c r="K85" s="291">
        <f t="shared" si="11"/>
        <v>0</v>
      </c>
      <c r="L85" s="292"/>
      <c r="M85" s="406">
        <f t="shared" si="12"/>
        <v>0</v>
      </c>
      <c r="N85" s="294"/>
      <c r="O85" s="291">
        <f t="shared" si="13"/>
        <v>0</v>
      </c>
      <c r="P85" s="295"/>
      <c r="Q85" s="291">
        <f t="shared" si="14"/>
        <v>0</v>
      </c>
      <c r="R85" s="296">
        <f t="shared" si="15"/>
        <v>0</v>
      </c>
    </row>
    <row r="86" spans="2:18" s="1" customFormat="1" ht="16.5" customHeight="1">
      <c r="B86" s="274" t="s">
        <v>93</v>
      </c>
      <c r="C86" s="141">
        <v>175000</v>
      </c>
      <c r="D86" s="260"/>
      <c r="E86" s="289" t="s">
        <v>79</v>
      </c>
      <c r="F86" s="290"/>
      <c r="G86" s="291">
        <f t="shared" si="9"/>
        <v>0</v>
      </c>
      <c r="H86" s="292"/>
      <c r="I86" s="291">
        <f t="shared" si="10"/>
        <v>0</v>
      </c>
      <c r="J86" s="293"/>
      <c r="K86" s="291">
        <f t="shared" si="11"/>
        <v>0</v>
      </c>
      <c r="L86" s="292"/>
      <c r="M86" s="406">
        <f t="shared" si="12"/>
        <v>0</v>
      </c>
      <c r="N86" s="294"/>
      <c r="O86" s="291">
        <f t="shared" si="13"/>
        <v>0</v>
      </c>
      <c r="P86" s="295"/>
      <c r="Q86" s="291">
        <f t="shared" si="14"/>
        <v>0</v>
      </c>
      <c r="R86" s="296">
        <f t="shared" si="15"/>
        <v>0</v>
      </c>
    </row>
    <row r="87" spans="2:18" s="1" customFormat="1" ht="16.5" customHeight="1">
      <c r="B87" s="274" t="s">
        <v>92</v>
      </c>
      <c r="C87" s="141">
        <v>175000</v>
      </c>
      <c r="D87" s="260"/>
      <c r="E87" s="289" t="s">
        <v>78</v>
      </c>
      <c r="F87" s="290"/>
      <c r="G87" s="291">
        <f t="shared" si="9"/>
        <v>0</v>
      </c>
      <c r="H87" s="292"/>
      <c r="I87" s="291">
        <f t="shared" si="10"/>
        <v>0</v>
      </c>
      <c r="J87" s="293"/>
      <c r="K87" s="291">
        <f t="shared" si="11"/>
        <v>0</v>
      </c>
      <c r="L87" s="292"/>
      <c r="M87" s="406">
        <f t="shared" si="12"/>
        <v>0</v>
      </c>
      <c r="N87" s="294"/>
      <c r="O87" s="291">
        <f t="shared" si="13"/>
        <v>0</v>
      </c>
      <c r="P87" s="295"/>
      <c r="Q87" s="291">
        <f t="shared" si="14"/>
        <v>0</v>
      </c>
      <c r="R87" s="296">
        <f t="shared" si="15"/>
        <v>0</v>
      </c>
    </row>
    <row r="88" spans="2:18" s="1" customFormat="1" ht="16.5" customHeight="1">
      <c r="B88" s="274" t="s">
        <v>91</v>
      </c>
      <c r="C88" s="141">
        <v>12000</v>
      </c>
      <c r="D88" s="260"/>
      <c r="E88" s="289" t="s">
        <v>77</v>
      </c>
      <c r="F88" s="290"/>
      <c r="G88" s="291">
        <f t="shared" si="9"/>
        <v>0</v>
      </c>
      <c r="H88" s="292"/>
      <c r="I88" s="291">
        <f t="shared" si="10"/>
        <v>0</v>
      </c>
      <c r="J88" s="293"/>
      <c r="K88" s="291">
        <f t="shared" si="11"/>
        <v>0</v>
      </c>
      <c r="L88" s="292"/>
      <c r="M88" s="406">
        <f t="shared" si="12"/>
        <v>0</v>
      </c>
      <c r="N88" s="294"/>
      <c r="O88" s="291">
        <f t="shared" si="13"/>
        <v>0</v>
      </c>
      <c r="P88" s="295"/>
      <c r="Q88" s="291">
        <f t="shared" si="14"/>
        <v>0</v>
      </c>
      <c r="R88" s="296">
        <f t="shared" si="15"/>
        <v>0</v>
      </c>
    </row>
    <row r="89" spans="2:18" s="1" customFormat="1" ht="16.5" customHeight="1">
      <c r="B89" s="274" t="s">
        <v>90</v>
      </c>
      <c r="C89" s="141">
        <v>25000</v>
      </c>
      <c r="D89" s="260"/>
      <c r="E89" s="289" t="s">
        <v>76</v>
      </c>
      <c r="F89" s="290"/>
      <c r="G89" s="291">
        <f t="shared" si="9"/>
        <v>0</v>
      </c>
      <c r="H89" s="292"/>
      <c r="I89" s="291">
        <f t="shared" si="10"/>
        <v>0</v>
      </c>
      <c r="J89" s="293"/>
      <c r="K89" s="291">
        <f t="shared" si="11"/>
        <v>0</v>
      </c>
      <c r="L89" s="292"/>
      <c r="M89" s="406">
        <f t="shared" si="12"/>
        <v>0</v>
      </c>
      <c r="N89" s="294"/>
      <c r="O89" s="291">
        <f t="shared" si="13"/>
        <v>0</v>
      </c>
      <c r="P89" s="295"/>
      <c r="Q89" s="291">
        <f t="shared" si="14"/>
        <v>0</v>
      </c>
      <c r="R89" s="296">
        <f t="shared" si="15"/>
        <v>0</v>
      </c>
    </row>
    <row r="90" spans="2:18" s="1" customFormat="1" ht="16.5" customHeight="1">
      <c r="B90" s="297" t="s">
        <v>89</v>
      </c>
      <c r="C90" s="298">
        <v>92</v>
      </c>
      <c r="D90" s="260"/>
      <c r="E90" s="289" t="s">
        <v>75</v>
      </c>
      <c r="F90" s="290"/>
      <c r="G90" s="291">
        <f t="shared" si="9"/>
        <v>0</v>
      </c>
      <c r="H90" s="292"/>
      <c r="I90" s="291">
        <f t="shared" si="10"/>
        <v>0</v>
      </c>
      <c r="J90" s="293"/>
      <c r="K90" s="291">
        <f t="shared" si="11"/>
        <v>0</v>
      </c>
      <c r="L90" s="292"/>
      <c r="M90" s="406">
        <f t="shared" si="12"/>
        <v>0</v>
      </c>
      <c r="N90" s="294"/>
      <c r="O90" s="291">
        <f t="shared" si="13"/>
        <v>0</v>
      </c>
      <c r="P90" s="295"/>
      <c r="Q90" s="291">
        <f t="shared" si="14"/>
        <v>0</v>
      </c>
      <c r="R90" s="296">
        <f t="shared" si="15"/>
        <v>0</v>
      </c>
    </row>
    <row r="91" spans="2:18" s="1" customFormat="1" ht="16.5" customHeight="1">
      <c r="B91" s="299" t="s">
        <v>88</v>
      </c>
      <c r="C91" s="300"/>
      <c r="D91" s="260"/>
      <c r="E91" s="289" t="s">
        <v>74</v>
      </c>
      <c r="F91" s="290"/>
      <c r="G91" s="291">
        <f t="shared" si="9"/>
        <v>0</v>
      </c>
      <c r="H91" s="292"/>
      <c r="I91" s="291">
        <f t="shared" si="10"/>
        <v>0</v>
      </c>
      <c r="J91" s="293"/>
      <c r="K91" s="291">
        <f t="shared" si="11"/>
        <v>0</v>
      </c>
      <c r="L91" s="292"/>
      <c r="M91" s="406">
        <f t="shared" si="12"/>
        <v>0</v>
      </c>
      <c r="N91" s="294"/>
      <c r="O91" s="291">
        <f t="shared" si="13"/>
        <v>0</v>
      </c>
      <c r="P91" s="295"/>
      <c r="Q91" s="291">
        <f t="shared" si="14"/>
        <v>0</v>
      </c>
      <c r="R91" s="296">
        <f t="shared" si="15"/>
        <v>0</v>
      </c>
    </row>
    <row r="92" spans="2:18" s="1" customFormat="1" ht="16.5" customHeight="1">
      <c r="B92" s="421" t="s">
        <v>87</v>
      </c>
      <c r="C92" s="422">
        <v>1</v>
      </c>
      <c r="D92" s="260"/>
      <c r="E92" s="303"/>
      <c r="F92" s="304"/>
      <c r="G92" s="305"/>
      <c r="H92" s="306"/>
      <c r="I92" s="307"/>
      <c r="J92" s="308"/>
      <c r="K92" s="307"/>
      <c r="L92" s="306"/>
      <c r="M92" s="307"/>
      <c r="N92" s="304"/>
      <c r="O92" s="307"/>
      <c r="P92" s="306"/>
      <c r="Q92" s="307"/>
      <c r="R92" s="309"/>
    </row>
    <row r="93" spans="2:18" s="1" customFormat="1" ht="16.5" customHeight="1" thickBot="1">
      <c r="B93" s="421" t="s">
        <v>86</v>
      </c>
      <c r="C93" s="421">
        <f t="shared" ref="C93:C103" si="16">SUM(C92+(C92*$B$5))</f>
        <v>1</v>
      </c>
      <c r="D93" s="260"/>
      <c r="E93" s="310" t="s">
        <v>85</v>
      </c>
      <c r="F93" s="311"/>
      <c r="G93" s="312">
        <f>SUM(G80:G91)</f>
        <v>0</v>
      </c>
      <c r="H93" s="313"/>
      <c r="I93" s="312">
        <f>SUM(I80:I91)</f>
        <v>0</v>
      </c>
      <c r="J93" s="314"/>
      <c r="K93" s="312">
        <f>SUM(K80:K91)</f>
        <v>0</v>
      </c>
      <c r="L93" s="313"/>
      <c r="M93" s="312">
        <f>SUM(M80:M91)</f>
        <v>0</v>
      </c>
      <c r="N93" s="315"/>
      <c r="O93" s="312">
        <f>SUM(O80:O91)</f>
        <v>0</v>
      </c>
      <c r="P93" s="313"/>
      <c r="Q93" s="312">
        <f>SUM(Q80:Q91)</f>
        <v>0</v>
      </c>
      <c r="R93" s="316">
        <f>SUM(R80:R91)</f>
        <v>0</v>
      </c>
    </row>
    <row r="94" spans="2:18" s="1" customFormat="1" ht="16.5" customHeight="1" thickTop="1" thickBot="1">
      <c r="B94" s="421" t="s">
        <v>84</v>
      </c>
      <c r="C94" s="421">
        <f t="shared" si="16"/>
        <v>1</v>
      </c>
      <c r="D94" s="269"/>
      <c r="E94" s="317"/>
      <c r="F94" s="318"/>
      <c r="G94" s="319"/>
      <c r="H94" s="320"/>
      <c r="I94" s="319"/>
      <c r="J94" s="321"/>
      <c r="K94" s="319"/>
      <c r="L94" s="320"/>
      <c r="M94" s="319"/>
      <c r="N94" s="318"/>
      <c r="O94" s="319"/>
      <c r="P94" s="320"/>
      <c r="Q94" s="319"/>
      <c r="R94" s="323"/>
    </row>
    <row r="95" spans="2:18" s="1" customFormat="1" ht="16.5" customHeight="1">
      <c r="B95" s="421" t="s">
        <v>83</v>
      </c>
      <c r="C95" s="423">
        <f t="shared" si="16"/>
        <v>1</v>
      </c>
      <c r="D95" s="269"/>
      <c r="E95" s="269"/>
      <c r="F95" s="335"/>
      <c r="G95" s="269"/>
      <c r="H95" s="326"/>
      <c r="I95" s="269"/>
      <c r="J95" s="326"/>
      <c r="K95" s="269"/>
      <c r="L95" s="326"/>
      <c r="M95" s="269"/>
      <c r="N95" s="326"/>
      <c r="O95" s="269"/>
      <c r="P95" s="326"/>
      <c r="Q95" s="269"/>
      <c r="R95" s="269"/>
    </row>
    <row r="96" spans="2:18" s="1" customFormat="1" ht="16.5" customHeight="1">
      <c r="B96" s="421" t="s">
        <v>82</v>
      </c>
      <c r="C96" s="423">
        <f t="shared" si="16"/>
        <v>1</v>
      </c>
      <c r="D96" s="269"/>
      <c r="E96" s="269" t="s">
        <v>124</v>
      </c>
      <c r="F96" s="335"/>
      <c r="G96" s="269"/>
      <c r="H96" s="326"/>
      <c r="I96" s="269"/>
      <c r="J96" s="326"/>
      <c r="K96" s="269"/>
      <c r="L96" s="326"/>
      <c r="M96" s="269"/>
      <c r="N96" s="326"/>
      <c r="O96" s="269"/>
      <c r="P96" s="326"/>
      <c r="Q96" s="269"/>
      <c r="R96" s="269"/>
    </row>
    <row r="97" spans="2:18" s="1" customFormat="1" ht="16.5" customHeight="1">
      <c r="B97" s="421" t="s">
        <v>80</v>
      </c>
      <c r="C97" s="423">
        <f t="shared" si="16"/>
        <v>1</v>
      </c>
      <c r="D97" s="269"/>
      <c r="E97" s="269"/>
      <c r="F97" s="335"/>
      <c r="G97" s="269"/>
      <c r="H97" s="326"/>
      <c r="I97" s="269"/>
      <c r="J97" s="326"/>
      <c r="K97" s="269"/>
      <c r="L97" s="326"/>
      <c r="M97" s="269"/>
      <c r="N97" s="326"/>
      <c r="O97" s="269"/>
      <c r="P97" s="326"/>
      <c r="Q97" s="269"/>
      <c r="R97" s="269"/>
    </row>
    <row r="98" spans="2:18" s="1" customFormat="1" ht="16.5" customHeight="1">
      <c r="B98" s="421" t="s">
        <v>79</v>
      </c>
      <c r="C98" s="423">
        <f t="shared" si="16"/>
        <v>1</v>
      </c>
      <c r="D98" s="269"/>
      <c r="E98" s="413" t="s">
        <v>291</v>
      </c>
      <c r="F98" s="414"/>
      <c r="G98" s="415"/>
      <c r="H98" s="416"/>
      <c r="I98" s="413"/>
      <c r="J98" s="417"/>
      <c r="K98" s="413"/>
      <c r="L98" s="417"/>
      <c r="M98" s="413"/>
      <c r="N98" s="417"/>
      <c r="O98" s="413"/>
      <c r="P98" s="326"/>
      <c r="Q98" s="269"/>
      <c r="R98" s="269"/>
    </row>
    <row r="99" spans="2:18" s="1" customFormat="1" ht="16.5" customHeight="1">
      <c r="B99" s="421" t="s">
        <v>78</v>
      </c>
      <c r="C99" s="423">
        <f t="shared" si="16"/>
        <v>1</v>
      </c>
      <c r="D99" s="269"/>
      <c r="E99" s="418" t="s">
        <v>292</v>
      </c>
      <c r="F99" s="419"/>
      <c r="G99" s="418"/>
      <c r="H99" s="420"/>
      <c r="I99" s="269"/>
      <c r="J99" s="326"/>
      <c r="K99" s="269"/>
      <c r="L99" s="326"/>
      <c r="M99" s="269"/>
      <c r="N99" s="326"/>
      <c r="O99" s="269"/>
      <c r="P99" s="326"/>
      <c r="Q99" s="269"/>
      <c r="R99" s="269"/>
    </row>
    <row r="100" spans="2:18" s="1" customFormat="1" ht="16.5" customHeight="1">
      <c r="B100" s="421" t="s">
        <v>77</v>
      </c>
      <c r="C100" s="423">
        <f t="shared" si="16"/>
        <v>1</v>
      </c>
      <c r="D100" s="269"/>
      <c r="E100" s="269"/>
      <c r="F100" s="335"/>
      <c r="G100" s="269"/>
      <c r="H100" s="326"/>
      <c r="I100" s="269"/>
      <c r="J100" s="326"/>
      <c r="K100" s="269"/>
      <c r="L100" s="326"/>
      <c r="M100" s="269"/>
      <c r="N100" s="326"/>
      <c r="O100" s="269"/>
      <c r="P100" s="326"/>
      <c r="Q100" s="269"/>
      <c r="R100" s="269"/>
    </row>
    <row r="101" spans="2:18" s="1" customFormat="1" ht="16.5" customHeight="1">
      <c r="B101" s="421" t="s">
        <v>76</v>
      </c>
      <c r="C101" s="423">
        <f t="shared" si="16"/>
        <v>1</v>
      </c>
      <c r="D101" s="269"/>
      <c r="E101" s="477"/>
      <c r="F101" s="335"/>
      <c r="G101" s="269"/>
      <c r="H101" s="326"/>
      <c r="I101" s="269"/>
      <c r="J101" s="326"/>
      <c r="K101" s="269"/>
      <c r="L101" s="326"/>
      <c r="M101" s="269"/>
      <c r="N101" s="326"/>
      <c r="O101" s="269"/>
      <c r="P101" s="326"/>
      <c r="Q101" s="269"/>
      <c r="R101" s="269"/>
    </row>
    <row r="102" spans="2:18" s="1" customFormat="1" ht="16.5" customHeight="1">
      <c r="B102" s="421" t="s">
        <v>75</v>
      </c>
      <c r="C102" s="423">
        <f t="shared" si="16"/>
        <v>1</v>
      </c>
      <c r="D102" s="269"/>
      <c r="E102" s="269"/>
      <c r="F102" s="335"/>
      <c r="G102" s="269"/>
      <c r="H102" s="326"/>
      <c r="I102" s="269"/>
      <c r="J102" s="326"/>
      <c r="K102" s="269"/>
      <c r="L102" s="326"/>
      <c r="M102" s="269"/>
      <c r="N102" s="326"/>
      <c r="O102" s="269"/>
      <c r="P102" s="326"/>
      <c r="Q102" s="269"/>
      <c r="R102" s="269"/>
    </row>
    <row r="103" spans="2:18" s="1" customFormat="1" ht="16.5" customHeight="1">
      <c r="B103" s="421" t="s">
        <v>74</v>
      </c>
      <c r="C103" s="423">
        <f t="shared" si="16"/>
        <v>1</v>
      </c>
      <c r="D103" s="269"/>
      <c r="E103" s="269"/>
      <c r="F103" s="335"/>
      <c r="G103" s="269"/>
      <c r="H103" s="326"/>
      <c r="I103" s="269"/>
      <c r="J103" s="326"/>
      <c r="K103" s="269"/>
      <c r="L103" s="326"/>
      <c r="M103" s="269"/>
      <c r="N103" s="326"/>
      <c r="O103" s="269"/>
      <c r="P103" s="326"/>
      <c r="Q103" s="269"/>
      <c r="R103" s="269"/>
    </row>
  </sheetData>
  <mergeCells count="20">
    <mergeCell ref="E43:R43"/>
    <mergeCell ref="E44:R44"/>
    <mergeCell ref="E45:R45"/>
    <mergeCell ref="E46:R46"/>
    <mergeCell ref="F47:G47"/>
    <mergeCell ref="H47:I47"/>
    <mergeCell ref="J47:K47"/>
    <mergeCell ref="L47:M47"/>
    <mergeCell ref="N47:O47"/>
    <mergeCell ref="P47:Q47"/>
    <mergeCell ref="E74:R74"/>
    <mergeCell ref="E75:R75"/>
    <mergeCell ref="E76:R76"/>
    <mergeCell ref="E77:R77"/>
    <mergeCell ref="F78:G78"/>
    <mergeCell ref="H78:I78"/>
    <mergeCell ref="J78:K78"/>
    <mergeCell ref="L78:M78"/>
    <mergeCell ref="N78:O78"/>
    <mergeCell ref="P78:Q78"/>
  </mergeCells>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402 summary'!C40:N40</xm:f>
              <xm:sqref>P40</xm:sqref>
            </x14:sparkline>
          </x14:sparklines>
        </x14:sparklineGroup>
        <x14:sparklineGroup displayEmptyCellsAs="gap" markers="1" last="1">
          <x14:colorSeries rgb="FF323232"/>
          <x14:colorNegative rgb="FFD00000"/>
          <x14:colorAxis rgb="FF000000"/>
          <x14:colorMarkers rgb="FFD00000"/>
          <x14:colorFirst rgb="FFD00000"/>
          <x14:colorLast rgb="FFD00000"/>
          <x14:colorHigh rgb="FFD00000"/>
          <x14:colorLow rgb="FFD00000"/>
          <x14:sparklines>
            <x14:sparkline>
              <xm:f>'Bus 402 summary'!C19:N19</xm:f>
              <xm:sqref>P19</xm:sqref>
            </x14:sparkline>
            <x14:sparkline>
              <xm:f>'Bus 402 summary'!C20:N20</xm:f>
              <xm:sqref>P20</xm:sqref>
            </x14:sparkline>
            <x14:sparkline>
              <xm:f>'Bus 402 summary'!C21:N21</xm:f>
              <xm:sqref>P21</xm:sqref>
            </x14:sparkline>
            <x14:sparkline>
              <xm:f>'Bus 402 summary'!C22:N22</xm:f>
              <xm:sqref>P22</xm:sqref>
            </x14:sparkline>
            <x14:sparkline>
              <xm:f>'Bus 402 summary'!C23:N23</xm:f>
              <xm:sqref>P23</xm:sqref>
            </x14:sparkline>
            <x14:sparkline>
              <xm:f>'Bus 402 summary'!C24:N24</xm:f>
              <xm:sqref>P24</xm:sqref>
            </x14:sparkline>
            <x14:sparkline>
              <xm:f>'Bus 402 summary'!C25:N25</xm:f>
              <xm:sqref>P25</xm:sqref>
            </x14:sparkline>
            <x14:sparkline>
              <xm:f>'Bus 402 summary'!C26:N26</xm:f>
              <xm:sqref>P26</xm:sqref>
            </x14:sparkline>
            <x14:sparkline>
              <xm:f>'Bus 402 summary'!C27:N27</xm:f>
              <xm:sqref>P27</xm:sqref>
            </x14:sparkline>
            <x14:sparkline>
              <xm:f>'Bus 402 summary'!C28:N28</xm:f>
              <xm:sqref>P28</xm:sqref>
            </x14:sparkline>
            <x14:sparkline>
              <xm:f>'Bus 402 summary'!C29:N29</xm:f>
              <xm:sqref>P29</xm:sqref>
            </x14:sparkline>
            <x14:sparkline>
              <xm:f>'Bus 402 summary'!C30:N30</xm:f>
              <xm:sqref>P30</xm:sqref>
            </x14:sparkline>
            <x14:sparkline>
              <xm:f>'Bus 402 summary'!C31:N31</xm:f>
              <xm:sqref>P31</xm:sqref>
            </x14:sparkline>
            <x14:sparkline>
              <xm:f>'Bus 402 summary'!C32:N32</xm:f>
              <xm:sqref>P32</xm:sqref>
            </x14:sparkline>
            <x14:sparkline>
              <xm:f>'Bus 402 summary'!C33:N33</xm:f>
              <xm:sqref>P33</xm:sqref>
            </x14:sparkline>
            <x14:sparkline>
              <xm:f>'Bus 402 summary'!C34:N34</xm:f>
              <xm:sqref>P34</xm:sqref>
            </x14:sparkline>
            <x14:sparkline>
              <xm:f>'Bus 402 summary'!C35:N35</xm:f>
              <xm:sqref>P35</xm:sqref>
            </x14:sparkline>
            <x14:sparkline>
              <xm:f>'Bus 402 summary'!C36:N36</xm:f>
              <xm:sqref>P36</xm:sqref>
            </x14:sparkline>
            <x14:sparkline>
              <xm:f>'Bus 402 summary'!C37:N37</xm:f>
              <xm:sqref>P37</xm:sqref>
            </x14:sparkline>
            <x14:sparkline>
              <xm:f>'Bus 402 summary'!C38:N38</xm:f>
              <xm:sqref>P38</xm:sqref>
            </x14:sparkline>
            <x14:sparkline>
              <xm:f>'Bus 402 summary'!C39:N39</xm:f>
              <xm:sqref>P39</xm:sqref>
            </x14:sparkline>
          </x14:sparklines>
        </x14:sparklineGroup>
      </x14:sparklineGroup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189"/>
  <sheetViews>
    <sheetView showGridLines="0" topLeftCell="A56" zoomScale="115" zoomScaleNormal="115" workbookViewId="0">
      <selection activeCell="I65" sqref="A1:XFD1048576"/>
    </sheetView>
  </sheetViews>
  <sheetFormatPr defaultColWidth="9.140625" defaultRowHeight="16.5" customHeight="1"/>
  <cols>
    <col min="1" max="1" width="3.140625" style="1" customWidth="1"/>
    <col min="2" max="4" width="12.28515625" style="1" customWidth="1"/>
    <col min="5" max="5" width="15.7109375" style="1" customWidth="1"/>
    <col min="6" max="6" width="41.85546875"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660</v>
      </c>
      <c r="G4" s="185" t="s">
        <v>45</v>
      </c>
    </row>
    <row r="5" spans="2:8" s="1" customFormat="1" ht="16.5" customHeight="1">
      <c r="B5" s="189">
        <v>42936</v>
      </c>
      <c r="C5" s="190">
        <v>10646</v>
      </c>
      <c r="D5" s="52">
        <v>429.2</v>
      </c>
      <c r="E5" s="190" t="s">
        <v>16</v>
      </c>
      <c r="F5" s="190" t="s">
        <v>1442</v>
      </c>
      <c r="G5" s="191" t="s">
        <v>1441</v>
      </c>
    </row>
    <row r="6" spans="2:8" s="1" customFormat="1" ht="16.5" customHeight="1">
      <c r="B6" s="189">
        <v>42936</v>
      </c>
      <c r="C6" s="190">
        <v>10646</v>
      </c>
      <c r="D6" s="52">
        <v>40</v>
      </c>
      <c r="E6" s="190" t="s">
        <v>2</v>
      </c>
      <c r="F6" s="190" t="s">
        <v>1440</v>
      </c>
      <c r="G6" s="191"/>
    </row>
    <row r="7" spans="2:8" s="1" customFormat="1" ht="16.5" customHeight="1">
      <c r="B7" s="187">
        <v>42941</v>
      </c>
      <c r="C7" s="188">
        <v>10656</v>
      </c>
      <c r="D7" s="8">
        <v>10.7</v>
      </c>
      <c r="E7" s="188" t="s">
        <v>17</v>
      </c>
      <c r="F7" s="188" t="s">
        <v>1439</v>
      </c>
      <c r="G7" s="188" t="s">
        <v>1438</v>
      </c>
    </row>
    <row r="8" spans="2:8" s="1" customFormat="1" ht="16.5" customHeight="1">
      <c r="B8" s="187">
        <v>42941</v>
      </c>
      <c r="C8" s="188">
        <v>10656</v>
      </c>
      <c r="D8" s="8">
        <v>17.670000000000002</v>
      </c>
      <c r="E8" s="188" t="s">
        <v>17</v>
      </c>
      <c r="F8" s="188" t="s">
        <v>1437</v>
      </c>
      <c r="G8" s="188" t="s">
        <v>1436</v>
      </c>
    </row>
    <row r="9" spans="2:8" s="1" customFormat="1" ht="16.5" customHeight="1">
      <c r="B9" s="187">
        <v>42941</v>
      </c>
      <c r="C9" s="188">
        <v>10656</v>
      </c>
      <c r="D9" s="8">
        <v>3.75</v>
      </c>
      <c r="E9" s="188" t="s">
        <v>17</v>
      </c>
      <c r="F9" s="188" t="s">
        <v>1435</v>
      </c>
      <c r="G9" s="188" t="s">
        <v>1434</v>
      </c>
    </row>
    <row r="10" spans="2:8" s="1" customFormat="1" ht="16.5" customHeight="1">
      <c r="B10" s="187">
        <v>42941</v>
      </c>
      <c r="C10" s="188">
        <v>10656</v>
      </c>
      <c r="D10" s="8">
        <v>3.75</v>
      </c>
      <c r="E10" s="188" t="s">
        <v>17</v>
      </c>
      <c r="F10" s="188" t="s">
        <v>1433</v>
      </c>
      <c r="G10" s="188" t="s">
        <v>1432</v>
      </c>
    </row>
    <row r="11" spans="2:8" s="1" customFormat="1" ht="16.5" customHeight="1">
      <c r="B11" s="187">
        <v>42941</v>
      </c>
      <c r="C11" s="188">
        <v>10656</v>
      </c>
      <c r="D11" s="8">
        <v>6.06</v>
      </c>
      <c r="E11" s="188" t="s">
        <v>17</v>
      </c>
      <c r="F11" s="188" t="s">
        <v>1431</v>
      </c>
      <c r="G11" s="188" t="s">
        <v>1430</v>
      </c>
    </row>
    <row r="12" spans="2:8" s="1" customFormat="1" ht="16.5" customHeight="1">
      <c r="B12" s="187">
        <v>42941</v>
      </c>
      <c r="C12" s="188">
        <v>10656</v>
      </c>
      <c r="D12" s="8">
        <v>42.37</v>
      </c>
      <c r="E12" s="188" t="s">
        <v>17</v>
      </c>
      <c r="F12" s="188" t="s">
        <v>1429</v>
      </c>
      <c r="G12" s="188" t="s">
        <v>1428</v>
      </c>
    </row>
    <row r="13" spans="2:8" s="1" customFormat="1" ht="16.5" customHeight="1">
      <c r="B13" s="187">
        <v>42941</v>
      </c>
      <c r="C13" s="188">
        <v>10656</v>
      </c>
      <c r="D13" s="8">
        <v>120</v>
      </c>
      <c r="E13" s="188" t="s">
        <v>17</v>
      </c>
      <c r="F13" s="188" t="s">
        <v>198</v>
      </c>
      <c r="G13" s="188"/>
    </row>
    <row r="14" spans="2:8" s="1" customFormat="1" ht="16.5" customHeight="1">
      <c r="B14" s="189">
        <v>42947</v>
      </c>
      <c r="C14" s="190">
        <v>10670</v>
      </c>
      <c r="D14" s="52">
        <v>15.15</v>
      </c>
      <c r="E14" s="190" t="s">
        <v>3</v>
      </c>
      <c r="F14" s="190" t="s">
        <v>1427</v>
      </c>
      <c r="G14" s="191" t="s">
        <v>1426</v>
      </c>
    </row>
    <row r="15" spans="2:8" s="1" customFormat="1" ht="16.5" customHeight="1">
      <c r="B15" s="189">
        <v>42947</v>
      </c>
      <c r="C15" s="190">
        <v>10670</v>
      </c>
      <c r="D15" s="52">
        <v>40</v>
      </c>
      <c r="E15" s="190" t="s">
        <v>2</v>
      </c>
      <c r="F15" s="190" t="s">
        <v>409</v>
      </c>
      <c r="G15" s="191"/>
    </row>
    <row r="16" spans="2:8" s="1" customFormat="1" ht="16.5" customHeight="1">
      <c r="B16" s="189"/>
      <c r="C16" s="190"/>
      <c r="D16" s="52"/>
      <c r="E16" s="190"/>
      <c r="F16" s="190"/>
      <c r="G16" s="191"/>
    </row>
    <row r="17" spans="2:7" s="1" customFormat="1" ht="16.5" customHeight="1">
      <c r="B17" s="192" t="s">
        <v>1</v>
      </c>
      <c r="C17" s="193"/>
      <c r="D17" s="194">
        <f>SUBTOTAL(109,ExpJul189[Amount])</f>
        <v>728.65</v>
      </c>
      <c r="E17" s="193"/>
      <c r="F17" s="193"/>
      <c r="G17" s="192"/>
    </row>
    <row r="18" spans="2:7" s="1" customFormat="1" ht="16.5" customHeight="1">
      <c r="B18" s="195"/>
      <c r="C18" s="196"/>
      <c r="D18" s="197"/>
      <c r="E18" s="196"/>
      <c r="F18" s="196"/>
      <c r="G18" s="196"/>
    </row>
    <row r="19" spans="2:7" s="1" customFormat="1" ht="25.5" customHeight="1">
      <c r="B19" s="205" t="s">
        <v>52</v>
      </c>
      <c r="C19" s="36"/>
      <c r="D19" s="36"/>
      <c r="E19" s="36"/>
      <c r="F19" s="36"/>
      <c r="G19" s="36"/>
    </row>
    <row r="20" spans="2:7" s="1" customFormat="1" ht="16.5" customHeight="1">
      <c r="B20" s="36"/>
      <c r="C20" s="36"/>
      <c r="D20" s="36"/>
      <c r="E20" s="36"/>
      <c r="F20" s="36"/>
      <c r="G20" s="36"/>
    </row>
    <row r="21" spans="2:7" s="1" customFormat="1" ht="16.5" customHeight="1">
      <c r="B21" s="206" t="s">
        <v>50</v>
      </c>
      <c r="C21" s="207" t="s">
        <v>53</v>
      </c>
      <c r="D21" s="206" t="s">
        <v>48</v>
      </c>
      <c r="E21" s="207" t="s">
        <v>47</v>
      </c>
      <c r="F21" s="207" t="s">
        <v>660</v>
      </c>
      <c r="G21" s="206" t="s">
        <v>45</v>
      </c>
    </row>
    <row r="22" spans="2:7" s="1" customFormat="1" ht="16.5" customHeight="1">
      <c r="B22" s="478">
        <v>42961</v>
      </c>
      <c r="C22" s="479">
        <v>10712</v>
      </c>
      <c r="D22" s="480">
        <v>329.61</v>
      </c>
      <c r="E22" s="479" t="s">
        <v>6</v>
      </c>
      <c r="F22" s="479" t="s">
        <v>180</v>
      </c>
      <c r="G22" s="479" t="s">
        <v>1461</v>
      </c>
    </row>
    <row r="23" spans="2:7" s="1" customFormat="1" ht="16.5" customHeight="1">
      <c r="B23" s="25">
        <v>42966</v>
      </c>
      <c r="C23" s="51">
        <v>10723</v>
      </c>
      <c r="D23" s="211">
        <v>13.32</v>
      </c>
      <c r="E23" s="51" t="s">
        <v>9</v>
      </c>
      <c r="F23" s="51" t="s">
        <v>1462</v>
      </c>
      <c r="G23" s="27" t="s">
        <v>1463</v>
      </c>
    </row>
    <row r="24" spans="2:7" s="1" customFormat="1" ht="16.5" customHeight="1">
      <c r="B24" s="25">
        <v>42966</v>
      </c>
      <c r="C24" s="51">
        <v>10723</v>
      </c>
      <c r="D24" s="211">
        <v>12.17</v>
      </c>
      <c r="E24" s="51" t="s">
        <v>9</v>
      </c>
      <c r="F24" s="51" t="s">
        <v>1464</v>
      </c>
      <c r="G24" s="27" t="s">
        <v>1465</v>
      </c>
    </row>
    <row r="25" spans="2:7" s="1" customFormat="1" ht="16.5" customHeight="1">
      <c r="B25" s="25">
        <v>42966</v>
      </c>
      <c r="C25" s="51">
        <v>10723</v>
      </c>
      <c r="D25" s="211">
        <v>10</v>
      </c>
      <c r="E25" s="51" t="s">
        <v>2</v>
      </c>
      <c r="F25" s="51" t="s">
        <v>33</v>
      </c>
      <c r="G25" s="27"/>
    </row>
    <row r="26" spans="2:7" s="1" customFormat="1" ht="16.5" customHeight="1">
      <c r="B26" s="25">
        <v>42969</v>
      </c>
      <c r="C26" s="51">
        <v>10729</v>
      </c>
      <c r="D26" s="211">
        <v>3.49</v>
      </c>
      <c r="E26" s="51" t="s">
        <v>5</v>
      </c>
      <c r="F26" s="51" t="s">
        <v>1466</v>
      </c>
      <c r="G26" s="27" t="s">
        <v>1467</v>
      </c>
    </row>
    <row r="27" spans="2:7" s="1" customFormat="1" ht="16.5" customHeight="1">
      <c r="B27" s="25">
        <v>42969</v>
      </c>
      <c r="C27" s="51">
        <v>10729</v>
      </c>
      <c r="D27" s="211">
        <v>10</v>
      </c>
      <c r="E27" s="51" t="s">
        <v>2</v>
      </c>
      <c r="F27" s="51" t="s">
        <v>33</v>
      </c>
      <c r="G27" s="27"/>
    </row>
    <row r="28" spans="2:7" s="1" customFormat="1" ht="16.5" customHeight="1">
      <c r="B28" s="208">
        <v>42977</v>
      </c>
      <c r="C28" s="209">
        <v>10758</v>
      </c>
      <c r="D28" s="210">
        <v>10.7</v>
      </c>
      <c r="E28" s="209" t="s">
        <v>17</v>
      </c>
      <c r="F28" s="209" t="s">
        <v>1468</v>
      </c>
      <c r="G28" s="209" t="s">
        <v>1469</v>
      </c>
    </row>
    <row r="29" spans="2:7" s="1" customFormat="1" ht="16.5" customHeight="1">
      <c r="B29" s="208">
        <v>42977</v>
      </c>
      <c r="C29" s="209">
        <v>10758</v>
      </c>
      <c r="D29" s="210">
        <v>108.66</v>
      </c>
      <c r="E29" s="209" t="s">
        <v>17</v>
      </c>
      <c r="F29" s="209" t="s">
        <v>1470</v>
      </c>
      <c r="G29" s="209" t="s">
        <v>1471</v>
      </c>
    </row>
    <row r="30" spans="2:7" s="1" customFormat="1" ht="16.5" customHeight="1">
      <c r="B30" s="208">
        <v>42977</v>
      </c>
      <c r="C30" s="209">
        <v>10758</v>
      </c>
      <c r="D30" s="210">
        <v>10.06</v>
      </c>
      <c r="E30" s="209" t="s">
        <v>17</v>
      </c>
      <c r="F30" s="209" t="s">
        <v>1472</v>
      </c>
      <c r="G30" s="209" t="s">
        <v>1473</v>
      </c>
    </row>
    <row r="31" spans="2:7" s="1" customFormat="1" ht="16.5" customHeight="1">
      <c r="B31" s="208">
        <v>42977</v>
      </c>
      <c r="C31" s="209">
        <v>10758</v>
      </c>
      <c r="D31" s="210">
        <v>42.37</v>
      </c>
      <c r="E31" s="209" t="s">
        <v>17</v>
      </c>
      <c r="F31" s="209" t="s">
        <v>1474</v>
      </c>
      <c r="G31" s="209" t="s">
        <v>1475</v>
      </c>
    </row>
    <row r="32" spans="2:7" s="1" customFormat="1" ht="16.5" customHeight="1">
      <c r="B32" s="208">
        <v>42977</v>
      </c>
      <c r="C32" s="209">
        <v>10758</v>
      </c>
      <c r="D32" s="210">
        <v>120</v>
      </c>
      <c r="E32" s="209" t="s">
        <v>17</v>
      </c>
      <c r="F32" s="209" t="s">
        <v>198</v>
      </c>
      <c r="G32" s="209"/>
    </row>
    <row r="33" spans="2:7" s="1" customFormat="1" ht="16.5" customHeight="1">
      <c r="B33" s="25"/>
      <c r="C33" s="51"/>
      <c r="D33" s="211"/>
      <c r="E33" s="51"/>
      <c r="F33" s="51"/>
      <c r="G33" s="27"/>
    </row>
    <row r="34" spans="2:7" s="1" customFormat="1" ht="16.5" customHeight="1">
      <c r="B34" s="25"/>
      <c r="C34" s="51"/>
      <c r="D34" s="211"/>
      <c r="E34" s="51"/>
      <c r="F34" s="51"/>
      <c r="G34" s="27"/>
    </row>
    <row r="35" spans="2:7" s="1" customFormat="1" ht="16.5" customHeight="1">
      <c r="B35" s="25"/>
      <c r="C35" s="51"/>
      <c r="D35" s="211"/>
      <c r="E35" s="51"/>
      <c r="F35" s="51"/>
      <c r="G35" s="27"/>
    </row>
    <row r="36" spans="2:7" s="1" customFormat="1" ht="16.5" customHeight="1">
      <c r="B36" s="212" t="s">
        <v>1</v>
      </c>
      <c r="C36" s="213"/>
      <c r="D36" s="214">
        <f>SUBTOTAL(109,ExpAug190[Amount])</f>
        <v>670.38</v>
      </c>
      <c r="E36" s="213"/>
      <c r="F36" s="213"/>
      <c r="G36" s="212"/>
    </row>
    <row r="38" spans="2:7" s="1" customFormat="1" ht="27.75" customHeight="1">
      <c r="B38" s="205" t="s">
        <v>56</v>
      </c>
      <c r="C38" s="117"/>
      <c r="D38" s="117"/>
      <c r="E38" s="117"/>
      <c r="F38" s="117"/>
      <c r="G38" s="117"/>
    </row>
    <row r="39" spans="2:7" s="1" customFormat="1" ht="16.5" customHeight="1">
      <c r="B39" s="117"/>
      <c r="C39" s="117"/>
      <c r="D39" s="117"/>
      <c r="E39" s="117"/>
      <c r="F39" s="117"/>
      <c r="G39" s="117"/>
    </row>
    <row r="40" spans="2:7" s="1" customFormat="1" ht="16.5" customHeight="1">
      <c r="B40" s="206" t="s">
        <v>50</v>
      </c>
      <c r="C40" s="207" t="s">
        <v>53</v>
      </c>
      <c r="D40" s="206" t="s">
        <v>48</v>
      </c>
      <c r="E40" s="207" t="s">
        <v>47</v>
      </c>
      <c r="F40" s="207" t="s">
        <v>660</v>
      </c>
      <c r="G40" s="206" t="s">
        <v>45</v>
      </c>
    </row>
    <row r="41" spans="2:7" s="1" customFormat="1" ht="16.5" customHeight="1">
      <c r="B41" s="25">
        <v>43001</v>
      </c>
      <c r="C41" s="51">
        <v>10811</v>
      </c>
      <c r="D41" s="211">
        <v>10.99</v>
      </c>
      <c r="E41" s="51" t="s">
        <v>171</v>
      </c>
      <c r="F41" s="51" t="s">
        <v>1476</v>
      </c>
      <c r="G41" s="27" t="s">
        <v>1477</v>
      </c>
    </row>
    <row r="42" spans="2:7" s="1" customFormat="1" ht="16.5" customHeight="1">
      <c r="B42" s="25">
        <v>43001</v>
      </c>
      <c r="C42" s="51">
        <v>10811</v>
      </c>
      <c r="D42" s="211">
        <v>50</v>
      </c>
      <c r="E42" s="51" t="s">
        <v>2</v>
      </c>
      <c r="F42" s="51" t="s">
        <v>1478</v>
      </c>
      <c r="G42" s="27"/>
    </row>
    <row r="43" spans="2:7" s="1" customFormat="1" ht="16.5" customHeight="1">
      <c r="B43" s="25"/>
      <c r="C43" s="51"/>
      <c r="D43" s="211"/>
      <c r="E43" s="51"/>
      <c r="F43" s="51"/>
      <c r="G43" s="27"/>
    </row>
    <row r="44" spans="2:7" s="1" customFormat="1" ht="16.5" customHeight="1">
      <c r="B44" s="25"/>
      <c r="C44" s="51"/>
      <c r="D44" s="211"/>
      <c r="E44" s="51"/>
      <c r="F44" s="51"/>
      <c r="G44" s="27"/>
    </row>
    <row r="45" spans="2:7" s="1" customFormat="1" ht="16.5" customHeight="1">
      <c r="B45" s="25"/>
      <c r="C45" s="51"/>
      <c r="D45" s="211"/>
      <c r="E45" s="51"/>
      <c r="F45" s="51"/>
      <c r="G45" s="27"/>
    </row>
    <row r="46" spans="2:7" s="1" customFormat="1" ht="16.5" customHeight="1">
      <c r="B46" s="25"/>
      <c r="C46" s="51"/>
      <c r="D46" s="211"/>
      <c r="E46" s="51"/>
      <c r="F46" s="51"/>
      <c r="G46" s="27"/>
    </row>
    <row r="47" spans="2:7" s="1" customFormat="1" ht="16.5" customHeight="1">
      <c r="B47" s="25"/>
      <c r="C47" s="51"/>
      <c r="D47" s="211"/>
      <c r="E47" s="51"/>
      <c r="F47" s="51"/>
      <c r="G47" s="27"/>
    </row>
    <row r="48" spans="2:7" s="1" customFormat="1" ht="16.5" customHeight="1">
      <c r="B48" s="25"/>
      <c r="C48" s="51"/>
      <c r="D48" s="211"/>
      <c r="E48" s="51"/>
      <c r="F48" s="51"/>
      <c r="G48" s="27"/>
    </row>
    <row r="49" spans="2:7" s="1" customFormat="1" ht="16.5" customHeight="1">
      <c r="B49" s="25"/>
      <c r="C49" s="51"/>
      <c r="D49" s="211"/>
      <c r="E49" s="51"/>
      <c r="F49" s="51"/>
      <c r="G49" s="27"/>
    </row>
    <row r="50" spans="2:7" s="1" customFormat="1" ht="16.5" customHeight="1">
      <c r="B50" s="25"/>
      <c r="C50" s="51"/>
      <c r="D50" s="211"/>
      <c r="E50" s="51"/>
      <c r="F50" s="51"/>
      <c r="G50" s="27"/>
    </row>
    <row r="51" spans="2:7" s="1" customFormat="1" ht="16.5" customHeight="1">
      <c r="B51" s="212" t="s">
        <v>1</v>
      </c>
      <c r="C51" s="213"/>
      <c r="D51" s="214">
        <f>SUBTOTAL(109,ExpSep191[Amount])</f>
        <v>60.99</v>
      </c>
      <c r="E51" s="213"/>
      <c r="F51" s="213"/>
      <c r="G51" s="212"/>
    </row>
    <row r="53" spans="2:7" s="1" customFormat="1" ht="24.75" customHeight="1">
      <c r="B53" s="205" t="s">
        <v>70</v>
      </c>
      <c r="C53" s="117"/>
      <c r="D53" s="117"/>
      <c r="E53" s="117"/>
      <c r="F53" s="117"/>
      <c r="G53" s="117"/>
    </row>
    <row r="54" spans="2:7" s="1" customFormat="1" ht="16.5" customHeight="1">
      <c r="B54" s="117"/>
      <c r="C54" s="117"/>
      <c r="D54" s="117"/>
      <c r="E54" s="117"/>
      <c r="F54" s="117"/>
      <c r="G54" s="117"/>
    </row>
    <row r="55" spans="2:7" s="1" customFormat="1" ht="16.5" customHeight="1">
      <c r="B55" s="206" t="s">
        <v>50</v>
      </c>
      <c r="C55" s="207" t="s">
        <v>71</v>
      </c>
      <c r="D55" s="206" t="s">
        <v>48</v>
      </c>
      <c r="E55" s="207" t="s">
        <v>47</v>
      </c>
      <c r="F55" s="207" t="s">
        <v>660</v>
      </c>
      <c r="G55" s="206" t="s">
        <v>45</v>
      </c>
    </row>
    <row r="56" spans="2:7" s="1" customFormat="1" ht="16.5" customHeight="1">
      <c r="B56" s="208">
        <v>43011</v>
      </c>
      <c r="C56" s="209">
        <v>10844</v>
      </c>
      <c r="D56" s="210">
        <v>10.7</v>
      </c>
      <c r="E56" s="209" t="s">
        <v>17</v>
      </c>
      <c r="F56" s="209" t="s">
        <v>1479</v>
      </c>
      <c r="G56" s="209" t="s">
        <v>1480</v>
      </c>
    </row>
    <row r="57" spans="2:7" s="1" customFormat="1" ht="16.5" customHeight="1">
      <c r="B57" s="208">
        <v>43011</v>
      </c>
      <c r="C57" s="209">
        <v>10844</v>
      </c>
      <c r="D57" s="210">
        <v>5.04</v>
      </c>
      <c r="E57" s="209" t="s">
        <v>17</v>
      </c>
      <c r="F57" s="209" t="s">
        <v>1481</v>
      </c>
      <c r="G57" s="209" t="s">
        <v>1482</v>
      </c>
    </row>
    <row r="58" spans="2:7" s="1" customFormat="1" ht="16.5" customHeight="1">
      <c r="B58" s="208">
        <v>43011</v>
      </c>
      <c r="C58" s="209">
        <v>10844</v>
      </c>
      <c r="D58" s="210">
        <v>42.37</v>
      </c>
      <c r="E58" s="209" t="s">
        <v>17</v>
      </c>
      <c r="F58" s="209" t="s">
        <v>1483</v>
      </c>
      <c r="G58" s="209" t="s">
        <v>1484</v>
      </c>
    </row>
    <row r="59" spans="2:7" s="1" customFormat="1" ht="16.5" customHeight="1">
      <c r="B59" s="208">
        <v>43011</v>
      </c>
      <c r="C59" s="209">
        <v>10844</v>
      </c>
      <c r="D59" s="210">
        <v>100</v>
      </c>
      <c r="E59" s="209" t="s">
        <v>17</v>
      </c>
      <c r="F59" s="209" t="s">
        <v>1485</v>
      </c>
      <c r="G59" s="209"/>
    </row>
    <row r="60" spans="2:7" s="1" customFormat="1" ht="16.5" customHeight="1">
      <c r="B60" s="25">
        <v>43017</v>
      </c>
      <c r="C60" s="51">
        <v>10851</v>
      </c>
      <c r="D60" s="211">
        <v>15.15</v>
      </c>
      <c r="E60" s="51" t="s">
        <v>3</v>
      </c>
      <c r="F60" s="51" t="s">
        <v>1486</v>
      </c>
      <c r="G60" s="27" t="s">
        <v>1487</v>
      </c>
    </row>
    <row r="61" spans="2:7" s="1" customFormat="1" ht="16.5" customHeight="1">
      <c r="B61" s="25">
        <v>43017</v>
      </c>
      <c r="C61" s="51">
        <v>10851</v>
      </c>
      <c r="D61" s="211">
        <v>10</v>
      </c>
      <c r="E61" s="51" t="s">
        <v>2</v>
      </c>
      <c r="F61" s="51" t="s">
        <v>33</v>
      </c>
      <c r="G61" s="27"/>
    </row>
    <row r="62" spans="2:7" s="1" customFormat="1" ht="16.5" customHeight="1">
      <c r="B62" s="25"/>
      <c r="C62" s="51"/>
      <c r="D62" s="211"/>
      <c r="E62" s="51"/>
      <c r="F62" s="51"/>
      <c r="G62" s="27"/>
    </row>
    <row r="63" spans="2:7" s="1" customFormat="1" ht="16.5" customHeight="1">
      <c r="B63" s="25"/>
      <c r="C63" s="51"/>
      <c r="D63" s="211"/>
      <c r="E63" s="51"/>
      <c r="F63" s="51"/>
      <c r="G63" s="27"/>
    </row>
    <row r="64" spans="2:7" s="1" customFormat="1" ht="16.5" customHeight="1">
      <c r="B64" s="25"/>
      <c r="C64" s="51"/>
      <c r="D64" s="211"/>
      <c r="E64" s="51"/>
      <c r="F64" s="51"/>
      <c r="G64" s="27"/>
    </row>
    <row r="65" spans="2:7" s="1" customFormat="1" ht="16.5" customHeight="1">
      <c r="B65" s="25"/>
      <c r="C65" s="51"/>
      <c r="D65" s="211"/>
      <c r="E65" s="51"/>
      <c r="F65" s="51"/>
      <c r="G65" s="27"/>
    </row>
    <row r="66" spans="2:7" s="1" customFormat="1" ht="16.5" customHeight="1">
      <c r="B66" s="25"/>
      <c r="C66" s="51"/>
      <c r="D66" s="211"/>
      <c r="E66" s="51"/>
      <c r="F66" s="51"/>
      <c r="G66" s="27"/>
    </row>
    <row r="67" spans="2:7" s="1" customFormat="1" ht="16.5" customHeight="1">
      <c r="B67" s="212" t="s">
        <v>1</v>
      </c>
      <c r="C67" s="213"/>
      <c r="D67" s="214">
        <f>SUBTOTAL(109,ExpOct192[Amount])</f>
        <v>183.26000000000002</v>
      </c>
      <c r="E67" s="213"/>
      <c r="F67" s="213"/>
      <c r="G67" s="212"/>
    </row>
    <row r="68" spans="2:7" s="1" customFormat="1" ht="16.5" customHeight="1">
      <c r="B68" s="212"/>
      <c r="C68" s="213"/>
      <c r="D68" s="214"/>
      <c r="E68" s="213"/>
      <c r="F68" s="213"/>
      <c r="G68" s="212"/>
    </row>
    <row r="69" spans="2:7" s="1" customFormat="1" ht="26.25" customHeight="1">
      <c r="B69" s="205" t="s">
        <v>159</v>
      </c>
      <c r="C69" s="117"/>
      <c r="D69" s="117"/>
      <c r="E69" s="117"/>
      <c r="F69" s="117"/>
      <c r="G69" s="117"/>
    </row>
    <row r="70" spans="2:7" s="1" customFormat="1" ht="16.5" customHeight="1">
      <c r="B70" s="117"/>
      <c r="C70" s="117"/>
      <c r="D70" s="117"/>
      <c r="E70" s="117"/>
      <c r="F70" s="117"/>
      <c r="G70" s="117"/>
    </row>
    <row r="71" spans="2:7" s="1" customFormat="1" ht="16.5" customHeight="1">
      <c r="B71" s="206" t="s">
        <v>50</v>
      </c>
      <c r="C71" s="207" t="s">
        <v>71</v>
      </c>
      <c r="D71" s="206" t="s">
        <v>48</v>
      </c>
      <c r="E71" s="207" t="s">
        <v>47</v>
      </c>
      <c r="F71" s="207" t="s">
        <v>161</v>
      </c>
      <c r="G71" s="206" t="s">
        <v>160</v>
      </c>
    </row>
    <row r="72" spans="2:7" s="1" customFormat="1" ht="16.5" customHeight="1">
      <c r="B72" s="25"/>
      <c r="C72" s="51"/>
      <c r="D72" s="211"/>
      <c r="E72" s="51"/>
      <c r="F72" s="51"/>
      <c r="G72" s="27"/>
    </row>
    <row r="73" spans="2:7" s="1" customFormat="1" ht="16.5" customHeight="1">
      <c r="B73" s="25"/>
      <c r="C73" s="51"/>
      <c r="D73" s="211"/>
      <c r="E73" s="51"/>
      <c r="F73" s="51"/>
      <c r="G73" s="27"/>
    </row>
    <row r="74" spans="2:7" s="1" customFormat="1" ht="16.5" customHeight="1">
      <c r="B74" s="25"/>
      <c r="C74" s="51"/>
      <c r="D74" s="211"/>
      <c r="E74" s="51"/>
      <c r="F74" s="51"/>
      <c r="G74" s="27"/>
    </row>
    <row r="75" spans="2:7" s="1" customFormat="1" ht="16.5" customHeight="1">
      <c r="B75" s="25"/>
      <c r="C75" s="51"/>
      <c r="D75" s="211"/>
      <c r="E75" s="51"/>
      <c r="F75" s="51"/>
      <c r="G75" s="27"/>
    </row>
    <row r="76" spans="2:7" s="1" customFormat="1" ht="16.5" customHeight="1">
      <c r="B76" s="25"/>
      <c r="C76" s="51"/>
      <c r="D76" s="211"/>
      <c r="E76" s="51"/>
      <c r="F76" s="51"/>
      <c r="G76" s="27"/>
    </row>
    <row r="77" spans="2:7" s="1" customFormat="1" ht="16.5" customHeight="1">
      <c r="B77" s="25"/>
      <c r="C77" s="51"/>
      <c r="D77" s="211"/>
      <c r="E77" s="51"/>
      <c r="F77" s="51"/>
      <c r="G77" s="27"/>
    </row>
    <row r="78" spans="2:7" s="1" customFormat="1" ht="16.5" customHeight="1">
      <c r="B78" s="25"/>
      <c r="C78" s="51"/>
      <c r="D78" s="211"/>
      <c r="E78" s="51"/>
      <c r="F78" s="51"/>
      <c r="G78" s="27"/>
    </row>
    <row r="79" spans="2:7" s="1" customFormat="1" ht="16.5" customHeight="1">
      <c r="B79" s="25"/>
      <c r="C79" s="51"/>
      <c r="D79" s="211"/>
      <c r="E79" s="51"/>
      <c r="F79" s="51"/>
      <c r="G79" s="27"/>
    </row>
    <row r="80" spans="2:7" s="1" customFormat="1" ht="16.5" customHeight="1">
      <c r="B80" s="25"/>
      <c r="C80" s="51"/>
      <c r="D80" s="211"/>
      <c r="E80" s="51"/>
      <c r="F80" s="51"/>
      <c r="G80" s="27"/>
    </row>
    <row r="81" spans="2:7" s="1" customFormat="1" ht="16.5" customHeight="1">
      <c r="B81" s="25"/>
      <c r="C81" s="51"/>
      <c r="D81" s="211"/>
      <c r="E81" s="51"/>
      <c r="F81" s="51"/>
      <c r="G81" s="27"/>
    </row>
    <row r="82" spans="2:7" s="1" customFormat="1" ht="16.5" customHeight="1">
      <c r="B82" s="212" t="s">
        <v>1</v>
      </c>
      <c r="C82" s="213"/>
      <c r="D82" s="214">
        <f>SUBTOTAL(109,ExpNov128141154167180193[Amount])</f>
        <v>0</v>
      </c>
      <c r="E82" s="213"/>
      <c r="F82" s="213"/>
      <c r="G82" s="212"/>
    </row>
    <row r="84" spans="2:7" s="1" customFormat="1" ht="27.75" customHeight="1">
      <c r="B84" s="205" t="s">
        <v>162</v>
      </c>
      <c r="C84" s="117"/>
      <c r="D84" s="117"/>
      <c r="E84" s="117"/>
      <c r="F84" s="117"/>
      <c r="G84" s="117"/>
    </row>
    <row r="85" spans="2:7" s="1" customFormat="1" ht="16.5" customHeight="1">
      <c r="B85" s="117"/>
      <c r="C85" s="117"/>
      <c r="D85" s="117"/>
      <c r="E85" s="117"/>
      <c r="F85" s="117"/>
      <c r="G85" s="117"/>
    </row>
    <row r="86" spans="2:7" s="1" customFormat="1" ht="16.5" customHeight="1">
      <c r="B86" s="206" t="s">
        <v>50</v>
      </c>
      <c r="C86" s="207" t="s">
        <v>71</v>
      </c>
      <c r="D86" s="206" t="s">
        <v>48</v>
      </c>
      <c r="E86" s="207" t="s">
        <v>47</v>
      </c>
      <c r="F86" s="207" t="s">
        <v>161</v>
      </c>
      <c r="G86" s="206" t="s">
        <v>160</v>
      </c>
    </row>
    <row r="87" spans="2:7" s="1" customFormat="1" ht="16.5" customHeight="1">
      <c r="B87" s="25"/>
      <c r="C87" s="51"/>
      <c r="D87" s="211"/>
      <c r="E87" s="51"/>
      <c r="F87" s="51"/>
      <c r="G87" s="27"/>
    </row>
    <row r="88" spans="2:7" s="1" customFormat="1" ht="16.5" customHeight="1">
      <c r="B88" s="25"/>
      <c r="C88" s="51"/>
      <c r="D88" s="211"/>
      <c r="E88" s="51"/>
      <c r="F88" s="51"/>
      <c r="G88" s="27"/>
    </row>
    <row r="89" spans="2:7" s="1" customFormat="1" ht="16.5" customHeight="1">
      <c r="B89" s="25"/>
      <c r="C89" s="51"/>
      <c r="D89" s="211"/>
      <c r="E89" s="51"/>
      <c r="F89" s="51"/>
      <c r="G89" s="27"/>
    </row>
    <row r="90" spans="2:7" s="1" customFormat="1" ht="16.5" customHeight="1">
      <c r="B90" s="25"/>
      <c r="C90" s="51"/>
      <c r="D90" s="211"/>
      <c r="E90" s="51"/>
      <c r="F90" s="51"/>
      <c r="G90" s="27"/>
    </row>
    <row r="91" spans="2:7" s="1" customFormat="1" ht="16.5" customHeight="1">
      <c r="B91" s="25"/>
      <c r="C91" s="51"/>
      <c r="D91" s="211"/>
      <c r="E91" s="51"/>
      <c r="F91" s="51"/>
      <c r="G91" s="27"/>
    </row>
    <row r="92" spans="2:7" s="1" customFormat="1" ht="16.5" customHeight="1">
      <c r="B92" s="25"/>
      <c r="C92" s="51"/>
      <c r="D92" s="211"/>
      <c r="E92" s="51"/>
      <c r="F92" s="51"/>
      <c r="G92" s="27"/>
    </row>
    <row r="93" spans="2:7" s="1" customFormat="1" ht="16.5" customHeight="1">
      <c r="B93" s="212" t="s">
        <v>1</v>
      </c>
      <c r="C93" s="213"/>
      <c r="D93" s="214">
        <f>SUBTOTAL(109,ExpDec129142155168181194[Amount])</f>
        <v>0</v>
      </c>
      <c r="E93" s="213"/>
      <c r="F93" s="213"/>
      <c r="G93" s="212"/>
    </row>
    <row r="95" spans="2:7" s="1" customFormat="1" ht="26.25" customHeight="1">
      <c r="B95" s="205" t="s">
        <v>163</v>
      </c>
      <c r="C95" s="117"/>
      <c r="D95" s="117"/>
      <c r="E95" s="117"/>
      <c r="F95" s="117"/>
      <c r="G95" s="117"/>
    </row>
    <row r="96" spans="2:7" s="1" customFormat="1" ht="16.5" customHeight="1">
      <c r="B96" s="117"/>
      <c r="C96" s="117"/>
      <c r="D96" s="117"/>
      <c r="E96" s="117"/>
      <c r="F96" s="117"/>
      <c r="G96" s="117"/>
    </row>
    <row r="97" spans="2:7" s="1" customFormat="1" ht="16.5" customHeight="1">
      <c r="B97" s="206" t="s">
        <v>50</v>
      </c>
      <c r="C97" s="207" t="s">
        <v>164</v>
      </c>
      <c r="D97" s="206" t="s">
        <v>48</v>
      </c>
      <c r="E97" s="207" t="s">
        <v>47</v>
      </c>
      <c r="F97" s="207" t="s">
        <v>161</v>
      </c>
      <c r="G97" s="206" t="s">
        <v>160</v>
      </c>
    </row>
    <row r="98" spans="2:7" s="1" customFormat="1" ht="16.5" customHeight="1">
      <c r="B98" s="25"/>
      <c r="C98" s="51"/>
      <c r="D98" s="211"/>
      <c r="E98" s="51"/>
      <c r="F98" s="51"/>
      <c r="G98" s="27"/>
    </row>
    <row r="99" spans="2:7" s="1" customFormat="1" ht="16.5" customHeight="1">
      <c r="B99" s="25"/>
      <c r="C99" s="51"/>
      <c r="D99" s="211"/>
      <c r="E99" s="51"/>
      <c r="F99" s="51"/>
      <c r="G99" s="27"/>
    </row>
    <row r="100" spans="2:7" s="1" customFormat="1" ht="16.5" customHeight="1">
      <c r="B100" s="25"/>
      <c r="C100" s="51"/>
      <c r="D100" s="211"/>
      <c r="E100" s="51"/>
      <c r="F100" s="51"/>
      <c r="G100" s="27"/>
    </row>
    <row r="101" spans="2:7" s="1" customFormat="1" ht="16.5" customHeight="1">
      <c r="B101" s="27"/>
      <c r="C101" s="26"/>
      <c r="D101" s="211"/>
      <c r="E101" s="26"/>
      <c r="F101" s="26"/>
      <c r="G101" s="27"/>
    </row>
    <row r="102" spans="2:7" s="1" customFormat="1" ht="16.5" customHeight="1">
      <c r="B102" s="27"/>
      <c r="C102" s="26"/>
      <c r="D102" s="211"/>
      <c r="E102" s="26"/>
      <c r="F102" s="26"/>
      <c r="G102" s="27"/>
    </row>
    <row r="103" spans="2:7" s="1" customFormat="1" ht="16.5" customHeight="1">
      <c r="B103" s="27"/>
      <c r="C103" s="26"/>
      <c r="D103" s="211"/>
      <c r="E103" s="26"/>
      <c r="F103" s="26"/>
      <c r="G103" s="27"/>
    </row>
    <row r="104" spans="2:7" s="1" customFormat="1" ht="16.5" customHeight="1">
      <c r="B104" s="27"/>
      <c r="C104" s="26"/>
      <c r="D104" s="211"/>
      <c r="E104" s="26"/>
      <c r="F104" s="26"/>
      <c r="G104" s="27"/>
    </row>
    <row r="105" spans="2:7" s="1" customFormat="1" ht="16.5" customHeight="1">
      <c r="B105" s="27"/>
      <c r="C105" s="26"/>
      <c r="D105" s="211"/>
      <c r="E105" s="26"/>
      <c r="F105" s="26"/>
      <c r="G105" s="27"/>
    </row>
    <row r="106" spans="2:7" s="1" customFormat="1" ht="16.5" customHeight="1">
      <c r="B106" s="212" t="s">
        <v>1</v>
      </c>
      <c r="C106" s="213"/>
      <c r="D106" s="214">
        <f>SUBTOTAL(109,ExpJan130143156169182195[Amount])</f>
        <v>0</v>
      </c>
      <c r="E106" s="213"/>
      <c r="F106" s="213"/>
      <c r="G106" s="212"/>
    </row>
    <row r="108" spans="2:7" s="1" customFormat="1" ht="25.5" customHeight="1">
      <c r="B108" s="205" t="s">
        <v>165</v>
      </c>
      <c r="C108" s="117"/>
      <c r="D108" s="117"/>
      <c r="E108" s="117"/>
      <c r="F108" s="117"/>
      <c r="G108" s="117"/>
    </row>
    <row r="109" spans="2:7" s="1" customFormat="1" ht="16.5" customHeight="1">
      <c r="B109" s="117"/>
      <c r="C109" s="117"/>
      <c r="D109" s="117"/>
      <c r="E109" s="117"/>
      <c r="F109" s="117"/>
      <c r="G109" s="117"/>
    </row>
    <row r="110" spans="2:7" s="1" customFormat="1" ht="16.5" customHeight="1">
      <c r="B110" s="206" t="s">
        <v>50</v>
      </c>
      <c r="C110" s="207" t="s">
        <v>71</v>
      </c>
      <c r="D110" s="206" t="s">
        <v>48</v>
      </c>
      <c r="E110" s="207" t="s">
        <v>47</v>
      </c>
      <c r="F110" s="206" t="s">
        <v>660</v>
      </c>
      <c r="G110" s="206" t="s">
        <v>45</v>
      </c>
    </row>
    <row r="111" spans="2:7" s="1" customFormat="1" ht="16.5" customHeight="1">
      <c r="B111" s="25"/>
      <c r="C111" s="51"/>
      <c r="D111" s="211"/>
      <c r="E111" s="51"/>
      <c r="F111" s="27"/>
      <c r="G111" s="27"/>
    </row>
    <row r="112" spans="2:7" s="1" customFormat="1" ht="16.5" customHeight="1">
      <c r="B112" s="25"/>
      <c r="C112" s="51"/>
      <c r="D112" s="211"/>
      <c r="E112" s="51"/>
      <c r="F112" s="27"/>
      <c r="G112" s="27"/>
    </row>
    <row r="113" spans="2:7" s="1" customFormat="1" ht="16.5" customHeight="1">
      <c r="B113" s="25"/>
      <c r="C113" s="51"/>
      <c r="D113" s="211"/>
      <c r="E113" s="51"/>
      <c r="F113" s="27"/>
      <c r="G113" s="27"/>
    </row>
    <row r="114" spans="2:7" s="1" customFormat="1" ht="16.5" customHeight="1">
      <c r="B114" s="25"/>
      <c r="C114" s="51"/>
      <c r="D114" s="211"/>
      <c r="E114" s="51"/>
      <c r="F114" s="27"/>
      <c r="G114" s="27"/>
    </row>
    <row r="115" spans="2:7" s="1" customFormat="1" ht="16.5" customHeight="1">
      <c r="B115" s="25"/>
      <c r="C115" s="51"/>
      <c r="D115" s="211"/>
      <c r="E115" s="51"/>
      <c r="F115" s="27"/>
      <c r="G115" s="27"/>
    </row>
    <row r="116" spans="2:7" s="1" customFormat="1" ht="16.5" customHeight="1">
      <c r="B116" s="25"/>
      <c r="C116" s="51"/>
      <c r="D116" s="211"/>
      <c r="E116" s="51"/>
      <c r="F116" s="27"/>
      <c r="G116" s="27"/>
    </row>
    <row r="117" spans="2:7" s="1" customFormat="1" ht="16.5" customHeight="1">
      <c r="B117" s="337"/>
      <c r="C117" s="338"/>
      <c r="D117" s="339"/>
      <c r="E117" s="338"/>
      <c r="F117" s="340"/>
      <c r="G117" s="340"/>
    </row>
    <row r="118" spans="2:7" s="1" customFormat="1" ht="16.5" customHeight="1">
      <c r="B118" s="337"/>
      <c r="C118" s="338"/>
      <c r="D118" s="339"/>
      <c r="E118" s="338"/>
      <c r="F118" s="340"/>
      <c r="G118" s="340"/>
    </row>
    <row r="119" spans="2:7" s="1" customFormat="1" ht="16.5" customHeight="1">
      <c r="B119" s="337"/>
      <c r="C119" s="338"/>
      <c r="D119" s="339"/>
      <c r="E119" s="338"/>
      <c r="F119" s="340"/>
      <c r="G119" s="340"/>
    </row>
    <row r="120" spans="2:7" s="1" customFormat="1" ht="16.5" customHeight="1">
      <c r="B120" s="337"/>
      <c r="C120" s="338"/>
      <c r="D120" s="339"/>
      <c r="E120" s="338"/>
      <c r="F120" s="340"/>
      <c r="G120" s="340"/>
    </row>
    <row r="121" spans="2:7" s="1" customFormat="1" ht="16.5" customHeight="1">
      <c r="B121" s="337"/>
      <c r="C121" s="338"/>
      <c r="D121" s="339"/>
      <c r="E121" s="338"/>
      <c r="F121" s="340"/>
      <c r="G121" s="340"/>
    </row>
    <row r="122" spans="2:7" s="1" customFormat="1" ht="16.5" customHeight="1">
      <c r="B122" s="224" t="s">
        <v>1</v>
      </c>
      <c r="C122" s="225"/>
      <c r="D122" s="226">
        <f>SUBTOTAL(109,ExpFeb131144157170183196[Amount])</f>
        <v>0</v>
      </c>
      <c r="E122" s="225"/>
      <c r="F122" s="224"/>
      <c r="G122" s="395"/>
    </row>
    <row r="124" spans="2:7" s="1" customFormat="1" ht="27" customHeight="1">
      <c r="B124" s="205" t="s">
        <v>166</v>
      </c>
      <c r="C124" s="117"/>
      <c r="D124" s="117"/>
      <c r="E124" s="117"/>
      <c r="F124" s="117"/>
      <c r="G124" s="117"/>
    </row>
    <row r="125" spans="2:7" s="1" customFormat="1" ht="16.5" customHeight="1">
      <c r="B125" s="117"/>
      <c r="C125" s="117"/>
      <c r="D125" s="117"/>
      <c r="E125" s="117"/>
      <c r="F125" s="117"/>
      <c r="G125" s="117"/>
    </row>
    <row r="126" spans="2:7" s="1" customFormat="1" ht="16.5" customHeight="1">
      <c r="B126" s="206" t="s">
        <v>50</v>
      </c>
      <c r="C126" s="207" t="s">
        <v>71</v>
      </c>
      <c r="D126" s="206" t="s">
        <v>48</v>
      </c>
      <c r="E126" s="207" t="s">
        <v>47</v>
      </c>
      <c r="F126" s="207" t="s">
        <v>660</v>
      </c>
      <c r="G126" s="206" t="s">
        <v>45</v>
      </c>
    </row>
    <row r="127" spans="2:7" s="1" customFormat="1" ht="16.5" customHeight="1">
      <c r="B127" s="25"/>
      <c r="C127" s="51"/>
      <c r="D127" s="211"/>
      <c r="E127" s="51"/>
      <c r="F127" s="51"/>
      <c r="G127" s="27"/>
    </row>
    <row r="128" spans="2:7" s="1" customFormat="1" ht="16.5" customHeight="1">
      <c r="B128" s="25"/>
      <c r="C128" s="51"/>
      <c r="D128" s="211"/>
      <c r="E128" s="51"/>
      <c r="F128" s="51"/>
      <c r="G128" s="27"/>
    </row>
    <row r="129" spans="2:7" s="1" customFormat="1" ht="16.5" customHeight="1">
      <c r="B129" s="25"/>
      <c r="C129" s="51"/>
      <c r="D129" s="211"/>
      <c r="E129" s="51"/>
      <c r="F129" s="51"/>
      <c r="G129" s="27"/>
    </row>
    <row r="130" spans="2:7" s="1" customFormat="1" ht="16.5" customHeight="1">
      <c r="B130" s="25"/>
      <c r="C130" s="51"/>
      <c r="D130" s="211"/>
      <c r="E130" s="51"/>
      <c r="F130" s="51"/>
      <c r="G130" s="27"/>
    </row>
    <row r="131" spans="2:7" s="1" customFormat="1" ht="16.5" customHeight="1">
      <c r="B131" s="25"/>
      <c r="C131" s="51"/>
      <c r="D131" s="211"/>
      <c r="E131" s="51"/>
      <c r="F131" s="51"/>
      <c r="G131" s="27"/>
    </row>
    <row r="132" spans="2:7" s="1" customFormat="1" ht="16.5" customHeight="1">
      <c r="B132" s="25"/>
      <c r="C132" s="51"/>
      <c r="D132" s="211"/>
      <c r="E132" s="51"/>
      <c r="F132" s="51"/>
      <c r="G132" s="27"/>
    </row>
    <row r="133" spans="2:7" s="1" customFormat="1" ht="16.5" customHeight="1">
      <c r="B133" s="25"/>
      <c r="C133" s="51"/>
      <c r="D133" s="211"/>
      <c r="E133" s="51"/>
      <c r="F133" s="51"/>
      <c r="G133" s="27"/>
    </row>
    <row r="134" spans="2:7" s="1" customFormat="1" ht="16.5" customHeight="1">
      <c r="B134" s="25"/>
      <c r="C134" s="51"/>
      <c r="D134" s="211"/>
      <c r="E134" s="51"/>
      <c r="F134" s="51"/>
      <c r="G134" s="27"/>
    </row>
    <row r="135" spans="2:7" s="1" customFormat="1" ht="16.5" customHeight="1">
      <c r="B135" s="25"/>
      <c r="C135" s="51"/>
      <c r="D135" s="211"/>
      <c r="E135" s="51"/>
      <c r="F135" s="51"/>
      <c r="G135" s="27"/>
    </row>
    <row r="136" spans="2:7" s="1" customFormat="1" ht="16.5" customHeight="1">
      <c r="B136" s="25"/>
      <c r="C136" s="51"/>
      <c r="D136" s="211"/>
      <c r="E136" s="51"/>
      <c r="F136" s="51"/>
      <c r="G136" s="27"/>
    </row>
    <row r="137" spans="2:7" s="1" customFormat="1" ht="16.5" customHeight="1">
      <c r="B137" s="25"/>
      <c r="C137" s="51"/>
      <c r="D137" s="211"/>
      <c r="E137" s="51"/>
      <c r="F137" s="51"/>
      <c r="G137" s="27"/>
    </row>
    <row r="138" spans="2:7" s="1" customFormat="1" ht="16.5" customHeight="1">
      <c r="B138" s="25"/>
      <c r="C138" s="51"/>
      <c r="D138" s="211"/>
      <c r="E138" s="51"/>
      <c r="F138" s="51"/>
      <c r="G138" s="27"/>
    </row>
    <row r="139" spans="2:7" s="1" customFormat="1" ht="16.5" customHeight="1">
      <c r="B139" s="25"/>
      <c r="C139" s="51"/>
      <c r="D139" s="211"/>
      <c r="E139" s="51"/>
      <c r="F139" s="51"/>
      <c r="G139" s="27"/>
    </row>
    <row r="140" spans="2:7" s="1" customFormat="1" ht="16.5" customHeight="1">
      <c r="B140" s="212" t="s">
        <v>1</v>
      </c>
      <c r="C140" s="213"/>
      <c r="D140" s="214">
        <f>SUBTOTAL(109,ExpMar132145158171184197[Amount])</f>
        <v>0</v>
      </c>
      <c r="E140" s="213"/>
      <c r="F140" s="213"/>
      <c r="G140" s="212"/>
    </row>
    <row r="142" spans="2:7" s="1" customFormat="1" ht="27.75" customHeight="1">
      <c r="B142" s="205" t="s">
        <v>167</v>
      </c>
      <c r="C142" s="117"/>
      <c r="D142" s="117"/>
      <c r="E142" s="117"/>
      <c r="F142" s="117"/>
      <c r="G142" s="117"/>
    </row>
    <row r="143" spans="2:7" s="1" customFormat="1" ht="16.5" customHeight="1">
      <c r="B143" s="117"/>
      <c r="C143" s="117"/>
      <c r="D143" s="117"/>
      <c r="E143" s="117"/>
      <c r="F143" s="117"/>
      <c r="G143" s="117"/>
    </row>
    <row r="144" spans="2:7" s="1" customFormat="1" ht="16.5" customHeight="1">
      <c r="B144" s="206" t="s">
        <v>50</v>
      </c>
      <c r="C144" s="207" t="s">
        <v>168</v>
      </c>
      <c r="D144" s="206" t="s">
        <v>48</v>
      </c>
      <c r="E144" s="207" t="s">
        <v>47</v>
      </c>
      <c r="F144" s="207" t="s">
        <v>660</v>
      </c>
      <c r="G144" s="206" t="s">
        <v>45</v>
      </c>
    </row>
    <row r="145" spans="2:7" s="1" customFormat="1" ht="16.5" customHeight="1">
      <c r="B145" s="215"/>
      <c r="C145" s="51"/>
      <c r="D145" s="216"/>
      <c r="E145" s="51"/>
      <c r="F145" s="51"/>
      <c r="G145" s="51"/>
    </row>
    <row r="146" spans="2:7" s="1" customFormat="1" ht="16.5" customHeight="1">
      <c r="B146" s="215"/>
      <c r="C146" s="51"/>
      <c r="D146" s="216"/>
      <c r="E146" s="51"/>
      <c r="F146" s="51"/>
      <c r="G146" s="51"/>
    </row>
    <row r="147" spans="2:7" s="1" customFormat="1" ht="16.5" customHeight="1">
      <c r="B147" s="215"/>
      <c r="C147" s="51"/>
      <c r="D147" s="216"/>
      <c r="E147" s="51"/>
      <c r="F147" s="51"/>
      <c r="G147" s="51"/>
    </row>
    <row r="148" spans="2:7" s="1" customFormat="1" ht="16.5" customHeight="1">
      <c r="B148" s="215"/>
      <c r="C148" s="51"/>
      <c r="D148" s="216"/>
      <c r="E148" s="51"/>
      <c r="F148" s="51"/>
      <c r="G148" s="51"/>
    </row>
    <row r="149" spans="2:7" s="1" customFormat="1" ht="16.5" customHeight="1">
      <c r="B149" s="215"/>
      <c r="C149" s="51"/>
      <c r="D149" s="216"/>
      <c r="E149" s="51"/>
      <c r="F149" s="51"/>
      <c r="G149" s="51"/>
    </row>
    <row r="150" spans="2:7" s="1" customFormat="1" ht="16.5" customHeight="1">
      <c r="B150" s="215"/>
      <c r="C150" s="51"/>
      <c r="D150" s="216"/>
      <c r="E150" s="51"/>
      <c r="F150" s="51"/>
      <c r="G150" s="51"/>
    </row>
    <row r="151" spans="2:7" s="1" customFormat="1" ht="16.5" customHeight="1">
      <c r="B151" s="215"/>
      <c r="C151" s="51"/>
      <c r="D151" s="216"/>
      <c r="E151" s="51"/>
      <c r="F151" s="51"/>
      <c r="G151" s="51"/>
    </row>
    <row r="152" spans="2:7" s="1" customFormat="1" ht="16.5" customHeight="1">
      <c r="B152" s="215"/>
      <c r="C152" s="51"/>
      <c r="D152" s="216"/>
      <c r="E152" s="51"/>
      <c r="F152" s="51"/>
      <c r="G152" s="51"/>
    </row>
    <row r="153" spans="2:7" s="1" customFormat="1" ht="16.5" customHeight="1">
      <c r="B153" s="215"/>
      <c r="C153" s="51"/>
      <c r="D153" s="216"/>
      <c r="E153" s="51"/>
      <c r="F153" s="51"/>
      <c r="G153" s="51"/>
    </row>
    <row r="154" spans="2:7" s="1" customFormat="1" ht="16.5" customHeight="1">
      <c r="B154" s="215"/>
      <c r="C154" s="51"/>
      <c r="D154" s="216"/>
      <c r="E154" s="51"/>
      <c r="F154" s="51"/>
      <c r="G154" s="51"/>
    </row>
    <row r="155" spans="2:7" s="1" customFormat="1" ht="16.5" customHeight="1">
      <c r="B155" s="215"/>
      <c r="C155" s="51"/>
      <c r="D155" s="216"/>
      <c r="E155" s="51"/>
      <c r="F155" s="51"/>
      <c r="G155" s="51"/>
    </row>
    <row r="156" spans="2:7" s="1" customFormat="1" ht="16.5" customHeight="1">
      <c r="B156" s="212" t="s">
        <v>1</v>
      </c>
      <c r="C156" s="213"/>
      <c r="D156" s="214">
        <f>SUBTOTAL(109,ExpApr133146159172185198[Amount])</f>
        <v>0</v>
      </c>
      <c r="E156" s="213"/>
      <c r="F156" s="213"/>
      <c r="G156" s="212"/>
    </row>
    <row r="158" spans="2:7" s="1" customFormat="1" ht="26.25" customHeight="1">
      <c r="B158" s="205" t="s">
        <v>169</v>
      </c>
      <c r="C158" s="117"/>
      <c r="D158" s="117"/>
      <c r="E158" s="117"/>
      <c r="F158" s="117"/>
      <c r="G158" s="117"/>
    </row>
    <row r="159" spans="2:7" s="1" customFormat="1" ht="16.5" customHeight="1">
      <c r="B159" s="117"/>
      <c r="C159" s="117"/>
      <c r="D159" s="117"/>
      <c r="E159" s="117"/>
      <c r="F159" s="117"/>
      <c r="G159" s="117"/>
    </row>
    <row r="160" spans="2:7" s="1" customFormat="1" ht="16.5" customHeight="1">
      <c r="B160" s="206" t="s">
        <v>50</v>
      </c>
      <c r="C160" s="207" t="s">
        <v>71</v>
      </c>
      <c r="D160" s="206" t="s">
        <v>48</v>
      </c>
      <c r="E160" s="207" t="s">
        <v>47</v>
      </c>
      <c r="F160" s="207" t="s">
        <v>660</v>
      </c>
      <c r="G160" s="206" t="s">
        <v>45</v>
      </c>
    </row>
    <row r="161" spans="2:7" s="1" customFormat="1" ht="16.5" customHeight="1">
      <c r="B161" s="25"/>
      <c r="C161" s="51"/>
      <c r="D161" s="211"/>
      <c r="E161" s="51"/>
      <c r="F161" s="51"/>
      <c r="G161" s="27"/>
    </row>
    <row r="162" spans="2:7" s="1" customFormat="1" ht="16.5" customHeight="1">
      <c r="B162" s="25"/>
      <c r="C162" s="51"/>
      <c r="D162" s="211"/>
      <c r="E162" s="51"/>
      <c r="F162" s="51"/>
      <c r="G162" s="27"/>
    </row>
    <row r="163" spans="2:7" s="1" customFormat="1" ht="16.5" customHeight="1">
      <c r="B163" s="25"/>
      <c r="C163" s="51"/>
      <c r="D163" s="211"/>
      <c r="E163" s="51"/>
      <c r="F163" s="51"/>
      <c r="G163" s="27"/>
    </row>
    <row r="164" spans="2:7" s="1" customFormat="1" ht="16.5" customHeight="1">
      <c r="B164" s="25"/>
      <c r="C164" s="51"/>
      <c r="D164" s="211"/>
      <c r="E164" s="51"/>
      <c r="F164" s="51"/>
      <c r="G164" s="27"/>
    </row>
    <row r="165" spans="2:7" s="1" customFormat="1" ht="16.5" customHeight="1">
      <c r="B165" s="25"/>
      <c r="C165" s="51"/>
      <c r="D165" s="211"/>
      <c r="E165" s="51"/>
      <c r="F165" s="51"/>
      <c r="G165" s="27"/>
    </row>
    <row r="166" spans="2:7" s="1" customFormat="1" ht="16.5" customHeight="1">
      <c r="B166" s="25"/>
      <c r="C166" s="51"/>
      <c r="D166" s="211"/>
      <c r="E166" s="51"/>
      <c r="F166" s="51"/>
      <c r="G166" s="27"/>
    </row>
    <row r="167" spans="2:7" s="1" customFormat="1" ht="16.5" customHeight="1">
      <c r="B167" s="25"/>
      <c r="C167" s="51"/>
      <c r="D167" s="211"/>
      <c r="E167" s="51"/>
      <c r="F167" s="51"/>
      <c r="G167" s="27"/>
    </row>
    <row r="168" spans="2:7" s="1" customFormat="1" ht="16.5" customHeight="1">
      <c r="B168" s="25"/>
      <c r="C168" s="51"/>
      <c r="D168" s="211"/>
      <c r="E168" s="51"/>
      <c r="F168" s="51"/>
      <c r="G168" s="27"/>
    </row>
    <row r="169" spans="2:7" s="1" customFormat="1" ht="16.5" customHeight="1">
      <c r="B169" s="25"/>
      <c r="C169" s="51"/>
      <c r="D169" s="211"/>
      <c r="E169" s="51"/>
      <c r="F169" s="51"/>
      <c r="G169" s="27"/>
    </row>
    <row r="170" spans="2:7" s="1" customFormat="1" ht="16.5" customHeight="1">
      <c r="B170" s="25"/>
      <c r="C170" s="51"/>
      <c r="D170" s="211"/>
      <c r="E170" s="51"/>
      <c r="F170" s="51"/>
      <c r="G170" s="27"/>
    </row>
    <row r="171" spans="2:7" s="1" customFormat="1" ht="16.5" customHeight="1">
      <c r="B171" s="25"/>
      <c r="C171" s="51"/>
      <c r="D171" s="211"/>
      <c r="E171" s="51"/>
      <c r="F171" s="51"/>
      <c r="G171" s="27"/>
    </row>
    <row r="172" spans="2:7" s="1" customFormat="1" ht="16.5" customHeight="1">
      <c r="B172" s="25"/>
      <c r="C172" s="51"/>
      <c r="D172" s="211"/>
      <c r="E172" s="51"/>
      <c r="F172" s="51"/>
      <c r="G172" s="27"/>
    </row>
    <row r="173" spans="2:7" s="1" customFormat="1" ht="16.5" customHeight="1">
      <c r="B173" s="224" t="s">
        <v>1</v>
      </c>
      <c r="C173" s="225"/>
      <c r="D173" s="226">
        <f>SUBTOTAL(109,ExpMay134147160173186199[Amount])</f>
        <v>0</v>
      </c>
      <c r="E173" s="225"/>
      <c r="F173" s="225"/>
      <c r="G173" s="224"/>
    </row>
    <row r="175" spans="2:7" s="1" customFormat="1" ht="24" customHeight="1">
      <c r="B175" s="205" t="s">
        <v>170</v>
      </c>
      <c r="C175" s="117"/>
      <c r="D175" s="117"/>
      <c r="E175" s="117"/>
      <c r="F175" s="117"/>
      <c r="G175" s="117"/>
    </row>
    <row r="176" spans="2:7" s="1" customFormat="1" ht="16.5" customHeight="1">
      <c r="B176" s="117"/>
      <c r="C176" s="117"/>
      <c r="D176" s="117"/>
      <c r="E176" s="117"/>
      <c r="F176" s="117"/>
      <c r="G176" s="117"/>
    </row>
    <row r="177" spans="2:7" s="1" customFormat="1" ht="16.5" customHeight="1">
      <c r="B177" s="206" t="s">
        <v>50</v>
      </c>
      <c r="C177" s="207" t="s">
        <v>155</v>
      </c>
      <c r="D177" s="206" t="s">
        <v>48</v>
      </c>
      <c r="E177" s="207" t="s">
        <v>47</v>
      </c>
      <c r="F177" s="207" t="s">
        <v>660</v>
      </c>
      <c r="G177" s="206" t="s">
        <v>45</v>
      </c>
    </row>
    <row r="178" spans="2:7" s="1" customFormat="1" ht="16.5" customHeight="1">
      <c r="B178" s="215"/>
      <c r="C178" s="51"/>
      <c r="D178" s="216"/>
      <c r="E178" s="51"/>
      <c r="F178" s="51"/>
      <c r="G178" s="51"/>
    </row>
    <row r="179" spans="2:7" s="1" customFormat="1" ht="16.5" customHeight="1">
      <c r="B179" s="215"/>
      <c r="C179" s="51"/>
      <c r="D179" s="216"/>
      <c r="E179" s="51"/>
      <c r="F179" s="51"/>
      <c r="G179" s="51"/>
    </row>
    <row r="180" spans="2:7" s="1" customFormat="1" ht="16.5" customHeight="1">
      <c r="B180" s="215"/>
      <c r="C180" s="51"/>
      <c r="D180" s="216"/>
      <c r="E180" s="51"/>
      <c r="F180" s="51"/>
      <c r="G180" s="51"/>
    </row>
    <row r="181" spans="2:7" s="1" customFormat="1" ht="16.5" customHeight="1">
      <c r="B181" s="215"/>
      <c r="C181" s="51"/>
      <c r="D181" s="216"/>
      <c r="E181" s="51"/>
      <c r="F181" s="51"/>
      <c r="G181" s="51"/>
    </row>
    <row r="182" spans="2:7" s="1" customFormat="1" ht="16.5" customHeight="1">
      <c r="B182" s="215"/>
      <c r="C182" s="51"/>
      <c r="D182" s="216"/>
      <c r="E182" s="51"/>
      <c r="F182" s="51"/>
      <c r="G182" s="51"/>
    </row>
    <row r="183" spans="2:7" s="1" customFormat="1" ht="16.5" customHeight="1">
      <c r="B183" s="215"/>
      <c r="C183" s="51"/>
      <c r="D183" s="216"/>
      <c r="E183" s="51"/>
      <c r="F183" s="51"/>
      <c r="G183" s="51"/>
    </row>
    <row r="184" spans="2:7" s="1" customFormat="1" ht="16.5" customHeight="1">
      <c r="B184" s="215"/>
      <c r="C184" s="51"/>
      <c r="D184" s="216"/>
      <c r="E184" s="51"/>
      <c r="F184" s="51"/>
      <c r="G184" s="51"/>
    </row>
    <row r="185" spans="2:7" s="1" customFormat="1" ht="16.5" customHeight="1">
      <c r="B185" s="215"/>
      <c r="C185" s="51"/>
      <c r="D185" s="216"/>
      <c r="E185" s="51"/>
      <c r="F185" s="51"/>
      <c r="G185" s="51"/>
    </row>
    <row r="186" spans="2:7" s="1" customFormat="1" ht="16.5" customHeight="1">
      <c r="B186" s="215"/>
      <c r="C186" s="51"/>
      <c r="D186" s="216"/>
      <c r="E186" s="51"/>
      <c r="F186" s="51"/>
      <c r="G186" s="51"/>
    </row>
    <row r="187" spans="2:7" s="1" customFormat="1" ht="16.5" customHeight="1">
      <c r="B187" s="215"/>
      <c r="C187" s="51"/>
      <c r="D187" s="216"/>
      <c r="E187" s="51"/>
      <c r="F187" s="51"/>
      <c r="G187" s="51"/>
    </row>
    <row r="188" spans="2:7" s="1" customFormat="1" ht="16.5" customHeight="1">
      <c r="B188" s="215"/>
      <c r="C188" s="51"/>
      <c r="D188" s="216"/>
      <c r="E188" s="51"/>
      <c r="F188" s="51"/>
      <c r="G188" s="51"/>
    </row>
    <row r="189" spans="2:7" s="1" customFormat="1" ht="16.5" customHeight="1">
      <c r="B189" s="224" t="s">
        <v>1</v>
      </c>
      <c r="C189" s="225"/>
      <c r="D189" s="226">
        <f>SUBTOTAL(109,ExpJun135148161174187200[Amount])</f>
        <v>0</v>
      </c>
      <c r="E189" s="225"/>
      <c r="F189" s="225"/>
      <c r="G189" s="224"/>
    </row>
  </sheetData>
  <dataValidations count="14">
    <dataValidation type="custom" errorStyle="warning" allowBlank="1" showInputMessage="1" showErrorMessage="1" errorTitle="Amount Validation" error="Amount should be a number." sqref="D5:D16 D18 D22:D35 D41:D50 D56:D66 D72:D81 D87:D92 D98:D105 D111:D121 D127:D139 D145:D155 D161:D172 D178:D188">
      <formula1>ISNUMBER($D5)</formula1>
    </dataValidation>
    <dataValidation type="custom" errorStyle="warning" allowBlank="1" showInputMessage="1" showErrorMessage="1" errorTitle="Date Validation" error="A date in July needs be entered  in order for this expense to be added to the Summary sheet." sqref="B5:B16 B18">
      <formula1>MONTH($B5)=7</formula1>
    </dataValidation>
    <dataValidation type="list" errorStyle="warning" allowBlank="1" showInputMessage="1" showErrorMessage="1" errorTitle="Unknown Category" error="An expense from the drop down should be selected in order for it to be included on the Summary sheet." sqref="E5:F16 E18:F18 E22:F35 E41:F50 E56:F66 E72:F81 E87:F92 E98:F105 E111:E121 E127:F139 E145:F155 E161:F172 E178:F188">
      <formula1>ExpenseCategories</formula1>
    </dataValidation>
    <dataValidation type="custom" errorStyle="warning" allowBlank="1" showInputMessage="1" showErrorMessage="1" errorTitle="Date Validation" error="A date in August needs be entered  in order for this expense to be added to the Summary sheet." sqref="B22:B35">
      <formula1>MONTH($B22)=8</formula1>
    </dataValidation>
    <dataValidation type="custom" errorStyle="warning" allowBlank="1" showInputMessage="1" showErrorMessage="1" errorTitle="Date Validation" error="A date in September needs be entered  in order for this expense to be added to the Summary sheet." sqref="B41:B50">
      <formula1>MONTH($B41)=9</formula1>
    </dataValidation>
    <dataValidation type="custom" errorStyle="warning" allowBlank="1" showInputMessage="1" showErrorMessage="1" errorTitle="Date Validation" error="A date in October needs be entered  in order for this expense to be added to the Summary sheet." sqref="B56:B66">
      <formula1>MONTH($B56)=10</formula1>
    </dataValidation>
    <dataValidation type="custom" errorStyle="warning" allowBlank="1" showInputMessage="1" showErrorMessage="1" errorTitle="Date Validation" error="A date in June needs be entered  in order for this expense to be added to the Summary sheet." sqref="B178:B188">
      <formula1>MONTH($B178)=6</formula1>
    </dataValidation>
    <dataValidation type="custom" errorStyle="warning" allowBlank="1" showInputMessage="1" showErrorMessage="1" errorTitle="Date Validation" error="A date in May needs be entered  in order for this expense to be added to the Summary sheet." sqref="B161:B172">
      <formula1>MONTH($B161)=5</formula1>
    </dataValidation>
    <dataValidation type="custom" errorStyle="warning" allowBlank="1" showInputMessage="1" showErrorMessage="1" errorTitle="Date Validation" error="A date in April needs be entered  in order for this expense to be added to the Summary sheet." sqref="B145:B155">
      <formula1>MONTH($B145)=4</formula1>
    </dataValidation>
    <dataValidation type="custom" errorStyle="warning" allowBlank="1" showInputMessage="1" showErrorMessage="1" errorTitle="Date Validation" error="A date in March needs be entered in order for this expense to be added to the Summary sheet." sqref="B127:B139">
      <formula1>MONTH($B127)=3</formula1>
    </dataValidation>
    <dataValidation type="custom" errorStyle="warning" allowBlank="1" showInputMessage="1" showErrorMessage="1" errorTitle="Date Validation" error="A date in February needs be entered in order for this expense to be added to the Summary sheet." sqref="B111:B121">
      <formula1>MONTH($B111)=2</formula1>
    </dataValidation>
    <dataValidation type="custom" errorStyle="warning" allowBlank="1" showInputMessage="1" showErrorMessage="1" errorTitle="Date Validation" error="A date in January needs be entered in order for this expense to be added to the Summary sheet." sqref="B98:B105">
      <formula1>MONTH($B98)=1</formula1>
    </dataValidation>
    <dataValidation type="custom" errorStyle="warning" allowBlank="1" showInputMessage="1" showErrorMessage="1" errorTitle="Date Validation" error="A date in December needs be entered  in order for this expense to be added to the Summary sheet." sqref="B87:B92">
      <formula1>MONTH($B87)=12</formula1>
    </dataValidation>
    <dataValidation type="custom" errorStyle="warning" allowBlank="1" showInputMessage="1" showErrorMessage="1" errorTitle="Date Validation" error="A date in November needs be entered  in order for this expense to be added to the Summary sheet." sqref="B72:B81">
      <formula1>MONTH($B72)=11</formula1>
    </dataValidation>
  </dataValidations>
  <printOptions horizontalCentered="1"/>
  <pageMargins left="0.25" right="0.25" top="0.75" bottom="0.75" header="0.3" footer="0.3"/>
  <pageSetup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9"/>
  <sheetViews>
    <sheetView workbookViewId="0">
      <selection activeCell="N12" sqref="A1:XFD1048576"/>
    </sheetView>
  </sheetViews>
  <sheetFormatPr defaultColWidth="9.140625" defaultRowHeight="12.75"/>
  <cols>
    <col min="1" max="1" width="16.140625" style="260" customWidth="1"/>
    <col min="2" max="2" width="13.42578125" style="260" customWidth="1"/>
    <col min="3" max="3" width="11.42578125" style="260" customWidth="1"/>
    <col min="4" max="4" width="14" style="260" customWidth="1"/>
    <col min="5" max="5" width="14.140625" style="260" customWidth="1"/>
    <col min="6" max="6" width="12.7109375" style="260" customWidth="1"/>
    <col min="7" max="7" width="13.28515625" style="260" customWidth="1"/>
    <col min="8" max="16384" width="9.140625" style="260"/>
  </cols>
  <sheetData>
    <row r="1" spans="1:7" ht="13.5" customHeight="1">
      <c r="A1" s="278" t="s">
        <v>155</v>
      </c>
      <c r="B1" s="279" t="s">
        <v>154</v>
      </c>
      <c r="C1" s="280"/>
      <c r="D1" s="279" t="s">
        <v>153</v>
      </c>
      <c r="E1" s="280"/>
      <c r="F1" s="279" t="s">
        <v>152</v>
      </c>
      <c r="G1" s="280"/>
    </row>
    <row r="2" spans="1:7" ht="22.5">
      <c r="A2" s="516"/>
      <c r="B2" s="517" t="str">
        <f t="shared" ref="B2:B39" si="0">D1</f>
        <v>Current PM Date &amp; Mileage</v>
      </c>
      <c r="C2" s="361"/>
      <c r="D2" s="518"/>
      <c r="E2" s="352"/>
      <c r="F2" s="519">
        <f t="shared" ref="F2:F39" si="1">SUM(E2-E1)</f>
        <v>0</v>
      </c>
      <c r="G2" s="520"/>
    </row>
    <row r="3" spans="1:7">
      <c r="A3" s="516"/>
      <c r="B3" s="354">
        <f t="shared" si="0"/>
        <v>0</v>
      </c>
      <c r="C3" s="355"/>
      <c r="D3" s="521" t="s">
        <v>1458</v>
      </c>
      <c r="E3" s="357">
        <v>4910</v>
      </c>
      <c r="F3" s="358">
        <f t="shared" si="1"/>
        <v>4910</v>
      </c>
      <c r="G3" s="359" t="b">
        <f t="shared" ref="G3:G27" si="2">IF(F3&gt;5250,"OVER")</f>
        <v>0</v>
      </c>
    </row>
    <row r="4" spans="1:7">
      <c r="A4" s="516">
        <v>9427</v>
      </c>
      <c r="B4" s="354" t="str">
        <f t="shared" si="0"/>
        <v>10.22.15</v>
      </c>
      <c r="C4" s="355">
        <v>4910</v>
      </c>
      <c r="D4" s="521" t="s">
        <v>1457</v>
      </c>
      <c r="E4" s="357">
        <v>9844</v>
      </c>
      <c r="F4" s="358">
        <f t="shared" si="1"/>
        <v>4934</v>
      </c>
      <c r="G4" s="359" t="b">
        <f t="shared" si="2"/>
        <v>0</v>
      </c>
    </row>
    <row r="5" spans="1:7">
      <c r="A5" s="516">
        <v>9519</v>
      </c>
      <c r="B5" s="354" t="str">
        <f t="shared" si="0"/>
        <v>12.5.2015</v>
      </c>
      <c r="C5" s="355">
        <v>9844</v>
      </c>
      <c r="D5" s="521" t="s">
        <v>1456</v>
      </c>
      <c r="E5" s="357">
        <v>14894</v>
      </c>
      <c r="F5" s="358">
        <f t="shared" si="1"/>
        <v>5050</v>
      </c>
      <c r="G5" s="359" t="b">
        <f t="shared" si="2"/>
        <v>0</v>
      </c>
    </row>
    <row r="6" spans="1:7">
      <c r="A6" s="516">
        <v>9599</v>
      </c>
      <c r="B6" s="354" t="str">
        <f t="shared" si="0"/>
        <v>1.21.16</v>
      </c>
      <c r="C6" s="355">
        <v>14894</v>
      </c>
      <c r="D6" s="521" t="s">
        <v>1455</v>
      </c>
      <c r="E6" s="357">
        <v>19933</v>
      </c>
      <c r="F6" s="358">
        <f t="shared" si="1"/>
        <v>5039</v>
      </c>
      <c r="G6" s="359" t="b">
        <f t="shared" si="2"/>
        <v>0</v>
      </c>
    </row>
    <row r="7" spans="1:7">
      <c r="A7" s="516">
        <v>9693</v>
      </c>
      <c r="B7" s="354" t="str">
        <f t="shared" si="0"/>
        <v>3.9.16</v>
      </c>
      <c r="C7" s="355">
        <v>19933</v>
      </c>
      <c r="D7" s="521" t="s">
        <v>1454</v>
      </c>
      <c r="E7" s="357">
        <v>25048</v>
      </c>
      <c r="F7" s="358">
        <f t="shared" si="1"/>
        <v>5115</v>
      </c>
      <c r="G7" s="359" t="b">
        <f t="shared" si="2"/>
        <v>0</v>
      </c>
    </row>
    <row r="8" spans="1:7">
      <c r="A8" s="516">
        <v>9778</v>
      </c>
      <c r="B8" s="354" t="str">
        <f t="shared" si="0"/>
        <v>4.26.16</v>
      </c>
      <c r="C8" s="355">
        <v>25048</v>
      </c>
      <c r="D8" s="521" t="s">
        <v>1453</v>
      </c>
      <c r="E8" s="357">
        <v>30107</v>
      </c>
      <c r="F8" s="358">
        <f t="shared" si="1"/>
        <v>5059</v>
      </c>
      <c r="G8" s="359" t="b">
        <f t="shared" si="2"/>
        <v>0</v>
      </c>
    </row>
    <row r="9" spans="1:7">
      <c r="A9" s="516">
        <v>9845</v>
      </c>
      <c r="B9" s="354" t="str">
        <f t="shared" si="0"/>
        <v>6.3.16</v>
      </c>
      <c r="C9" s="355">
        <v>30107</v>
      </c>
      <c r="D9" s="521" t="s">
        <v>1452</v>
      </c>
      <c r="E9" s="357">
        <v>35079</v>
      </c>
      <c r="F9" s="358">
        <f t="shared" si="1"/>
        <v>4972</v>
      </c>
      <c r="G9" s="359" t="b">
        <f t="shared" si="2"/>
        <v>0</v>
      </c>
    </row>
    <row r="10" spans="1:7">
      <c r="A10" s="516">
        <v>9903</v>
      </c>
      <c r="B10" s="354" t="str">
        <f t="shared" si="0"/>
        <v>7.11.16</v>
      </c>
      <c r="C10" s="355">
        <v>35079</v>
      </c>
      <c r="D10" s="521" t="s">
        <v>1451</v>
      </c>
      <c r="E10" s="357">
        <v>40053</v>
      </c>
      <c r="F10" s="358">
        <f t="shared" si="1"/>
        <v>4974</v>
      </c>
      <c r="G10" s="359" t="b">
        <f t="shared" si="2"/>
        <v>0</v>
      </c>
    </row>
    <row r="11" spans="1:7">
      <c r="A11" s="516">
        <v>10010</v>
      </c>
      <c r="B11" s="354" t="str">
        <f t="shared" si="0"/>
        <v>9.3.16</v>
      </c>
      <c r="C11" s="355">
        <v>40053</v>
      </c>
      <c r="D11" s="521" t="s">
        <v>1450</v>
      </c>
      <c r="E11" s="357">
        <v>44996</v>
      </c>
      <c r="F11" s="358">
        <f t="shared" si="1"/>
        <v>4943</v>
      </c>
      <c r="G11" s="359" t="b">
        <f t="shared" si="2"/>
        <v>0</v>
      </c>
    </row>
    <row r="12" spans="1:7">
      <c r="A12" s="516">
        <v>10086</v>
      </c>
      <c r="B12" s="354" t="str">
        <f t="shared" si="0"/>
        <v>10.10.16</v>
      </c>
      <c r="C12" s="355">
        <v>44996</v>
      </c>
      <c r="D12" s="521" t="s">
        <v>1449</v>
      </c>
      <c r="E12" s="357">
        <v>50016</v>
      </c>
      <c r="F12" s="358">
        <f t="shared" si="1"/>
        <v>5020</v>
      </c>
      <c r="G12" s="359" t="b">
        <f t="shared" si="2"/>
        <v>0</v>
      </c>
    </row>
    <row r="13" spans="1:7">
      <c r="A13" s="516">
        <v>10162</v>
      </c>
      <c r="B13" s="354" t="str">
        <f t="shared" si="0"/>
        <v>11.23.16</v>
      </c>
      <c r="C13" s="355">
        <v>50016</v>
      </c>
      <c r="D13" s="521" t="s">
        <v>1448</v>
      </c>
      <c r="E13" s="357">
        <v>55041</v>
      </c>
      <c r="F13" s="358">
        <f t="shared" si="1"/>
        <v>5025</v>
      </c>
      <c r="G13" s="359" t="b">
        <f t="shared" si="2"/>
        <v>0</v>
      </c>
    </row>
    <row r="14" spans="1:7">
      <c r="A14" s="516">
        <v>10236</v>
      </c>
      <c r="B14" s="354" t="str">
        <f t="shared" si="0"/>
        <v>1.10.17</v>
      </c>
      <c r="C14" s="355">
        <v>55041</v>
      </c>
      <c r="D14" s="521" t="s">
        <v>693</v>
      </c>
      <c r="E14" s="357">
        <v>59965</v>
      </c>
      <c r="F14" s="358">
        <f t="shared" si="1"/>
        <v>4924</v>
      </c>
      <c r="G14" s="359" t="b">
        <f t="shared" si="2"/>
        <v>0</v>
      </c>
    </row>
    <row r="15" spans="1:7">
      <c r="A15" s="516">
        <v>10302</v>
      </c>
      <c r="B15" s="354" t="str">
        <f t="shared" si="0"/>
        <v>2.16.17</v>
      </c>
      <c r="C15" s="355">
        <v>59965</v>
      </c>
      <c r="D15" s="521" t="s">
        <v>1271</v>
      </c>
      <c r="E15" s="538">
        <v>65024</v>
      </c>
      <c r="F15" s="358">
        <f t="shared" si="1"/>
        <v>5059</v>
      </c>
      <c r="G15" s="359" t="b">
        <f t="shared" si="2"/>
        <v>0</v>
      </c>
    </row>
    <row r="16" spans="1:7">
      <c r="A16" s="516">
        <v>10397</v>
      </c>
      <c r="B16" s="354" t="str">
        <f t="shared" si="0"/>
        <v>4.4.17</v>
      </c>
      <c r="C16" s="361">
        <v>65024</v>
      </c>
      <c r="D16" s="522" t="s">
        <v>1447</v>
      </c>
      <c r="E16" s="363">
        <v>69971</v>
      </c>
      <c r="F16" s="358">
        <f t="shared" si="1"/>
        <v>4947</v>
      </c>
      <c r="G16" s="359" t="b">
        <f t="shared" si="2"/>
        <v>0</v>
      </c>
    </row>
    <row r="17" spans="1:7" ht="13.5" thickBot="1">
      <c r="A17" s="523">
        <v>10491</v>
      </c>
      <c r="B17" s="354" t="str">
        <f t="shared" si="0"/>
        <v>5.20.17</v>
      </c>
      <c r="C17" s="365">
        <v>69971</v>
      </c>
      <c r="D17" s="524" t="s">
        <v>1446</v>
      </c>
      <c r="E17" s="367">
        <v>74814</v>
      </c>
      <c r="F17" s="358">
        <f t="shared" si="1"/>
        <v>4843</v>
      </c>
      <c r="G17" s="359" t="b">
        <f t="shared" si="2"/>
        <v>0</v>
      </c>
    </row>
    <row r="18" spans="1:7" ht="13.5" thickBot="1">
      <c r="A18" s="525">
        <v>10588</v>
      </c>
      <c r="B18" s="354" t="str">
        <f t="shared" si="0"/>
        <v>6.23.17</v>
      </c>
      <c r="C18" s="370">
        <v>74814</v>
      </c>
      <c r="D18" s="526" t="s">
        <v>1445</v>
      </c>
      <c r="E18" s="372">
        <v>79771</v>
      </c>
      <c r="F18" s="358">
        <f t="shared" si="1"/>
        <v>4957</v>
      </c>
      <c r="G18" s="359" t="b">
        <f t="shared" si="2"/>
        <v>0</v>
      </c>
    </row>
    <row r="19" spans="1:7">
      <c r="A19" s="527">
        <v>10656</v>
      </c>
      <c r="B19" s="354" t="str">
        <f t="shared" si="0"/>
        <v>7.25.17</v>
      </c>
      <c r="C19" s="375">
        <v>79771</v>
      </c>
      <c r="D19" s="528" t="s">
        <v>1444</v>
      </c>
      <c r="E19" s="377">
        <v>84731</v>
      </c>
      <c r="F19" s="358">
        <f t="shared" si="1"/>
        <v>4960</v>
      </c>
      <c r="G19" s="359" t="b">
        <f t="shared" si="2"/>
        <v>0</v>
      </c>
    </row>
    <row r="20" spans="1:7">
      <c r="A20" s="516">
        <v>10758</v>
      </c>
      <c r="B20" s="354" t="str">
        <f t="shared" si="0"/>
        <v>8.30.17</v>
      </c>
      <c r="C20" s="355">
        <v>84731</v>
      </c>
      <c r="D20" s="521" t="s">
        <v>1443</v>
      </c>
      <c r="E20" s="357">
        <v>89670</v>
      </c>
      <c r="F20" s="358">
        <f t="shared" si="1"/>
        <v>4939</v>
      </c>
      <c r="G20" s="359" t="b">
        <f t="shared" si="2"/>
        <v>0</v>
      </c>
    </row>
    <row r="21" spans="1:7">
      <c r="A21" s="516">
        <v>10844</v>
      </c>
      <c r="B21" s="354" t="str">
        <f t="shared" si="0"/>
        <v>10.3.17</v>
      </c>
      <c r="C21" s="355">
        <v>89670</v>
      </c>
      <c r="D21" s="521"/>
      <c r="E21" s="357"/>
      <c r="F21" s="358">
        <f t="shared" si="1"/>
        <v>-89670</v>
      </c>
      <c r="G21" s="359" t="b">
        <f t="shared" si="2"/>
        <v>0</v>
      </c>
    </row>
    <row r="22" spans="1:7">
      <c r="A22" s="516"/>
      <c r="B22" s="354">
        <f t="shared" si="0"/>
        <v>0</v>
      </c>
      <c r="C22" s="355"/>
      <c r="D22" s="521"/>
      <c r="E22" s="357"/>
      <c r="F22" s="358">
        <f t="shared" si="1"/>
        <v>0</v>
      </c>
      <c r="G22" s="359" t="b">
        <f t="shared" si="2"/>
        <v>0</v>
      </c>
    </row>
    <row r="23" spans="1:7">
      <c r="A23" s="516"/>
      <c r="B23" s="354">
        <f t="shared" si="0"/>
        <v>0</v>
      </c>
      <c r="C23" s="355"/>
      <c r="D23" s="521"/>
      <c r="E23" s="357"/>
      <c r="F23" s="358">
        <f t="shared" si="1"/>
        <v>0</v>
      </c>
      <c r="G23" s="359" t="b">
        <f t="shared" si="2"/>
        <v>0</v>
      </c>
    </row>
    <row r="24" spans="1:7">
      <c r="A24" s="516"/>
      <c r="B24" s="354">
        <f t="shared" si="0"/>
        <v>0</v>
      </c>
      <c r="C24" s="355"/>
      <c r="D24" s="521"/>
      <c r="E24" s="357"/>
      <c r="F24" s="358">
        <f t="shared" si="1"/>
        <v>0</v>
      </c>
      <c r="G24" s="359" t="b">
        <f t="shared" si="2"/>
        <v>0</v>
      </c>
    </row>
    <row r="25" spans="1:7">
      <c r="A25" s="516"/>
      <c r="B25" s="354">
        <f t="shared" si="0"/>
        <v>0</v>
      </c>
      <c r="C25" s="355"/>
      <c r="D25" s="521"/>
      <c r="E25" s="357"/>
      <c r="F25" s="358">
        <f t="shared" si="1"/>
        <v>0</v>
      </c>
      <c r="G25" s="359" t="b">
        <f t="shared" si="2"/>
        <v>0</v>
      </c>
    </row>
    <row r="26" spans="1:7">
      <c r="A26" s="516"/>
      <c r="B26" s="354">
        <f t="shared" si="0"/>
        <v>0</v>
      </c>
      <c r="C26" s="355"/>
      <c r="D26" s="521"/>
      <c r="E26" s="357"/>
      <c r="F26" s="358">
        <f t="shared" si="1"/>
        <v>0</v>
      </c>
      <c r="G26" s="359" t="b">
        <f t="shared" si="2"/>
        <v>0</v>
      </c>
    </row>
    <row r="27" spans="1:7">
      <c r="A27" s="516"/>
      <c r="B27" s="354">
        <f t="shared" si="0"/>
        <v>0</v>
      </c>
      <c r="C27" s="355"/>
      <c r="D27" s="521"/>
      <c r="E27" s="357"/>
      <c r="F27" s="358">
        <f t="shared" si="1"/>
        <v>0</v>
      </c>
      <c r="G27" s="359" t="b">
        <f t="shared" si="2"/>
        <v>0</v>
      </c>
    </row>
    <row r="28" spans="1:7">
      <c r="A28" s="516"/>
      <c r="B28" s="354">
        <f t="shared" si="0"/>
        <v>0</v>
      </c>
      <c r="C28" s="355"/>
      <c r="D28" s="521"/>
      <c r="E28" s="357"/>
      <c r="F28" s="358">
        <f t="shared" si="1"/>
        <v>0</v>
      </c>
      <c r="G28" s="359"/>
    </row>
    <row r="29" spans="1:7">
      <c r="A29" s="516"/>
      <c r="B29" s="354">
        <f t="shared" si="0"/>
        <v>0</v>
      </c>
      <c r="C29" s="355"/>
      <c r="D29" s="521"/>
      <c r="E29" s="357"/>
      <c r="F29" s="358">
        <f t="shared" si="1"/>
        <v>0</v>
      </c>
      <c r="G29" s="359"/>
    </row>
    <row r="30" spans="1:7">
      <c r="A30" s="516"/>
      <c r="B30" s="354">
        <f t="shared" si="0"/>
        <v>0</v>
      </c>
      <c r="C30" s="355"/>
      <c r="D30" s="521"/>
      <c r="E30" s="357"/>
      <c r="F30" s="358">
        <f t="shared" si="1"/>
        <v>0</v>
      </c>
      <c r="G30" s="359"/>
    </row>
    <row r="31" spans="1:7">
      <c r="A31" s="516"/>
      <c r="B31" s="354">
        <f t="shared" si="0"/>
        <v>0</v>
      </c>
      <c r="C31" s="355"/>
      <c r="D31" s="521"/>
      <c r="E31" s="357"/>
      <c r="F31" s="358">
        <f t="shared" si="1"/>
        <v>0</v>
      </c>
      <c r="G31" s="359"/>
    </row>
    <row r="32" spans="1:7">
      <c r="A32" s="516"/>
      <c r="B32" s="354">
        <f t="shared" si="0"/>
        <v>0</v>
      </c>
      <c r="C32" s="355"/>
      <c r="D32" s="521"/>
      <c r="E32" s="357"/>
      <c r="F32" s="358">
        <f t="shared" si="1"/>
        <v>0</v>
      </c>
      <c r="G32" s="359"/>
    </row>
    <row r="33" spans="1:7">
      <c r="A33" s="516"/>
      <c r="B33" s="354">
        <f t="shared" si="0"/>
        <v>0</v>
      </c>
      <c r="C33" s="355"/>
      <c r="D33" s="521"/>
      <c r="E33" s="357"/>
      <c r="F33" s="358">
        <f t="shared" si="1"/>
        <v>0</v>
      </c>
      <c r="G33" s="359"/>
    </row>
    <row r="34" spans="1:7">
      <c r="A34" s="516"/>
      <c r="B34" s="354">
        <f t="shared" si="0"/>
        <v>0</v>
      </c>
      <c r="C34" s="355"/>
      <c r="D34" s="521"/>
      <c r="E34" s="357"/>
      <c r="F34" s="358">
        <f t="shared" si="1"/>
        <v>0</v>
      </c>
      <c r="G34" s="359"/>
    </row>
    <row r="35" spans="1:7">
      <c r="A35" s="516"/>
      <c r="B35" s="354">
        <f t="shared" si="0"/>
        <v>0</v>
      </c>
      <c r="C35" s="355"/>
      <c r="D35" s="521"/>
      <c r="E35" s="357"/>
      <c r="F35" s="358">
        <f t="shared" si="1"/>
        <v>0</v>
      </c>
      <c r="G35" s="359"/>
    </row>
    <row r="36" spans="1:7">
      <c r="A36" s="516"/>
      <c r="B36" s="354">
        <f t="shared" si="0"/>
        <v>0</v>
      </c>
      <c r="C36" s="355"/>
      <c r="D36" s="521"/>
      <c r="E36" s="357"/>
      <c r="F36" s="358">
        <f t="shared" si="1"/>
        <v>0</v>
      </c>
      <c r="G36" s="359"/>
    </row>
    <row r="37" spans="1:7">
      <c r="A37" s="516"/>
      <c r="B37" s="354">
        <f t="shared" si="0"/>
        <v>0</v>
      </c>
      <c r="C37" s="355"/>
      <c r="D37" s="521"/>
      <c r="E37" s="357"/>
      <c r="F37" s="358">
        <f t="shared" si="1"/>
        <v>0</v>
      </c>
      <c r="G37" s="359"/>
    </row>
    <row r="38" spans="1:7">
      <c r="A38" s="516"/>
      <c r="B38" s="354">
        <f t="shared" si="0"/>
        <v>0</v>
      </c>
      <c r="C38" s="355"/>
      <c r="D38" s="521"/>
      <c r="E38" s="357"/>
      <c r="F38" s="358">
        <f t="shared" si="1"/>
        <v>0</v>
      </c>
      <c r="G38" s="359"/>
    </row>
    <row r="39" spans="1:7">
      <c r="A39" s="516"/>
      <c r="B39" s="354">
        <f t="shared" si="0"/>
        <v>0</v>
      </c>
      <c r="C39" s="355"/>
      <c r="D39" s="521"/>
      <c r="E39" s="357"/>
      <c r="F39" s="358">
        <f t="shared" si="1"/>
        <v>0</v>
      </c>
      <c r="G39" s="359"/>
    </row>
  </sheetData>
  <mergeCells count="3">
    <mergeCell ref="B1:C1"/>
    <mergeCell ref="D1:E1"/>
    <mergeCell ref="F1:G1"/>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R17"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'[8]Projected Maint Practices'!Q7</f>
        <v>4913</v>
      </c>
      <c r="D6" s="264">
        <f>'[8]True Maint Practices'!Q7</f>
        <v>2827</v>
      </c>
    </row>
    <row r="7" spans="1:6" ht="15">
      <c r="B7" s="263">
        <v>2</v>
      </c>
      <c r="C7" s="264">
        <f>'[8]Projected Maint Practices'!Q8</f>
        <v>4913</v>
      </c>
      <c r="D7" s="264">
        <f>'[8]True Maint Practices'!Q8</f>
        <v>2499</v>
      </c>
    </row>
    <row r="8" spans="1:6" ht="15">
      <c r="B8" s="263">
        <v>3</v>
      </c>
      <c r="C8" s="264">
        <f>'[8]Projected Maint Practices'!Q9</f>
        <v>4913</v>
      </c>
      <c r="D8" s="264">
        <f>'[8]True Maint Practices'!Q9</f>
        <v>3530.5</v>
      </c>
    </row>
    <row r="9" spans="1:6" ht="15">
      <c r="B9" s="263">
        <v>4</v>
      </c>
      <c r="C9" s="264">
        <f>'[8]Projected Maint Practices'!Q10</f>
        <v>4913</v>
      </c>
      <c r="D9" s="264">
        <f>'[8]True Maint Practices'!Q10</f>
        <v>2735</v>
      </c>
    </row>
    <row r="10" spans="1:6" ht="15">
      <c r="B10" s="263">
        <v>5</v>
      </c>
      <c r="C10" s="264">
        <f>'[8]Projected Maint Practices'!Q11</f>
        <v>17239.669999999998</v>
      </c>
      <c r="D10" s="264">
        <f>'[8]True Maint Practices'!Q11</f>
        <v>0</v>
      </c>
    </row>
    <row r="11" spans="1:6" ht="15">
      <c r="B11" s="263">
        <v>6</v>
      </c>
      <c r="C11" s="264">
        <f>'[8]Projected Maint Practices'!Q12</f>
        <v>4913</v>
      </c>
      <c r="D11" s="264">
        <f>'[8]True Maint Practices'!Q12</f>
        <v>0</v>
      </c>
    </row>
    <row r="12" spans="1:6" ht="15">
      <c r="B12" s="263">
        <v>7</v>
      </c>
      <c r="C12" s="264">
        <f>'[8]Projected Maint Practices'!Q13</f>
        <v>4913</v>
      </c>
      <c r="D12" s="264">
        <f>'[8]True Maint Practices'!Q13</f>
        <v>0</v>
      </c>
    </row>
    <row r="13" spans="1:6" ht="15">
      <c r="B13" s="263">
        <v>8</v>
      </c>
      <c r="C13" s="264">
        <f>'[8]Projected Maint Practices'!Q14</f>
        <v>4913</v>
      </c>
      <c r="D13" s="264">
        <f>'[8]True Maint Practices'!Q14</f>
        <v>0</v>
      </c>
    </row>
    <row r="14" spans="1:6" ht="15">
      <c r="B14" s="263">
        <v>9</v>
      </c>
      <c r="C14" s="264">
        <f>'[8]Projected Maint Practices'!Q15</f>
        <v>4913</v>
      </c>
      <c r="D14" s="264">
        <f>'[8]True Maint Practices'!Q15</f>
        <v>0</v>
      </c>
    </row>
    <row r="15" spans="1:6" ht="15">
      <c r="B15" s="263">
        <v>10</v>
      </c>
      <c r="C15" s="264">
        <f>'[8]Projected Maint Practices'!Q16</f>
        <v>4913</v>
      </c>
      <c r="D15" s="264">
        <f>'[8]True Maint Practices'!Q16</f>
        <v>0</v>
      </c>
    </row>
    <row r="16" spans="1:6" ht="15">
      <c r="B16" s="263">
        <v>11</v>
      </c>
      <c r="C16" s="264">
        <f>'[8]Projected Maint Practices'!Q17</f>
        <v>4913</v>
      </c>
      <c r="D16" s="264">
        <f>'[8]True Maint Practices'!Q17</f>
        <v>0</v>
      </c>
    </row>
    <row r="17" spans="2:4" ht="15">
      <c r="B17" s="263">
        <v>12</v>
      </c>
      <c r="C17" s="264">
        <f>'[8]Projected Maint Practices'!Q18</f>
        <v>4913</v>
      </c>
      <c r="D17" s="264">
        <f>'[8]True Maint Practices'!Q18</f>
        <v>0</v>
      </c>
    </row>
    <row r="18" spans="2:4" ht="15">
      <c r="B18" s="260" t="s">
        <v>1</v>
      </c>
      <c r="C18" s="264">
        <f>SUM(C6:C17)</f>
        <v>71282.67</v>
      </c>
      <c r="D18" s="264">
        <f>SUM(D6:D17)</f>
        <v>11591.5</v>
      </c>
    </row>
  </sheetData>
  <printOptions horizontalCentered="1" verticalCentered="1"/>
  <pageMargins left="0.5" right="0.5" top="0.75" bottom="0.75" header="0.5" footer="0.5"/>
  <pageSetup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2:V106"/>
  <sheetViews>
    <sheetView showGridLines="0" topLeftCell="A9" zoomScaleNormal="100" workbookViewId="0">
      <selection activeCell="S19" sqref="A1:XFD1048576"/>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2" spans="2:22" s="1" customFormat="1" ht="31.5" customHeight="1">
      <c r="B2" s="184" t="s">
        <v>1493</v>
      </c>
    </row>
    <row r="12" spans="2:22" s="1" customFormat="1" ht="16.5" customHeight="1">
      <c r="V12" s="1" t="s">
        <v>32</v>
      </c>
    </row>
    <row r="18" spans="2:16" s="1" customFormat="1"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s="1" customFormat="1" ht="16.5" customHeight="1">
      <c r="B19" s="101" t="s">
        <v>17</v>
      </c>
      <c r="C19" s="8"/>
      <c r="D19" s="8"/>
      <c r="E19" s="8"/>
      <c r="F19" s="8"/>
      <c r="G19" s="8"/>
      <c r="H19" s="8"/>
      <c r="I19" s="8">
        <v>153.07</v>
      </c>
      <c r="J19" s="8">
        <v>184.95</v>
      </c>
      <c r="K19" s="8"/>
      <c r="L19" s="8"/>
      <c r="M19" s="30"/>
      <c r="N19" s="8"/>
      <c r="O19" s="4">
        <f t="shared" ref="O19:O38" si="0">SUM(C19:N19)</f>
        <v>338.02</v>
      </c>
      <c r="P19" s="102"/>
    </row>
    <row r="20" spans="2:16" s="1" customFormat="1" ht="16.5" customHeight="1">
      <c r="B20" s="101" t="s">
        <v>16</v>
      </c>
      <c r="C20" s="8"/>
      <c r="D20" s="8"/>
      <c r="E20" s="8"/>
      <c r="F20" s="8"/>
      <c r="G20" s="8"/>
      <c r="H20" s="8"/>
      <c r="I20" s="8"/>
      <c r="J20" s="8"/>
      <c r="K20" s="8"/>
      <c r="L20" s="8"/>
      <c r="M20" s="30"/>
      <c r="N20" s="8"/>
      <c r="O20" s="4">
        <f t="shared" si="0"/>
        <v>0</v>
      </c>
      <c r="P20" s="102"/>
    </row>
    <row r="21" spans="2:16" s="1" customFormat="1" ht="16.5" customHeight="1">
      <c r="B21" s="101" t="s">
        <v>15</v>
      </c>
      <c r="C21" s="8"/>
      <c r="D21" s="8"/>
      <c r="E21" s="8"/>
      <c r="F21" s="8"/>
      <c r="G21" s="8"/>
      <c r="H21" s="8"/>
      <c r="I21" s="8"/>
      <c r="J21" s="8"/>
      <c r="K21" s="8"/>
      <c r="L21" s="8"/>
      <c r="M21" s="30"/>
      <c r="N21" s="8"/>
      <c r="O21" s="4">
        <f t="shared" si="0"/>
        <v>0</v>
      </c>
      <c r="P21" s="102"/>
    </row>
    <row r="22" spans="2:16" s="1" customFormat="1" ht="16.5" customHeight="1">
      <c r="B22" s="101" t="s">
        <v>14</v>
      </c>
      <c r="C22" s="8"/>
      <c r="D22" s="8"/>
      <c r="E22" s="8"/>
      <c r="F22" s="8"/>
      <c r="G22" s="8"/>
      <c r="H22" s="8"/>
      <c r="I22" s="8"/>
      <c r="J22" s="8"/>
      <c r="K22" s="8"/>
      <c r="L22" s="8"/>
      <c r="M22" s="30"/>
      <c r="N22" s="8"/>
      <c r="O22" s="4">
        <f t="shared" si="0"/>
        <v>0</v>
      </c>
      <c r="P22" s="102"/>
    </row>
    <row r="23" spans="2:16" s="1" customFormat="1" ht="16.5" customHeight="1">
      <c r="B23" s="101" t="s">
        <v>13</v>
      </c>
      <c r="C23" s="8"/>
      <c r="D23" s="8"/>
      <c r="E23" s="8"/>
      <c r="F23" s="8"/>
      <c r="G23" s="8"/>
      <c r="H23" s="8"/>
      <c r="I23" s="8"/>
      <c r="J23" s="8"/>
      <c r="K23" s="8"/>
      <c r="L23" s="8"/>
      <c r="M23" s="30"/>
      <c r="N23" s="8"/>
      <c r="O23" s="4">
        <f t="shared" si="0"/>
        <v>0</v>
      </c>
      <c r="P23" s="102"/>
    </row>
    <row r="24" spans="2:16" s="1" customFormat="1" ht="16.5" customHeight="1">
      <c r="B24" s="103" t="s">
        <v>12</v>
      </c>
      <c r="C24" s="17"/>
      <c r="D24" s="17"/>
      <c r="E24" s="17"/>
      <c r="F24" s="17"/>
      <c r="G24" s="17"/>
      <c r="H24" s="17"/>
      <c r="I24" s="17"/>
      <c r="J24" s="17"/>
      <c r="K24" s="17"/>
      <c r="L24" s="17"/>
      <c r="M24" s="35"/>
      <c r="N24" s="17"/>
      <c r="O24" s="4">
        <f t="shared" si="0"/>
        <v>0</v>
      </c>
      <c r="P24" s="102"/>
    </row>
    <row r="25" spans="2:16" s="1" customFormat="1" ht="16.5" customHeight="1">
      <c r="B25" s="103" t="s">
        <v>11</v>
      </c>
      <c r="C25" s="17"/>
      <c r="D25" s="17"/>
      <c r="E25" s="17"/>
      <c r="F25" s="17"/>
      <c r="G25" s="17"/>
      <c r="H25" s="17"/>
      <c r="I25" s="17"/>
      <c r="J25" s="17"/>
      <c r="K25" s="17"/>
      <c r="L25" s="17"/>
      <c r="M25" s="35"/>
      <c r="N25" s="17"/>
      <c r="O25" s="4">
        <f t="shared" si="0"/>
        <v>0</v>
      </c>
      <c r="P25" s="102"/>
    </row>
    <row r="26" spans="2:16" s="1" customFormat="1" ht="16.5" customHeight="1">
      <c r="B26" s="103" t="s">
        <v>10</v>
      </c>
      <c r="C26" s="17"/>
      <c r="D26" s="17"/>
      <c r="E26" s="17"/>
      <c r="F26" s="17"/>
      <c r="G26" s="17"/>
      <c r="H26" s="17"/>
      <c r="I26" s="17"/>
      <c r="J26" s="17"/>
      <c r="K26" s="17"/>
      <c r="L26" s="17"/>
      <c r="M26" s="35"/>
      <c r="N26" s="17"/>
      <c r="O26" s="4">
        <f t="shared" si="0"/>
        <v>0</v>
      </c>
      <c r="P26" s="102"/>
    </row>
    <row r="27" spans="2:16" s="1" customFormat="1" ht="16.5" customHeight="1">
      <c r="B27" s="103" t="s">
        <v>9</v>
      </c>
      <c r="C27" s="17"/>
      <c r="D27" s="17"/>
      <c r="E27" s="17"/>
      <c r="F27" s="17"/>
      <c r="G27" s="17"/>
      <c r="H27" s="17"/>
      <c r="I27" s="17"/>
      <c r="J27" s="17"/>
      <c r="K27" s="17"/>
      <c r="L27" s="17"/>
      <c r="M27" s="35"/>
      <c r="N27" s="17"/>
      <c r="O27" s="4">
        <f t="shared" si="0"/>
        <v>0</v>
      </c>
      <c r="P27" s="102"/>
    </row>
    <row r="28" spans="2:16" s="1" customFormat="1" ht="16.5" hidden="1" customHeight="1">
      <c r="B28" s="103"/>
      <c r="C28" s="15"/>
      <c r="D28" s="15"/>
      <c r="E28" s="15"/>
      <c r="F28" s="15"/>
      <c r="G28" s="15"/>
      <c r="H28" s="15"/>
      <c r="I28" s="15"/>
      <c r="J28" s="15"/>
      <c r="K28" s="15"/>
      <c r="L28" s="15"/>
      <c r="M28" s="16"/>
      <c r="N28" s="15"/>
      <c r="O28" s="4">
        <f t="shared" si="0"/>
        <v>0</v>
      </c>
      <c r="P28" s="102"/>
    </row>
    <row r="29" spans="2:16" s="1" customFormat="1" ht="16.5" hidden="1" customHeight="1">
      <c r="B29" s="103"/>
      <c r="C29" s="15"/>
      <c r="D29" s="15"/>
      <c r="E29" s="15"/>
      <c r="F29" s="15"/>
      <c r="G29" s="15"/>
      <c r="H29" s="15"/>
      <c r="I29" s="15"/>
      <c r="J29" s="15"/>
      <c r="K29" s="15"/>
      <c r="L29" s="15"/>
      <c r="M29" s="16"/>
      <c r="N29" s="15"/>
      <c r="O29" s="4">
        <f t="shared" si="0"/>
        <v>0</v>
      </c>
      <c r="P29" s="102"/>
    </row>
    <row r="30" spans="2:16" s="1" customFormat="1" ht="16.5" hidden="1" customHeight="1">
      <c r="B30" s="103"/>
      <c r="C30" s="15"/>
      <c r="D30" s="15"/>
      <c r="E30" s="15"/>
      <c r="F30" s="15"/>
      <c r="G30" s="15"/>
      <c r="H30" s="15"/>
      <c r="I30" s="15"/>
      <c r="J30" s="15"/>
      <c r="K30" s="15"/>
      <c r="L30" s="15"/>
      <c r="M30" s="16"/>
      <c r="N30" s="15"/>
      <c r="O30" s="4">
        <f t="shared" si="0"/>
        <v>0</v>
      </c>
      <c r="P30" s="102"/>
    </row>
    <row r="31" spans="2:16" s="1" customFormat="1" ht="16.5" hidden="1" customHeight="1">
      <c r="B31" s="103"/>
      <c r="C31" s="15"/>
      <c r="D31" s="15"/>
      <c r="E31" s="15"/>
      <c r="F31" s="15"/>
      <c r="G31" s="15"/>
      <c r="H31" s="15"/>
      <c r="I31" s="15"/>
      <c r="J31" s="15"/>
      <c r="K31" s="15"/>
      <c r="L31" s="15"/>
      <c r="M31" s="16"/>
      <c r="N31" s="15"/>
      <c r="O31" s="4">
        <f t="shared" si="0"/>
        <v>0</v>
      </c>
      <c r="P31" s="102"/>
    </row>
    <row r="32" spans="2:16" s="1" customFormat="1" ht="16.5" customHeight="1">
      <c r="B32" s="103" t="s">
        <v>8</v>
      </c>
      <c r="C32" s="4"/>
      <c r="D32" s="4"/>
      <c r="E32" s="4"/>
      <c r="F32" s="4"/>
      <c r="G32" s="4"/>
      <c r="H32" s="4"/>
      <c r="I32" s="4"/>
      <c r="J32" s="4"/>
      <c r="K32" s="4"/>
      <c r="L32" s="4"/>
      <c r="M32" s="33"/>
      <c r="N32" s="4"/>
      <c r="O32" s="4">
        <f t="shared" si="0"/>
        <v>0</v>
      </c>
      <c r="P32" s="102"/>
    </row>
    <row r="33" spans="2:18" s="1" customFormat="1" ht="16.5" customHeight="1">
      <c r="B33" s="103" t="s">
        <v>7</v>
      </c>
      <c r="C33" s="12"/>
      <c r="D33" s="12"/>
      <c r="E33" s="12"/>
      <c r="F33" s="12"/>
      <c r="G33" s="12"/>
      <c r="H33" s="12"/>
      <c r="I33" s="12"/>
      <c r="J33" s="12"/>
      <c r="K33" s="12"/>
      <c r="L33" s="12"/>
      <c r="M33" s="32"/>
      <c r="N33" s="12"/>
      <c r="O33" s="4">
        <f t="shared" si="0"/>
        <v>0</v>
      </c>
      <c r="P33" s="102"/>
    </row>
    <row r="34" spans="2:18" s="1" customFormat="1" ht="16.5" customHeight="1">
      <c r="B34" s="103" t="s">
        <v>6</v>
      </c>
      <c r="C34" s="41"/>
      <c r="D34" s="41"/>
      <c r="E34" s="41"/>
      <c r="F34" s="41"/>
      <c r="G34" s="41"/>
      <c r="H34" s="41"/>
      <c r="I34" s="41"/>
      <c r="J34" s="41"/>
      <c r="K34" s="41"/>
      <c r="L34" s="41"/>
      <c r="M34" s="42"/>
      <c r="N34" s="41"/>
      <c r="O34" s="4">
        <f t="shared" si="0"/>
        <v>0</v>
      </c>
      <c r="P34" s="102"/>
    </row>
    <row r="35" spans="2:18" s="1" customFormat="1" ht="16.5" customHeight="1">
      <c r="B35" s="103" t="s">
        <v>5</v>
      </c>
      <c r="C35" s="8"/>
      <c r="D35" s="8"/>
      <c r="E35" s="8"/>
      <c r="F35" s="8"/>
      <c r="G35" s="8"/>
      <c r="H35" s="8"/>
      <c r="I35" s="8"/>
      <c r="J35" s="8"/>
      <c r="K35" s="8">
        <v>10.47</v>
      </c>
      <c r="L35" s="8"/>
      <c r="M35" s="30"/>
      <c r="N35" s="8"/>
      <c r="O35" s="4">
        <f t="shared" si="0"/>
        <v>10.47</v>
      </c>
      <c r="P35" s="102"/>
    </row>
    <row r="36" spans="2:18" s="1" customFormat="1" ht="16.5" customHeight="1">
      <c r="B36" s="103" t="s">
        <v>171</v>
      </c>
      <c r="C36" s="8"/>
      <c r="D36" s="8"/>
      <c r="E36" s="8"/>
      <c r="F36" s="8"/>
      <c r="G36" s="8"/>
      <c r="H36" s="8"/>
      <c r="I36" s="8"/>
      <c r="J36" s="8"/>
      <c r="K36" s="8"/>
      <c r="L36" s="8"/>
      <c r="M36" s="30"/>
      <c r="N36" s="8"/>
      <c r="O36" s="4">
        <f t="shared" si="0"/>
        <v>0</v>
      </c>
      <c r="P36" s="102"/>
    </row>
    <row r="37" spans="2:18" s="1" customFormat="1" ht="16.5" customHeight="1">
      <c r="B37" s="103" t="s">
        <v>1492</v>
      </c>
      <c r="C37" s="41"/>
      <c r="D37" s="41"/>
      <c r="E37" s="41"/>
      <c r="F37" s="41"/>
      <c r="G37" s="41"/>
      <c r="H37" s="41"/>
      <c r="I37" s="41"/>
      <c r="J37" s="41"/>
      <c r="K37" s="41"/>
      <c r="L37" s="41"/>
      <c r="M37" s="42"/>
      <c r="N37" s="41"/>
      <c r="O37" s="4">
        <f t="shared" si="0"/>
        <v>0</v>
      </c>
      <c r="P37" s="102"/>
    </row>
    <row r="38" spans="2:18" s="1" customFormat="1" ht="16.5" customHeight="1">
      <c r="B38" s="103" t="s">
        <v>2</v>
      </c>
      <c r="C38" s="5"/>
      <c r="D38" s="5"/>
      <c r="E38" s="5"/>
      <c r="F38" s="5"/>
      <c r="G38" s="5"/>
      <c r="H38" s="5"/>
      <c r="I38" s="5"/>
      <c r="J38" s="5"/>
      <c r="K38" s="5">
        <v>40</v>
      </c>
      <c r="L38" s="5"/>
      <c r="M38" s="29"/>
      <c r="N38" s="5"/>
      <c r="O38" s="4">
        <f t="shared" si="0"/>
        <v>40</v>
      </c>
      <c r="P38" s="102"/>
    </row>
    <row r="39" spans="2:18" s="1" customFormat="1" ht="16.5" customHeight="1">
      <c r="B39" s="103" t="s">
        <v>3</v>
      </c>
      <c r="C39" s="8"/>
      <c r="D39" s="8"/>
      <c r="E39" s="8"/>
      <c r="F39" s="8"/>
      <c r="G39" s="8"/>
      <c r="H39" s="8"/>
      <c r="I39" s="8"/>
      <c r="J39" s="8"/>
      <c r="K39" s="8">
        <v>6.06</v>
      </c>
      <c r="L39" s="8"/>
      <c r="M39" s="30"/>
      <c r="N39" s="8"/>
      <c r="O39" s="4">
        <f>[20]summary!$R$18</f>
        <v>0</v>
      </c>
      <c r="P39" s="102"/>
    </row>
    <row r="40" spans="2:18" s="1" customFormat="1" ht="16.5" customHeight="1">
      <c r="B40" s="101" t="s">
        <v>1</v>
      </c>
      <c r="C40" s="104">
        <f>SUBTOTAL(109,ExpenseSummary201[Jan])</f>
        <v>0</v>
      </c>
      <c r="D40" s="105">
        <f>SUBTOTAL(109,ExpenseSummary201[Feb])</f>
        <v>0</v>
      </c>
      <c r="E40" s="104">
        <f>SUBTOTAL(109,ExpenseSummary201[Mar])</f>
        <v>0</v>
      </c>
      <c r="F40" s="105">
        <f>SUBTOTAL(109,ExpenseSummary201[Apr])</f>
        <v>0</v>
      </c>
      <c r="G40" s="104">
        <f>SUBTOTAL(109,ExpenseSummary201[May])</f>
        <v>0</v>
      </c>
      <c r="H40" s="105">
        <f>SUBTOTAL(109,ExpenseSummary201[Jun])</f>
        <v>0</v>
      </c>
      <c r="I40" s="104">
        <f>SUBTOTAL(109,ExpenseSummary201[Jul])</f>
        <v>153.07</v>
      </c>
      <c r="J40" s="105">
        <f>SUBTOTAL(109,ExpenseSummary201[Aug])</f>
        <v>184.95</v>
      </c>
      <c r="K40" s="104">
        <f>SUBTOTAL(109,ExpenseSummary201[Sep])</f>
        <v>56.53</v>
      </c>
      <c r="L40" s="105">
        <f>SUBTOTAL(109,ExpenseSummary201[Oct])</f>
        <v>0</v>
      </c>
      <c r="M40" s="267">
        <f>SUBTOTAL(109,ExpenseSummary201[Nov])</f>
        <v>0</v>
      </c>
      <c r="N40" s="105">
        <f>SUBTOTAL(109,ExpenseSummary201[Dec])</f>
        <v>0</v>
      </c>
      <c r="O40" s="106">
        <f>SUBTOTAL(109,ExpenseSummary201[Total])</f>
        <v>388.49</v>
      </c>
      <c r="P40" s="102"/>
    </row>
    <row r="41" spans="2:18" s="1" customFormat="1" ht="16.5" customHeight="1">
      <c r="B41" s="28"/>
      <c r="C41" s="28"/>
      <c r="E41" s="555" t="s">
        <v>1491</v>
      </c>
      <c r="F41" s="555"/>
    </row>
    <row r="42" spans="2:18" s="1" customFormat="1" ht="16.5" customHeight="1">
      <c r="C42" s="492" t="s">
        <v>1490</v>
      </c>
      <c r="D42" s="551"/>
      <c r="E42" s="552"/>
      <c r="F42" s="495"/>
      <c r="G42" s="552"/>
    </row>
    <row r="43" spans="2:18" s="1" customFormat="1" ht="16.5" customHeight="1">
      <c r="B43" s="47"/>
      <c r="C43" s="492" t="s">
        <v>1489</v>
      </c>
      <c r="D43" s="493"/>
      <c r="E43" s="492" t="s">
        <v>1488</v>
      </c>
      <c r="F43" s="494"/>
      <c r="G43" s="552"/>
    </row>
    <row r="44" spans="2:18" s="1" customFormat="1" ht="16.5" customHeight="1">
      <c r="B44" s="47"/>
      <c r="C44" s="552"/>
      <c r="D44" s="551"/>
      <c r="E44" s="552"/>
      <c r="F44" s="495"/>
      <c r="G44" s="552"/>
    </row>
    <row r="45" spans="2:18" s="1" customFormat="1" ht="16.5" customHeight="1">
      <c r="B45" s="47"/>
      <c r="C45" s="47"/>
    </row>
    <row r="46" spans="2:18" s="1" customFormat="1" ht="16.5" customHeight="1">
      <c r="B46" s="268"/>
      <c r="C46" s="268"/>
      <c r="D46" s="269"/>
      <c r="E46" s="270" t="s">
        <v>118</v>
      </c>
      <c r="F46" s="270"/>
      <c r="G46" s="270"/>
      <c r="H46" s="270"/>
      <c r="I46" s="270"/>
      <c r="J46" s="270"/>
      <c r="K46" s="270"/>
      <c r="L46" s="270"/>
      <c r="M46" s="270"/>
      <c r="N46" s="270"/>
      <c r="O46" s="270"/>
      <c r="P46" s="270"/>
      <c r="Q46" s="270"/>
      <c r="R46" s="270"/>
    </row>
    <row r="47" spans="2:18" s="1" customFormat="1" ht="16.5" customHeight="1">
      <c r="B47" s="271" t="s">
        <v>1422</v>
      </c>
      <c r="C47" s="272" t="s">
        <v>1502</v>
      </c>
      <c r="D47" s="269"/>
      <c r="E47" s="273" t="s">
        <v>1810</v>
      </c>
      <c r="F47" s="273"/>
      <c r="G47" s="273"/>
      <c r="H47" s="273"/>
      <c r="I47" s="273"/>
      <c r="J47" s="273"/>
      <c r="K47" s="273"/>
      <c r="L47" s="273"/>
      <c r="M47" s="273"/>
      <c r="N47" s="273"/>
      <c r="O47" s="273"/>
      <c r="P47" s="273"/>
      <c r="Q47" s="273"/>
      <c r="R47" s="273"/>
    </row>
    <row r="48" spans="2:18" s="1" customFormat="1" ht="16.5" customHeight="1">
      <c r="B48" s="274" t="s">
        <v>115</v>
      </c>
      <c r="C48" s="275" t="s">
        <v>289</v>
      </c>
      <c r="D48" s="269"/>
      <c r="E48" s="270" t="s">
        <v>113</v>
      </c>
      <c r="F48" s="270"/>
      <c r="G48" s="270"/>
      <c r="H48" s="270"/>
      <c r="I48" s="270"/>
      <c r="J48" s="270"/>
      <c r="K48" s="270"/>
      <c r="L48" s="270"/>
      <c r="M48" s="270"/>
      <c r="N48" s="270"/>
      <c r="O48" s="270"/>
      <c r="P48" s="270"/>
      <c r="Q48" s="270"/>
      <c r="R48" s="270"/>
    </row>
    <row r="49" spans="2:18" s="1" customFormat="1" ht="16.5" customHeight="1" thickBot="1">
      <c r="B49" s="274" t="s">
        <v>112</v>
      </c>
      <c r="C49" s="276">
        <v>133494</v>
      </c>
      <c r="D49" s="268"/>
      <c r="E49" s="273" t="s">
        <v>1377</v>
      </c>
      <c r="F49" s="273"/>
      <c r="G49" s="273"/>
      <c r="H49" s="273"/>
      <c r="I49" s="273"/>
      <c r="J49" s="273"/>
      <c r="K49" s="273"/>
      <c r="L49" s="273"/>
      <c r="M49" s="273"/>
      <c r="N49" s="273"/>
      <c r="O49" s="273"/>
      <c r="P49" s="273"/>
      <c r="Q49" s="273"/>
      <c r="R49" s="273"/>
    </row>
    <row r="50" spans="2:18" s="1" customFormat="1" ht="16.5" customHeight="1">
      <c r="B50" s="274" t="s">
        <v>110</v>
      </c>
      <c r="C50" s="277"/>
      <c r="D50" s="260"/>
      <c r="E50" s="278" t="s">
        <v>109</v>
      </c>
      <c r="F50" s="279" t="s">
        <v>108</v>
      </c>
      <c r="G50" s="280"/>
      <c r="H50" s="279" t="s">
        <v>107</v>
      </c>
      <c r="I50" s="280"/>
      <c r="J50" s="279" t="s">
        <v>106</v>
      </c>
      <c r="K50" s="280"/>
      <c r="L50" s="279" t="s">
        <v>105</v>
      </c>
      <c r="M50" s="280"/>
      <c r="N50" s="279" t="s">
        <v>96</v>
      </c>
      <c r="O50" s="280"/>
      <c r="P50" s="279" t="s">
        <v>104</v>
      </c>
      <c r="Q50" s="280"/>
      <c r="R50" s="281" t="s">
        <v>103</v>
      </c>
    </row>
    <row r="51" spans="2:18" s="1" customFormat="1" ht="16.5" customHeight="1">
      <c r="B51" s="282" t="s">
        <v>102</v>
      </c>
      <c r="C51" s="283">
        <v>130</v>
      </c>
      <c r="D51" s="262"/>
      <c r="E51" s="284"/>
      <c r="F51" s="285" t="s">
        <v>101</v>
      </c>
      <c r="G51" s="286" t="s">
        <v>100</v>
      </c>
      <c r="H51" s="285" t="s">
        <v>101</v>
      </c>
      <c r="I51" s="286" t="s">
        <v>100</v>
      </c>
      <c r="J51" s="285" t="s">
        <v>101</v>
      </c>
      <c r="K51" s="286" t="s">
        <v>100</v>
      </c>
      <c r="L51" s="287" t="s">
        <v>101</v>
      </c>
      <c r="M51" s="405" t="s">
        <v>100</v>
      </c>
      <c r="N51" s="287" t="s">
        <v>101</v>
      </c>
      <c r="O51" s="286" t="s">
        <v>100</v>
      </c>
      <c r="P51" s="287" t="s">
        <v>101</v>
      </c>
      <c r="Q51" s="286" t="s">
        <v>100</v>
      </c>
      <c r="R51" s="284"/>
    </row>
    <row r="52" spans="2:18" s="1" customFormat="1" ht="16.5" customHeight="1">
      <c r="B52" s="274" t="s">
        <v>99</v>
      </c>
      <c r="C52" s="288">
        <v>6867</v>
      </c>
      <c r="D52" s="260"/>
      <c r="E52" s="289" t="s">
        <v>87</v>
      </c>
      <c r="F52" s="290">
        <v>7</v>
      </c>
      <c r="G52" s="291">
        <f>C51*F52</f>
        <v>910</v>
      </c>
      <c r="H52" s="292"/>
      <c r="I52" s="291">
        <f>IF(H52&gt;0,($B$7*C64),0)</f>
        <v>0</v>
      </c>
      <c r="J52" s="293"/>
      <c r="K52" s="291">
        <f>IF(J52&gt;0,($B$8*C64),0)</f>
        <v>0</v>
      </c>
      <c r="L52" s="292">
        <v>2</v>
      </c>
      <c r="M52" s="406">
        <f t="shared" ref="M52:M63" si="1">IF(L52&gt;0,($B$9*L52),0)</f>
        <v>0</v>
      </c>
      <c r="N52" s="294">
        <v>2</v>
      </c>
      <c r="O52" s="291">
        <f t="shared" ref="O52:O63" si="2">IF(N52&gt;0,($B$10*N52),0)</f>
        <v>0</v>
      </c>
      <c r="P52" s="295">
        <v>2</v>
      </c>
      <c r="Q52" s="291">
        <f t="shared" ref="Q52:Q63" si="3">SUM(P52*$B$17)*C64</f>
        <v>0</v>
      </c>
      <c r="R52" s="296">
        <f t="shared" ref="R52:R63" si="4">SUM(Q52+O52+M52+K52+I52+G52)</f>
        <v>910</v>
      </c>
    </row>
    <row r="53" spans="2:18" s="1" customFormat="1" ht="16.5" customHeight="1">
      <c r="B53" s="274" t="s">
        <v>98</v>
      </c>
      <c r="C53" s="288">
        <v>5460</v>
      </c>
      <c r="D53" s="260"/>
      <c r="E53" s="289" t="s">
        <v>86</v>
      </c>
      <c r="F53" s="290">
        <v>7</v>
      </c>
      <c r="G53" s="291">
        <f>$G$52</f>
        <v>910</v>
      </c>
      <c r="H53" s="292"/>
      <c r="I53" s="291">
        <f>IF(H53&gt;0,($B$7*C65),0)</f>
        <v>0</v>
      </c>
      <c r="J53" s="293"/>
      <c r="K53" s="291">
        <f>IF(J53&gt;0,($B$8*C65),0)</f>
        <v>0</v>
      </c>
      <c r="L53" s="292">
        <v>2</v>
      </c>
      <c r="M53" s="406">
        <f t="shared" si="1"/>
        <v>0</v>
      </c>
      <c r="N53" s="294">
        <v>2</v>
      </c>
      <c r="O53" s="291">
        <f t="shared" si="2"/>
        <v>0</v>
      </c>
      <c r="P53" s="295">
        <v>2</v>
      </c>
      <c r="Q53" s="291">
        <f t="shared" si="3"/>
        <v>0</v>
      </c>
      <c r="R53" s="296">
        <f t="shared" si="4"/>
        <v>910</v>
      </c>
    </row>
    <row r="54" spans="2:18" s="1" customFormat="1" ht="16.5" customHeight="1">
      <c r="B54" s="407" t="s">
        <v>97</v>
      </c>
      <c r="C54" s="288">
        <v>324</v>
      </c>
      <c r="D54" s="260"/>
      <c r="E54" s="289" t="s">
        <v>84</v>
      </c>
      <c r="F54" s="290">
        <v>7</v>
      </c>
      <c r="G54" s="291">
        <f t="shared" ref="G54:G63" si="5">$G$53</f>
        <v>910</v>
      </c>
      <c r="H54" s="292"/>
      <c r="I54" s="291">
        <f>IF(H54&gt;0,($B$7*C66),0)</f>
        <v>0</v>
      </c>
      <c r="J54" s="293"/>
      <c r="K54" s="291">
        <f>IF(J54&gt;0,($B$8*C66),0)</f>
        <v>0</v>
      </c>
      <c r="L54" s="292">
        <v>2</v>
      </c>
      <c r="M54" s="406">
        <f t="shared" si="1"/>
        <v>0</v>
      </c>
      <c r="N54" s="294">
        <v>2</v>
      </c>
      <c r="O54" s="291">
        <f t="shared" si="2"/>
        <v>0</v>
      </c>
      <c r="P54" s="295">
        <v>2</v>
      </c>
      <c r="Q54" s="291">
        <f t="shared" si="3"/>
        <v>0</v>
      </c>
      <c r="R54" s="296">
        <f t="shared" si="4"/>
        <v>910</v>
      </c>
    </row>
    <row r="55" spans="2:18" s="1" customFormat="1" ht="16.5" customHeight="1">
      <c r="B55" s="408" t="s">
        <v>96</v>
      </c>
      <c r="C55" s="288">
        <v>1050</v>
      </c>
      <c r="D55" s="260"/>
      <c r="E55" s="289" t="s">
        <v>83</v>
      </c>
      <c r="F55" s="290">
        <v>7</v>
      </c>
      <c r="G55" s="291">
        <f t="shared" si="5"/>
        <v>910</v>
      </c>
      <c r="H55" s="292"/>
      <c r="I55" s="291">
        <f>IF(H55&gt;0,($B$7*C67),0)</f>
        <v>0</v>
      </c>
      <c r="J55" s="293"/>
      <c r="K55" s="291">
        <f>IF(J55&gt;0,($B$8*C67),0)</f>
        <v>0</v>
      </c>
      <c r="L55" s="292">
        <v>2</v>
      </c>
      <c r="M55" s="406">
        <f t="shared" si="1"/>
        <v>0</v>
      </c>
      <c r="N55" s="294">
        <v>2</v>
      </c>
      <c r="O55" s="291">
        <f t="shared" si="2"/>
        <v>0</v>
      </c>
      <c r="P55" s="295">
        <v>2</v>
      </c>
      <c r="Q55" s="291">
        <f t="shared" si="3"/>
        <v>0</v>
      </c>
      <c r="R55" s="296">
        <f t="shared" si="4"/>
        <v>910</v>
      </c>
    </row>
    <row r="56" spans="2:18" s="1" customFormat="1" ht="16.5" customHeight="1">
      <c r="B56" s="274" t="s">
        <v>95</v>
      </c>
      <c r="C56" s="141">
        <v>35000</v>
      </c>
      <c r="D56" s="260"/>
      <c r="E56" s="289" t="s">
        <v>82</v>
      </c>
      <c r="F56" s="290">
        <v>7</v>
      </c>
      <c r="G56" s="291">
        <f t="shared" si="5"/>
        <v>910</v>
      </c>
      <c r="H56" s="292"/>
      <c r="I56" s="291">
        <v>6866.67</v>
      </c>
      <c r="J56" s="293"/>
      <c r="K56" s="291">
        <v>5460</v>
      </c>
      <c r="L56" s="292">
        <v>2</v>
      </c>
      <c r="M56" s="406">
        <f t="shared" si="1"/>
        <v>0</v>
      </c>
      <c r="N56" s="294">
        <v>2</v>
      </c>
      <c r="O56" s="291">
        <f t="shared" si="2"/>
        <v>0</v>
      </c>
      <c r="P56" s="295">
        <v>2</v>
      </c>
      <c r="Q56" s="291">
        <f t="shared" si="3"/>
        <v>0</v>
      </c>
      <c r="R56" s="296">
        <f t="shared" si="4"/>
        <v>13236.67</v>
      </c>
    </row>
    <row r="57" spans="2:18" s="1" customFormat="1" ht="16.5" customHeight="1">
      <c r="B57" s="274" t="s">
        <v>94</v>
      </c>
      <c r="C57" s="141">
        <v>5000</v>
      </c>
      <c r="D57" s="260"/>
      <c r="E57" s="289" t="s">
        <v>80</v>
      </c>
      <c r="F57" s="290">
        <v>7</v>
      </c>
      <c r="G57" s="291">
        <f t="shared" si="5"/>
        <v>910</v>
      </c>
      <c r="H57" s="292"/>
      <c r="I57" s="291">
        <f t="shared" ref="I57:I63" si="6">IF(H57&gt;0,($B$7*C69),0)</f>
        <v>0</v>
      </c>
      <c r="J57" s="293"/>
      <c r="K57" s="291">
        <f t="shared" ref="K57:K63" si="7">IF(J57&gt;0,($B$8*C69),0)</f>
        <v>0</v>
      </c>
      <c r="L57" s="292">
        <v>2</v>
      </c>
      <c r="M57" s="406">
        <f t="shared" si="1"/>
        <v>0</v>
      </c>
      <c r="N57" s="294">
        <v>2</v>
      </c>
      <c r="O57" s="291">
        <f t="shared" si="2"/>
        <v>0</v>
      </c>
      <c r="P57" s="295">
        <v>2</v>
      </c>
      <c r="Q57" s="291">
        <f t="shared" si="3"/>
        <v>0</v>
      </c>
      <c r="R57" s="296">
        <f t="shared" si="4"/>
        <v>910</v>
      </c>
    </row>
    <row r="58" spans="2:18" s="1" customFormat="1" ht="16.5" customHeight="1">
      <c r="B58" s="274" t="s">
        <v>93</v>
      </c>
      <c r="C58" s="141">
        <v>175000</v>
      </c>
      <c r="D58" s="260"/>
      <c r="E58" s="289" t="s">
        <v>79</v>
      </c>
      <c r="F58" s="290">
        <v>7</v>
      </c>
      <c r="G58" s="291">
        <f t="shared" si="5"/>
        <v>910</v>
      </c>
      <c r="H58" s="292"/>
      <c r="I58" s="291">
        <f t="shared" si="6"/>
        <v>0</v>
      </c>
      <c r="J58" s="293"/>
      <c r="K58" s="291">
        <f t="shared" si="7"/>
        <v>0</v>
      </c>
      <c r="L58" s="292">
        <v>2</v>
      </c>
      <c r="M58" s="406">
        <f t="shared" si="1"/>
        <v>0</v>
      </c>
      <c r="N58" s="294">
        <v>2</v>
      </c>
      <c r="O58" s="291">
        <f t="shared" si="2"/>
        <v>0</v>
      </c>
      <c r="P58" s="295">
        <v>2</v>
      </c>
      <c r="Q58" s="291">
        <f t="shared" si="3"/>
        <v>0</v>
      </c>
      <c r="R58" s="296">
        <f t="shared" si="4"/>
        <v>910</v>
      </c>
    </row>
    <row r="59" spans="2:18" s="1" customFormat="1" ht="16.5" customHeight="1">
      <c r="B59" s="274" t="s">
        <v>92</v>
      </c>
      <c r="C59" s="141">
        <v>175000</v>
      </c>
      <c r="D59" s="260"/>
      <c r="E59" s="289" t="s">
        <v>78</v>
      </c>
      <c r="F59" s="290">
        <v>7</v>
      </c>
      <c r="G59" s="291">
        <f t="shared" si="5"/>
        <v>910</v>
      </c>
      <c r="H59" s="292"/>
      <c r="I59" s="291">
        <f t="shared" si="6"/>
        <v>0</v>
      </c>
      <c r="J59" s="293"/>
      <c r="K59" s="291">
        <f t="shared" si="7"/>
        <v>0</v>
      </c>
      <c r="L59" s="292">
        <v>2</v>
      </c>
      <c r="M59" s="406">
        <f t="shared" si="1"/>
        <v>0</v>
      </c>
      <c r="N59" s="294">
        <v>2</v>
      </c>
      <c r="O59" s="291">
        <f t="shared" si="2"/>
        <v>0</v>
      </c>
      <c r="P59" s="295">
        <v>2</v>
      </c>
      <c r="Q59" s="291">
        <f t="shared" si="3"/>
        <v>0</v>
      </c>
      <c r="R59" s="296">
        <f t="shared" si="4"/>
        <v>910</v>
      </c>
    </row>
    <row r="60" spans="2:18" s="1" customFormat="1" ht="16.5" customHeight="1">
      <c r="B60" s="274" t="s">
        <v>91</v>
      </c>
      <c r="C60" s="141">
        <v>12000</v>
      </c>
      <c r="D60" s="260"/>
      <c r="E60" s="289" t="s">
        <v>77</v>
      </c>
      <c r="F60" s="290">
        <v>7</v>
      </c>
      <c r="G60" s="291">
        <f t="shared" si="5"/>
        <v>910</v>
      </c>
      <c r="H60" s="292"/>
      <c r="I60" s="291">
        <f t="shared" si="6"/>
        <v>0</v>
      </c>
      <c r="J60" s="293"/>
      <c r="K60" s="291">
        <f t="shared" si="7"/>
        <v>0</v>
      </c>
      <c r="L60" s="292">
        <v>2</v>
      </c>
      <c r="M60" s="406">
        <f t="shared" si="1"/>
        <v>0</v>
      </c>
      <c r="N60" s="294">
        <v>2</v>
      </c>
      <c r="O60" s="291">
        <f t="shared" si="2"/>
        <v>0</v>
      </c>
      <c r="P60" s="295">
        <v>2</v>
      </c>
      <c r="Q60" s="291">
        <f t="shared" si="3"/>
        <v>0</v>
      </c>
      <c r="R60" s="296">
        <f t="shared" si="4"/>
        <v>910</v>
      </c>
    </row>
    <row r="61" spans="2:18" s="1" customFormat="1" ht="16.5" customHeight="1">
      <c r="B61" s="274" t="s">
        <v>90</v>
      </c>
      <c r="C61" s="141">
        <v>25000</v>
      </c>
      <c r="D61" s="260"/>
      <c r="E61" s="289" t="s">
        <v>76</v>
      </c>
      <c r="F61" s="290">
        <v>7</v>
      </c>
      <c r="G61" s="291">
        <f t="shared" si="5"/>
        <v>910</v>
      </c>
      <c r="H61" s="292"/>
      <c r="I61" s="291">
        <f t="shared" si="6"/>
        <v>0</v>
      </c>
      <c r="J61" s="293"/>
      <c r="K61" s="291">
        <f t="shared" si="7"/>
        <v>0</v>
      </c>
      <c r="L61" s="292">
        <v>2</v>
      </c>
      <c r="M61" s="406">
        <f t="shared" si="1"/>
        <v>0</v>
      </c>
      <c r="N61" s="294">
        <v>2</v>
      </c>
      <c r="O61" s="291">
        <f t="shared" si="2"/>
        <v>0</v>
      </c>
      <c r="P61" s="295">
        <v>2</v>
      </c>
      <c r="Q61" s="291">
        <f t="shared" si="3"/>
        <v>0</v>
      </c>
      <c r="R61" s="296">
        <f t="shared" si="4"/>
        <v>910</v>
      </c>
    </row>
    <row r="62" spans="2:18" s="1" customFormat="1" ht="16.5" customHeight="1">
      <c r="B62" s="297" t="s">
        <v>89</v>
      </c>
      <c r="C62" s="298">
        <v>92</v>
      </c>
      <c r="D62" s="260"/>
      <c r="E62" s="289" t="s">
        <v>75</v>
      </c>
      <c r="F62" s="290">
        <v>7</v>
      </c>
      <c r="G62" s="291">
        <f t="shared" si="5"/>
        <v>910</v>
      </c>
      <c r="H62" s="292"/>
      <c r="I62" s="291">
        <f t="shared" si="6"/>
        <v>0</v>
      </c>
      <c r="J62" s="293"/>
      <c r="K62" s="291">
        <f t="shared" si="7"/>
        <v>0</v>
      </c>
      <c r="L62" s="292">
        <v>2</v>
      </c>
      <c r="M62" s="406">
        <f t="shared" si="1"/>
        <v>0</v>
      </c>
      <c r="N62" s="294">
        <v>2</v>
      </c>
      <c r="O62" s="291">
        <f t="shared" si="2"/>
        <v>0</v>
      </c>
      <c r="P62" s="295">
        <v>2</v>
      </c>
      <c r="Q62" s="291">
        <f t="shared" si="3"/>
        <v>0</v>
      </c>
      <c r="R62" s="296">
        <f t="shared" si="4"/>
        <v>910</v>
      </c>
    </row>
    <row r="63" spans="2:18" s="1" customFormat="1" ht="16.5" customHeight="1">
      <c r="B63" s="299" t="s">
        <v>88</v>
      </c>
      <c r="C63" s="300"/>
      <c r="D63" s="260"/>
      <c r="E63" s="289" t="s">
        <v>74</v>
      </c>
      <c r="F63" s="290">
        <v>7</v>
      </c>
      <c r="G63" s="291">
        <f t="shared" si="5"/>
        <v>910</v>
      </c>
      <c r="H63" s="292"/>
      <c r="I63" s="291">
        <f t="shared" si="6"/>
        <v>0</v>
      </c>
      <c r="J63" s="293"/>
      <c r="K63" s="291">
        <f t="shared" si="7"/>
        <v>0</v>
      </c>
      <c r="L63" s="292">
        <v>2</v>
      </c>
      <c r="M63" s="406">
        <f t="shared" si="1"/>
        <v>0</v>
      </c>
      <c r="N63" s="294">
        <v>2</v>
      </c>
      <c r="O63" s="291">
        <f t="shared" si="2"/>
        <v>0</v>
      </c>
      <c r="P63" s="295">
        <v>2</v>
      </c>
      <c r="Q63" s="291">
        <f t="shared" si="3"/>
        <v>0</v>
      </c>
      <c r="R63" s="296">
        <f t="shared" si="4"/>
        <v>910</v>
      </c>
    </row>
    <row r="64" spans="2:18" s="1" customFormat="1" ht="16.5" customHeight="1">
      <c r="B64" s="513" t="s">
        <v>87</v>
      </c>
      <c r="C64" s="514">
        <v>1</v>
      </c>
      <c r="D64" s="260"/>
      <c r="E64" s="303"/>
      <c r="F64" s="304"/>
      <c r="G64" s="305"/>
      <c r="H64" s="306"/>
      <c r="I64" s="307"/>
      <c r="J64" s="308"/>
      <c r="K64" s="307"/>
      <c r="L64" s="306"/>
      <c r="M64" s="409"/>
      <c r="N64" s="304"/>
      <c r="O64" s="305"/>
      <c r="P64" s="306"/>
      <c r="Q64" s="307"/>
      <c r="R64" s="309"/>
    </row>
    <row r="65" spans="2:18" s="1" customFormat="1" ht="16.5" customHeight="1" thickBot="1">
      <c r="B65" s="513" t="s">
        <v>86</v>
      </c>
      <c r="C65" s="513">
        <f t="shared" ref="C65:C75" si="8">SUM(C64+(C64*$B$5))</f>
        <v>1</v>
      </c>
      <c r="D65" s="260"/>
      <c r="E65" s="310" t="s">
        <v>85</v>
      </c>
      <c r="F65" s="311"/>
      <c r="G65" s="312">
        <f>SUM(G52:G63)</f>
        <v>10920</v>
      </c>
      <c r="H65" s="313"/>
      <c r="I65" s="312">
        <f>SUM(I52:I63)</f>
        <v>6866.67</v>
      </c>
      <c r="J65" s="314"/>
      <c r="K65" s="312">
        <f>SUM(K52:K63)</f>
        <v>5460</v>
      </c>
      <c r="L65" s="313"/>
      <c r="M65" s="410">
        <f>SUM(M52:M63)</f>
        <v>0</v>
      </c>
      <c r="N65" s="315"/>
      <c r="O65" s="312">
        <f>SUM(O52:O63)</f>
        <v>0</v>
      </c>
      <c r="P65" s="313"/>
      <c r="Q65" s="312">
        <f>SUM(Q52:Q63)</f>
        <v>0</v>
      </c>
      <c r="R65" s="316">
        <f>SUM(R52:R63)</f>
        <v>23246.67</v>
      </c>
    </row>
    <row r="66" spans="2:18" s="1" customFormat="1" ht="16.5" customHeight="1" thickTop="1" thickBot="1">
      <c r="B66" s="513" t="s">
        <v>84</v>
      </c>
      <c r="C66" s="513">
        <f t="shared" si="8"/>
        <v>1</v>
      </c>
      <c r="D66" s="269"/>
      <c r="E66" s="317"/>
      <c r="F66" s="318"/>
      <c r="G66" s="319"/>
      <c r="H66" s="320"/>
      <c r="I66" s="319"/>
      <c r="J66" s="321"/>
      <c r="K66" s="319"/>
      <c r="L66" s="320"/>
      <c r="M66" s="411"/>
      <c r="N66" s="318"/>
      <c r="O66" s="322"/>
      <c r="P66" s="320"/>
      <c r="Q66" s="319"/>
      <c r="R66" s="323"/>
    </row>
    <row r="67" spans="2:18" s="1" customFormat="1" ht="16.5" customHeight="1">
      <c r="B67" s="513" t="s">
        <v>83</v>
      </c>
      <c r="C67" s="515">
        <f t="shared" si="8"/>
        <v>1</v>
      </c>
      <c r="D67" s="269"/>
      <c r="E67" s="269"/>
      <c r="F67" s="325"/>
      <c r="G67" s="269"/>
      <c r="H67" s="326"/>
      <c r="I67" s="269"/>
      <c r="J67" s="327"/>
      <c r="K67" s="269"/>
      <c r="L67" s="326"/>
      <c r="M67" s="412"/>
      <c r="N67" s="325"/>
      <c r="O67" s="269"/>
      <c r="P67" s="326"/>
      <c r="Q67" s="269"/>
      <c r="R67" s="269"/>
    </row>
    <row r="68" spans="2:18" s="1" customFormat="1" ht="16.5" customHeight="1">
      <c r="B68" s="513" t="s">
        <v>82</v>
      </c>
      <c r="C68" s="515">
        <f t="shared" si="8"/>
        <v>1</v>
      </c>
      <c r="D68" s="269"/>
      <c r="E68" s="269" t="s">
        <v>81</v>
      </c>
      <c r="F68" s="325"/>
      <c r="G68" s="269"/>
      <c r="H68" s="326"/>
      <c r="I68" s="269"/>
      <c r="J68" s="327"/>
      <c r="K68" s="269"/>
      <c r="L68" s="326"/>
      <c r="M68" s="412"/>
      <c r="N68" s="325"/>
      <c r="O68" s="269"/>
      <c r="P68" s="326"/>
      <c r="Q68" s="269"/>
      <c r="R68" s="269"/>
    </row>
    <row r="69" spans="2:18" s="1" customFormat="1" ht="16.5" customHeight="1">
      <c r="B69" s="513" t="s">
        <v>80</v>
      </c>
      <c r="C69" s="515">
        <f t="shared" si="8"/>
        <v>1</v>
      </c>
      <c r="D69" s="269"/>
      <c r="E69" s="269"/>
      <c r="F69" s="325"/>
      <c r="G69" s="269"/>
      <c r="H69" s="326"/>
      <c r="I69" s="269"/>
      <c r="J69" s="327"/>
      <c r="K69" s="269"/>
      <c r="L69" s="326"/>
      <c r="M69" s="412"/>
      <c r="N69" s="325"/>
      <c r="O69" s="269"/>
      <c r="P69" s="326"/>
      <c r="Q69" s="269"/>
      <c r="R69" s="269"/>
    </row>
    <row r="70" spans="2:18" s="1" customFormat="1" ht="16.5" customHeight="1">
      <c r="B70" s="513" t="s">
        <v>79</v>
      </c>
      <c r="C70" s="515">
        <f t="shared" si="8"/>
        <v>1</v>
      </c>
      <c r="D70" s="269"/>
      <c r="E70" s="413" t="s">
        <v>291</v>
      </c>
      <c r="F70" s="414"/>
      <c r="G70" s="415"/>
      <c r="H70" s="416"/>
      <c r="I70" s="413"/>
      <c r="J70" s="417"/>
      <c r="K70" s="413"/>
      <c r="L70" s="417"/>
      <c r="M70" s="413"/>
      <c r="N70" s="417"/>
      <c r="O70" s="413"/>
      <c r="P70" s="326"/>
      <c r="Q70" s="269"/>
      <c r="R70" s="269"/>
    </row>
    <row r="71" spans="2:18" s="1" customFormat="1" ht="16.5" customHeight="1">
      <c r="B71" s="513" t="s">
        <v>78</v>
      </c>
      <c r="C71" s="515">
        <f t="shared" si="8"/>
        <v>1</v>
      </c>
      <c r="D71" s="269"/>
      <c r="E71" s="418" t="s">
        <v>292</v>
      </c>
      <c r="F71" s="419"/>
      <c r="G71" s="418"/>
      <c r="H71" s="420"/>
      <c r="I71" s="269"/>
      <c r="J71" s="326"/>
      <c r="K71" s="269"/>
      <c r="L71" s="326"/>
      <c r="M71" s="269"/>
      <c r="N71" s="326"/>
      <c r="O71" s="269"/>
      <c r="P71" s="326"/>
      <c r="Q71" s="269"/>
      <c r="R71" s="269"/>
    </row>
    <row r="72" spans="2:18" s="1" customFormat="1" ht="16.5" customHeight="1">
      <c r="B72" s="513" t="s">
        <v>77</v>
      </c>
      <c r="C72" s="515">
        <f t="shared" si="8"/>
        <v>1</v>
      </c>
      <c r="D72" s="269"/>
      <c r="E72" s="269"/>
      <c r="F72" s="325"/>
      <c r="G72" s="269"/>
      <c r="H72" s="326"/>
      <c r="I72" s="269"/>
      <c r="J72" s="327"/>
      <c r="K72" s="269"/>
      <c r="L72" s="326"/>
      <c r="M72" s="412"/>
      <c r="N72" s="325"/>
      <c r="O72" s="269"/>
      <c r="P72" s="326"/>
      <c r="Q72" s="269"/>
      <c r="R72" s="269"/>
    </row>
    <row r="73" spans="2:18" s="1" customFormat="1" ht="16.5" customHeight="1">
      <c r="B73" s="513" t="s">
        <v>76</v>
      </c>
      <c r="C73" s="515">
        <f t="shared" si="8"/>
        <v>1</v>
      </c>
      <c r="D73" s="269"/>
      <c r="E73" s="269"/>
      <c r="F73" s="325"/>
      <c r="G73" s="269"/>
      <c r="H73" s="326"/>
      <c r="I73" s="269"/>
      <c r="J73" s="327"/>
      <c r="K73" s="269"/>
      <c r="L73" s="326"/>
      <c r="M73" s="412"/>
      <c r="N73" s="325"/>
      <c r="O73" s="269"/>
      <c r="P73" s="326"/>
      <c r="Q73" s="269"/>
      <c r="R73" s="269"/>
    </row>
    <row r="74" spans="2:18" s="1" customFormat="1" ht="16.5" customHeight="1">
      <c r="B74" s="513" t="s">
        <v>75</v>
      </c>
      <c r="C74" s="515">
        <f t="shared" si="8"/>
        <v>1</v>
      </c>
      <c r="D74" s="269"/>
      <c r="E74" s="269"/>
      <c r="F74" s="325"/>
      <c r="G74" s="269"/>
      <c r="H74" s="326"/>
      <c r="I74" s="269"/>
      <c r="J74" s="327"/>
      <c r="K74" s="269"/>
      <c r="L74" s="326"/>
      <c r="M74" s="412"/>
      <c r="N74" s="325"/>
      <c r="O74" s="269"/>
      <c r="P74" s="326"/>
      <c r="Q74" s="269"/>
      <c r="R74" s="269"/>
    </row>
    <row r="75" spans="2:18" s="1" customFormat="1" ht="16.5" customHeight="1">
      <c r="B75" s="513" t="s">
        <v>74</v>
      </c>
      <c r="C75" s="515">
        <f t="shared" si="8"/>
        <v>1</v>
      </c>
      <c r="D75" s="269"/>
      <c r="E75" s="269"/>
      <c r="F75" s="325"/>
      <c r="G75" s="269"/>
      <c r="H75" s="326"/>
      <c r="I75" s="269"/>
      <c r="J75" s="327"/>
      <c r="K75" s="269"/>
      <c r="L75" s="326"/>
      <c r="M75" s="412"/>
      <c r="N75" s="325"/>
      <c r="O75" s="269"/>
      <c r="P75" s="326"/>
      <c r="Q75" s="269"/>
      <c r="R75" s="269"/>
    </row>
    <row r="77" spans="2:18" s="1" customFormat="1" ht="16.5" customHeight="1">
      <c r="B77" s="268"/>
      <c r="C77" s="268"/>
      <c r="D77" s="269"/>
      <c r="E77" s="270" t="s">
        <v>118</v>
      </c>
      <c r="F77" s="270"/>
      <c r="G77" s="270"/>
      <c r="H77" s="270"/>
      <c r="I77" s="270"/>
      <c r="J77" s="270"/>
      <c r="K77" s="270"/>
      <c r="L77" s="270"/>
      <c r="M77" s="270"/>
      <c r="N77" s="270"/>
      <c r="O77" s="270"/>
      <c r="P77" s="270"/>
      <c r="Q77" s="270"/>
      <c r="R77" s="270"/>
    </row>
    <row r="78" spans="2:18" s="1" customFormat="1" ht="16.5" customHeight="1">
      <c r="B78" s="271" t="s">
        <v>1378</v>
      </c>
      <c r="C78" s="272" t="s">
        <v>1502</v>
      </c>
      <c r="D78" s="269"/>
      <c r="E78" s="273" t="s">
        <v>1811</v>
      </c>
      <c r="F78" s="273"/>
      <c r="G78" s="273"/>
      <c r="H78" s="273"/>
      <c r="I78" s="273"/>
      <c r="J78" s="273"/>
      <c r="K78" s="273"/>
      <c r="L78" s="273"/>
      <c r="M78" s="273"/>
      <c r="N78" s="273"/>
      <c r="O78" s="273"/>
      <c r="P78" s="273"/>
      <c r="Q78" s="273"/>
      <c r="R78" s="273"/>
    </row>
    <row r="79" spans="2:18" s="1" customFormat="1" ht="16.5" customHeight="1">
      <c r="B79" s="274" t="s">
        <v>115</v>
      </c>
      <c r="C79" s="275" t="s">
        <v>289</v>
      </c>
      <c r="D79" s="269"/>
      <c r="E79" s="270" t="s">
        <v>119</v>
      </c>
      <c r="F79" s="270"/>
      <c r="G79" s="270"/>
      <c r="H79" s="270"/>
      <c r="I79" s="270"/>
      <c r="J79" s="270"/>
      <c r="K79" s="270"/>
      <c r="L79" s="270"/>
      <c r="M79" s="270"/>
      <c r="N79" s="270"/>
      <c r="O79" s="270"/>
      <c r="P79" s="270"/>
      <c r="Q79" s="270"/>
      <c r="R79" s="270"/>
    </row>
    <row r="80" spans="2:18" s="1" customFormat="1" ht="16.5" customHeight="1" thickBot="1">
      <c r="B80" s="274" t="s">
        <v>112</v>
      </c>
      <c r="C80" s="276">
        <v>133494</v>
      </c>
      <c r="D80" s="268"/>
      <c r="E80" s="330" t="s">
        <v>1380</v>
      </c>
      <c r="F80" s="330"/>
      <c r="G80" s="330"/>
      <c r="H80" s="330"/>
      <c r="I80" s="330"/>
      <c r="J80" s="330"/>
      <c r="K80" s="330"/>
      <c r="L80" s="330"/>
      <c r="M80" s="330"/>
      <c r="N80" s="330"/>
      <c r="O80" s="330"/>
      <c r="P80" s="330"/>
      <c r="Q80" s="330"/>
      <c r="R80" s="330"/>
    </row>
    <row r="81" spans="2:18" s="1" customFormat="1" ht="16.5" customHeight="1">
      <c r="B81" s="274" t="s">
        <v>110</v>
      </c>
      <c r="C81" s="277"/>
      <c r="D81" s="260"/>
      <c r="E81" s="278" t="s">
        <v>109</v>
      </c>
      <c r="F81" s="279" t="s">
        <v>108</v>
      </c>
      <c r="G81" s="280"/>
      <c r="H81" s="279" t="s">
        <v>107</v>
      </c>
      <c r="I81" s="280"/>
      <c r="J81" s="279" t="s">
        <v>106</v>
      </c>
      <c r="K81" s="280"/>
      <c r="L81" s="279" t="s">
        <v>105</v>
      </c>
      <c r="M81" s="280"/>
      <c r="N81" s="279" t="s">
        <v>96</v>
      </c>
      <c r="O81" s="280"/>
      <c r="P81" s="279" t="s">
        <v>104</v>
      </c>
      <c r="Q81" s="280"/>
      <c r="R81" s="281" t="s">
        <v>103</v>
      </c>
    </row>
    <row r="82" spans="2:18" s="1" customFormat="1" ht="16.5" customHeight="1">
      <c r="B82" s="274" t="s">
        <v>102</v>
      </c>
      <c r="C82" s="283">
        <v>125</v>
      </c>
      <c r="D82" s="260"/>
      <c r="E82" s="289"/>
      <c r="F82" s="285" t="s">
        <v>101</v>
      </c>
      <c r="G82" s="331" t="s">
        <v>100</v>
      </c>
      <c r="H82" s="285" t="s">
        <v>101</v>
      </c>
      <c r="I82" s="331" t="s">
        <v>100</v>
      </c>
      <c r="J82" s="285" t="s">
        <v>101</v>
      </c>
      <c r="K82" s="331" t="s">
        <v>100</v>
      </c>
      <c r="L82" s="285" t="s">
        <v>101</v>
      </c>
      <c r="M82" s="331" t="s">
        <v>100</v>
      </c>
      <c r="N82" s="285" t="s">
        <v>101</v>
      </c>
      <c r="O82" s="331" t="s">
        <v>100</v>
      </c>
      <c r="P82" s="287" t="s">
        <v>101</v>
      </c>
      <c r="Q82" s="331" t="s">
        <v>100</v>
      </c>
      <c r="R82" s="289"/>
    </row>
    <row r="83" spans="2:18" s="1" customFormat="1" ht="16.5" customHeight="1">
      <c r="B83" s="274" t="s">
        <v>107</v>
      </c>
      <c r="C83" s="288">
        <v>6867</v>
      </c>
      <c r="D83" s="260"/>
      <c r="E83" s="289" t="s">
        <v>87</v>
      </c>
      <c r="F83" s="290">
        <v>9</v>
      </c>
      <c r="G83" s="291">
        <f t="shared" ref="G83:G94" si="9">SUM($B$6*F83)*C95</f>
        <v>0</v>
      </c>
      <c r="H83" s="292"/>
      <c r="I83" s="291">
        <f t="shared" ref="I83:I94" si="10">IF(H83&gt;0,($B$7*C95),0)</f>
        <v>0</v>
      </c>
      <c r="J83" s="293"/>
      <c r="K83" s="291">
        <f t="shared" ref="K83:K94" si="11">IF(J83&gt;0,($B$8*C95),0)</f>
        <v>0</v>
      </c>
      <c r="L83" s="292"/>
      <c r="M83" s="406">
        <f t="shared" ref="M83:M94" si="12">IF(L83&gt;0,($B$9*L83),0)</f>
        <v>0</v>
      </c>
      <c r="N83" s="290">
        <v>1</v>
      </c>
      <c r="O83" s="291">
        <f t="shared" ref="O83:O94" si="13">IF(N83&gt;0,($B$10*N83),0)</f>
        <v>0</v>
      </c>
      <c r="P83" s="295"/>
      <c r="Q83" s="291">
        <f t="shared" ref="Q83:Q94" si="14">SUM(P83*$B$17)*C95</f>
        <v>0</v>
      </c>
      <c r="R83" s="296">
        <f t="shared" ref="R83:R94" si="15">SUM(Q83+O83+M83+K83+I83+G83)</f>
        <v>0</v>
      </c>
    </row>
    <row r="84" spans="2:18" s="1" customFormat="1" ht="16.5" customHeight="1">
      <c r="B84" s="274" t="s">
        <v>121</v>
      </c>
      <c r="C84" s="288">
        <v>5460</v>
      </c>
      <c r="D84" s="260"/>
      <c r="E84" s="289" t="s">
        <v>86</v>
      </c>
      <c r="F84" s="290">
        <v>9</v>
      </c>
      <c r="G84" s="291">
        <f t="shared" si="9"/>
        <v>0</v>
      </c>
      <c r="H84" s="292"/>
      <c r="I84" s="291">
        <f t="shared" si="10"/>
        <v>0</v>
      </c>
      <c r="J84" s="293"/>
      <c r="K84" s="291">
        <f t="shared" si="11"/>
        <v>0</v>
      </c>
      <c r="L84" s="469">
        <v>2</v>
      </c>
      <c r="M84" s="406">
        <f t="shared" si="12"/>
        <v>0</v>
      </c>
      <c r="N84" s="294">
        <v>0.5</v>
      </c>
      <c r="O84" s="291">
        <f t="shared" si="13"/>
        <v>0</v>
      </c>
      <c r="P84" s="295"/>
      <c r="Q84" s="291">
        <f t="shared" si="14"/>
        <v>0</v>
      </c>
      <c r="R84" s="296">
        <f t="shared" si="15"/>
        <v>0</v>
      </c>
    </row>
    <row r="85" spans="2:18" s="1" customFormat="1" ht="16.5" customHeight="1">
      <c r="B85" s="407" t="s">
        <v>122</v>
      </c>
      <c r="C85" s="288">
        <v>324</v>
      </c>
      <c r="D85" s="260"/>
      <c r="E85" s="289" t="s">
        <v>84</v>
      </c>
      <c r="F85" s="290"/>
      <c r="G85" s="291">
        <f t="shared" si="9"/>
        <v>0</v>
      </c>
      <c r="H85" s="292"/>
      <c r="I85" s="291">
        <f t="shared" si="10"/>
        <v>0</v>
      </c>
      <c r="J85" s="293"/>
      <c r="K85" s="291">
        <f t="shared" si="11"/>
        <v>0</v>
      </c>
      <c r="L85" s="292"/>
      <c r="M85" s="406">
        <f t="shared" si="12"/>
        <v>0</v>
      </c>
      <c r="N85" s="294"/>
      <c r="O85" s="291">
        <f t="shared" si="13"/>
        <v>0</v>
      </c>
      <c r="P85" s="295"/>
      <c r="Q85" s="291">
        <f t="shared" si="14"/>
        <v>0</v>
      </c>
      <c r="R85" s="296">
        <f t="shared" si="15"/>
        <v>0</v>
      </c>
    </row>
    <row r="86" spans="2:18" s="1" customFormat="1" ht="16.5" customHeight="1">
      <c r="B86" s="408" t="s">
        <v>123</v>
      </c>
      <c r="C86" s="288">
        <v>1050</v>
      </c>
      <c r="D86" s="260"/>
      <c r="E86" s="289" t="s">
        <v>83</v>
      </c>
      <c r="F86" s="290"/>
      <c r="G86" s="291">
        <f t="shared" si="9"/>
        <v>0</v>
      </c>
      <c r="H86" s="292"/>
      <c r="I86" s="291">
        <f t="shared" si="10"/>
        <v>0</v>
      </c>
      <c r="J86" s="293"/>
      <c r="K86" s="291">
        <f t="shared" si="11"/>
        <v>0</v>
      </c>
      <c r="L86" s="292"/>
      <c r="M86" s="406">
        <f t="shared" si="12"/>
        <v>0</v>
      </c>
      <c r="N86" s="294"/>
      <c r="O86" s="291">
        <f t="shared" si="13"/>
        <v>0</v>
      </c>
      <c r="P86" s="295"/>
      <c r="Q86" s="291">
        <f t="shared" si="14"/>
        <v>0</v>
      </c>
      <c r="R86" s="296">
        <f t="shared" si="15"/>
        <v>0</v>
      </c>
    </row>
    <row r="87" spans="2:18" s="1" customFormat="1" ht="16.5" customHeight="1">
      <c r="B87" s="274" t="s">
        <v>95</v>
      </c>
      <c r="C87" s="141">
        <v>35000</v>
      </c>
      <c r="D87" s="260"/>
      <c r="E87" s="289" t="s">
        <v>82</v>
      </c>
      <c r="F87" s="290"/>
      <c r="G87" s="291">
        <f t="shared" si="9"/>
        <v>0</v>
      </c>
      <c r="H87" s="292"/>
      <c r="I87" s="291">
        <f t="shared" si="10"/>
        <v>0</v>
      </c>
      <c r="J87" s="293"/>
      <c r="K87" s="291">
        <f t="shared" si="11"/>
        <v>0</v>
      </c>
      <c r="L87" s="292"/>
      <c r="M87" s="406">
        <f t="shared" si="12"/>
        <v>0</v>
      </c>
      <c r="N87" s="294"/>
      <c r="O87" s="291">
        <f t="shared" si="13"/>
        <v>0</v>
      </c>
      <c r="P87" s="295"/>
      <c r="Q87" s="291">
        <f t="shared" si="14"/>
        <v>0</v>
      </c>
      <c r="R87" s="296">
        <f t="shared" si="15"/>
        <v>0</v>
      </c>
    </row>
    <row r="88" spans="2:18" s="1" customFormat="1" ht="16.5" customHeight="1">
      <c r="B88" s="274" t="s">
        <v>94</v>
      </c>
      <c r="C88" s="141">
        <v>5000</v>
      </c>
      <c r="D88" s="260"/>
      <c r="E88" s="289" t="s">
        <v>80</v>
      </c>
      <c r="F88" s="290"/>
      <c r="G88" s="291">
        <f t="shared" si="9"/>
        <v>0</v>
      </c>
      <c r="H88" s="292"/>
      <c r="I88" s="291">
        <f t="shared" si="10"/>
        <v>0</v>
      </c>
      <c r="J88" s="293"/>
      <c r="K88" s="291">
        <f t="shared" si="11"/>
        <v>0</v>
      </c>
      <c r="L88" s="292"/>
      <c r="M88" s="406">
        <f t="shared" si="12"/>
        <v>0</v>
      </c>
      <c r="N88" s="294"/>
      <c r="O88" s="291">
        <f t="shared" si="13"/>
        <v>0</v>
      </c>
      <c r="P88" s="295"/>
      <c r="Q88" s="291">
        <f t="shared" si="14"/>
        <v>0</v>
      </c>
      <c r="R88" s="296">
        <f t="shared" si="15"/>
        <v>0</v>
      </c>
    </row>
    <row r="89" spans="2:18" s="1" customFormat="1" ht="16.5" customHeight="1">
      <c r="B89" s="274" t="s">
        <v>93</v>
      </c>
      <c r="C89" s="141">
        <v>175000</v>
      </c>
      <c r="D89" s="260"/>
      <c r="E89" s="289" t="s">
        <v>79</v>
      </c>
      <c r="F89" s="290"/>
      <c r="G89" s="291">
        <f t="shared" si="9"/>
        <v>0</v>
      </c>
      <c r="H89" s="292"/>
      <c r="I89" s="291">
        <f t="shared" si="10"/>
        <v>0</v>
      </c>
      <c r="J89" s="293"/>
      <c r="K89" s="291">
        <f t="shared" si="11"/>
        <v>0</v>
      </c>
      <c r="L89" s="292"/>
      <c r="M89" s="406">
        <f t="shared" si="12"/>
        <v>0</v>
      </c>
      <c r="N89" s="294"/>
      <c r="O89" s="291">
        <f t="shared" si="13"/>
        <v>0</v>
      </c>
      <c r="P89" s="295"/>
      <c r="Q89" s="291">
        <f t="shared" si="14"/>
        <v>0</v>
      </c>
      <c r="R89" s="296">
        <f t="shared" si="15"/>
        <v>0</v>
      </c>
    </row>
    <row r="90" spans="2:18" s="1" customFormat="1" ht="16.5" customHeight="1">
      <c r="B90" s="274" t="s">
        <v>92</v>
      </c>
      <c r="C90" s="141">
        <v>175000</v>
      </c>
      <c r="D90" s="260"/>
      <c r="E90" s="289" t="s">
        <v>78</v>
      </c>
      <c r="F90" s="290"/>
      <c r="G90" s="291">
        <f t="shared" si="9"/>
        <v>0</v>
      </c>
      <c r="H90" s="292"/>
      <c r="I90" s="291">
        <f t="shared" si="10"/>
        <v>0</v>
      </c>
      <c r="J90" s="293"/>
      <c r="K90" s="291">
        <f t="shared" si="11"/>
        <v>0</v>
      </c>
      <c r="L90" s="292"/>
      <c r="M90" s="406">
        <f t="shared" si="12"/>
        <v>0</v>
      </c>
      <c r="N90" s="294"/>
      <c r="O90" s="291">
        <f t="shared" si="13"/>
        <v>0</v>
      </c>
      <c r="P90" s="295"/>
      <c r="Q90" s="291">
        <f t="shared" si="14"/>
        <v>0</v>
      </c>
      <c r="R90" s="296">
        <f t="shared" si="15"/>
        <v>0</v>
      </c>
    </row>
    <row r="91" spans="2:18" s="1" customFormat="1" ht="16.5" customHeight="1">
      <c r="B91" s="274" t="s">
        <v>91</v>
      </c>
      <c r="C91" s="141">
        <v>12000</v>
      </c>
      <c r="D91" s="260"/>
      <c r="E91" s="289" t="s">
        <v>77</v>
      </c>
      <c r="F91" s="290"/>
      <c r="G91" s="291">
        <f t="shared" si="9"/>
        <v>0</v>
      </c>
      <c r="H91" s="292"/>
      <c r="I91" s="291">
        <f t="shared" si="10"/>
        <v>0</v>
      </c>
      <c r="J91" s="293"/>
      <c r="K91" s="291">
        <f t="shared" si="11"/>
        <v>0</v>
      </c>
      <c r="L91" s="292"/>
      <c r="M91" s="406">
        <f t="shared" si="12"/>
        <v>0</v>
      </c>
      <c r="N91" s="294"/>
      <c r="O91" s="291">
        <f t="shared" si="13"/>
        <v>0</v>
      </c>
      <c r="P91" s="295"/>
      <c r="Q91" s="291">
        <f t="shared" si="14"/>
        <v>0</v>
      </c>
      <c r="R91" s="296">
        <f t="shared" si="15"/>
        <v>0</v>
      </c>
    </row>
    <row r="92" spans="2:18" s="1" customFormat="1" ht="16.5" customHeight="1">
      <c r="B92" s="274" t="s">
        <v>90</v>
      </c>
      <c r="C92" s="141">
        <v>25000</v>
      </c>
      <c r="D92" s="260"/>
      <c r="E92" s="289" t="s">
        <v>76</v>
      </c>
      <c r="F92" s="290"/>
      <c r="G92" s="291">
        <f t="shared" si="9"/>
        <v>0</v>
      </c>
      <c r="H92" s="292"/>
      <c r="I92" s="291">
        <f t="shared" si="10"/>
        <v>0</v>
      </c>
      <c r="J92" s="293"/>
      <c r="K92" s="291">
        <f t="shared" si="11"/>
        <v>0</v>
      </c>
      <c r="L92" s="292"/>
      <c r="M92" s="406">
        <f t="shared" si="12"/>
        <v>0</v>
      </c>
      <c r="N92" s="294"/>
      <c r="O92" s="291">
        <f t="shared" si="13"/>
        <v>0</v>
      </c>
      <c r="P92" s="295"/>
      <c r="Q92" s="291">
        <f t="shared" si="14"/>
        <v>0</v>
      </c>
      <c r="R92" s="296">
        <f t="shared" si="15"/>
        <v>0</v>
      </c>
    </row>
    <row r="93" spans="2:18" s="1" customFormat="1" ht="16.5" customHeight="1">
      <c r="B93" s="297" t="s">
        <v>89</v>
      </c>
      <c r="C93" s="298">
        <v>92</v>
      </c>
      <c r="D93" s="260"/>
      <c r="E93" s="289" t="s">
        <v>75</v>
      </c>
      <c r="F93" s="290"/>
      <c r="G93" s="291">
        <f t="shared" si="9"/>
        <v>0</v>
      </c>
      <c r="H93" s="292"/>
      <c r="I93" s="291">
        <f t="shared" si="10"/>
        <v>0</v>
      </c>
      <c r="J93" s="293"/>
      <c r="K93" s="291">
        <f t="shared" si="11"/>
        <v>0</v>
      </c>
      <c r="L93" s="292"/>
      <c r="M93" s="406">
        <f t="shared" si="12"/>
        <v>0</v>
      </c>
      <c r="N93" s="294"/>
      <c r="O93" s="291">
        <f t="shared" si="13"/>
        <v>0</v>
      </c>
      <c r="P93" s="295"/>
      <c r="Q93" s="291">
        <f t="shared" si="14"/>
        <v>0</v>
      </c>
      <c r="R93" s="296">
        <f t="shared" si="15"/>
        <v>0</v>
      </c>
    </row>
    <row r="94" spans="2:18" s="1" customFormat="1" ht="16.5" customHeight="1">
      <c r="B94" s="299" t="s">
        <v>88</v>
      </c>
      <c r="C94" s="300"/>
      <c r="D94" s="260"/>
      <c r="E94" s="289" t="s">
        <v>74</v>
      </c>
      <c r="F94" s="290"/>
      <c r="G94" s="291">
        <f t="shared" si="9"/>
        <v>0</v>
      </c>
      <c r="H94" s="292"/>
      <c r="I94" s="291">
        <f t="shared" si="10"/>
        <v>0</v>
      </c>
      <c r="J94" s="293"/>
      <c r="K94" s="291">
        <f t="shared" si="11"/>
        <v>0</v>
      </c>
      <c r="L94" s="292"/>
      <c r="M94" s="406">
        <f t="shared" si="12"/>
        <v>0</v>
      </c>
      <c r="N94" s="294"/>
      <c r="O94" s="291">
        <f t="shared" si="13"/>
        <v>0</v>
      </c>
      <c r="P94" s="295"/>
      <c r="Q94" s="291">
        <f t="shared" si="14"/>
        <v>0</v>
      </c>
      <c r="R94" s="296">
        <f t="shared" si="15"/>
        <v>0</v>
      </c>
    </row>
    <row r="95" spans="2:18" s="1" customFormat="1" ht="16.5" customHeight="1">
      <c r="B95" s="421" t="s">
        <v>87</v>
      </c>
      <c r="C95" s="422">
        <v>1</v>
      </c>
      <c r="D95" s="260"/>
      <c r="E95" s="303"/>
      <c r="F95" s="304"/>
      <c r="G95" s="305"/>
      <c r="H95" s="306"/>
      <c r="I95" s="307"/>
      <c r="J95" s="308"/>
      <c r="K95" s="307"/>
      <c r="L95" s="306"/>
      <c r="M95" s="307"/>
      <c r="N95" s="304"/>
      <c r="O95" s="307"/>
      <c r="P95" s="306"/>
      <c r="Q95" s="307"/>
      <c r="R95" s="309"/>
    </row>
    <row r="96" spans="2:18" s="1" customFormat="1" ht="16.5" customHeight="1" thickBot="1">
      <c r="B96" s="421" t="s">
        <v>86</v>
      </c>
      <c r="C96" s="421">
        <f t="shared" ref="C96:C106" si="16">SUM(C95+(C95*$B$5))</f>
        <v>1</v>
      </c>
      <c r="D96" s="260"/>
      <c r="E96" s="310" t="s">
        <v>85</v>
      </c>
      <c r="F96" s="311"/>
      <c r="G96" s="312">
        <f>SUM(G83:G94)</f>
        <v>0</v>
      </c>
      <c r="H96" s="313"/>
      <c r="I96" s="312">
        <f>SUM(I83:I94)</f>
        <v>0</v>
      </c>
      <c r="J96" s="314"/>
      <c r="K96" s="312">
        <f>SUM(K83:K94)</f>
        <v>0</v>
      </c>
      <c r="L96" s="313"/>
      <c r="M96" s="312">
        <f>SUM(M83:M94)</f>
        <v>0</v>
      </c>
      <c r="N96" s="315"/>
      <c r="O96" s="312">
        <f>SUM(O83:O94)</f>
        <v>0</v>
      </c>
      <c r="P96" s="313"/>
      <c r="Q96" s="312">
        <f>SUM(Q83:Q94)</f>
        <v>0</v>
      </c>
      <c r="R96" s="316">
        <f>SUM(R83:R94)</f>
        <v>0</v>
      </c>
    </row>
    <row r="97" spans="2:18" s="1" customFormat="1" ht="16.5" customHeight="1" thickTop="1" thickBot="1">
      <c r="B97" s="421" t="s">
        <v>84</v>
      </c>
      <c r="C97" s="421">
        <f t="shared" si="16"/>
        <v>1</v>
      </c>
      <c r="D97" s="269"/>
      <c r="E97" s="317"/>
      <c r="F97" s="318"/>
      <c r="G97" s="319"/>
      <c r="H97" s="320"/>
      <c r="I97" s="319"/>
      <c r="J97" s="321"/>
      <c r="K97" s="319"/>
      <c r="L97" s="320"/>
      <c r="M97" s="319"/>
      <c r="N97" s="318"/>
      <c r="O97" s="319"/>
      <c r="P97" s="320"/>
      <c r="Q97" s="319"/>
      <c r="R97" s="323"/>
    </row>
    <row r="98" spans="2:18" s="1" customFormat="1" ht="16.5" customHeight="1">
      <c r="B98" s="421" t="s">
        <v>83</v>
      </c>
      <c r="C98" s="423">
        <f t="shared" si="16"/>
        <v>1</v>
      </c>
      <c r="D98" s="269"/>
      <c r="E98" s="269"/>
      <c r="F98" s="335"/>
      <c r="G98" s="269"/>
      <c r="H98" s="326"/>
      <c r="I98" s="269"/>
      <c r="J98" s="326"/>
      <c r="K98" s="269"/>
      <c r="L98" s="326"/>
      <c r="M98" s="269"/>
      <c r="N98" s="326"/>
      <c r="O98" s="269"/>
      <c r="P98" s="326"/>
      <c r="Q98" s="269"/>
      <c r="R98" s="269"/>
    </row>
    <row r="99" spans="2:18" s="1" customFormat="1" ht="16.5" customHeight="1">
      <c r="B99" s="421" t="s">
        <v>82</v>
      </c>
      <c r="C99" s="423">
        <f t="shared" si="16"/>
        <v>1</v>
      </c>
      <c r="D99" s="269"/>
      <c r="E99" s="269" t="s">
        <v>124</v>
      </c>
      <c r="F99" s="335"/>
      <c r="G99" s="269"/>
      <c r="H99" s="326"/>
      <c r="I99" s="269"/>
      <c r="J99" s="326"/>
      <c r="K99" s="269"/>
      <c r="L99" s="326"/>
      <c r="M99" s="269"/>
      <c r="N99" s="326"/>
      <c r="O99" s="269"/>
      <c r="P99" s="326"/>
      <c r="Q99" s="269"/>
      <c r="R99" s="269"/>
    </row>
    <row r="100" spans="2:18" s="1" customFormat="1" ht="16.5" customHeight="1">
      <c r="B100" s="421" t="s">
        <v>80</v>
      </c>
      <c r="C100" s="423">
        <f t="shared" si="16"/>
        <v>1</v>
      </c>
      <c r="D100" s="269"/>
      <c r="E100" s="269"/>
      <c r="F100" s="335"/>
      <c r="G100" s="269"/>
      <c r="H100" s="326"/>
      <c r="I100" s="269"/>
      <c r="J100" s="326"/>
      <c r="K100" s="269"/>
      <c r="L100" s="326"/>
      <c r="M100" s="269"/>
      <c r="N100" s="326"/>
      <c r="O100" s="269"/>
      <c r="P100" s="326"/>
      <c r="Q100" s="269"/>
      <c r="R100" s="269"/>
    </row>
    <row r="101" spans="2:18" s="1" customFormat="1" ht="16.5" customHeight="1">
      <c r="B101" s="421" t="s">
        <v>79</v>
      </c>
      <c r="C101" s="423">
        <f t="shared" si="16"/>
        <v>1</v>
      </c>
      <c r="D101" s="269"/>
      <c r="E101" s="413" t="s">
        <v>291</v>
      </c>
      <c r="F101" s="414"/>
      <c r="G101" s="415"/>
      <c r="H101" s="416"/>
      <c r="I101" s="413"/>
      <c r="J101" s="417"/>
      <c r="K101" s="413"/>
      <c r="L101" s="417"/>
      <c r="M101" s="413"/>
      <c r="N101" s="417"/>
      <c r="O101" s="413"/>
      <c r="P101" s="326"/>
      <c r="Q101" s="269"/>
      <c r="R101" s="269"/>
    </row>
    <row r="102" spans="2:18" s="1" customFormat="1" ht="16.5" customHeight="1">
      <c r="B102" s="421" t="s">
        <v>78</v>
      </c>
      <c r="C102" s="423">
        <f t="shared" si="16"/>
        <v>1</v>
      </c>
      <c r="D102" s="269"/>
      <c r="E102" s="418" t="s">
        <v>292</v>
      </c>
      <c r="F102" s="419"/>
      <c r="G102" s="418"/>
      <c r="H102" s="420"/>
      <c r="I102" s="269"/>
      <c r="J102" s="326"/>
      <c r="K102" s="269"/>
      <c r="L102" s="326"/>
      <c r="M102" s="269"/>
      <c r="N102" s="326"/>
      <c r="O102" s="269"/>
      <c r="P102" s="326"/>
      <c r="Q102" s="269"/>
      <c r="R102" s="269"/>
    </row>
    <row r="103" spans="2:18" s="1" customFormat="1" ht="16.5" customHeight="1">
      <c r="B103" s="421" t="s">
        <v>77</v>
      </c>
      <c r="C103" s="423">
        <f t="shared" si="16"/>
        <v>1</v>
      </c>
      <c r="D103" s="269"/>
      <c r="E103" s="269"/>
      <c r="F103" s="335"/>
      <c r="G103" s="269"/>
      <c r="H103" s="326"/>
      <c r="I103" s="269"/>
      <c r="J103" s="326"/>
      <c r="K103" s="269"/>
      <c r="L103" s="326"/>
      <c r="M103" s="269"/>
      <c r="N103" s="326"/>
      <c r="O103" s="269"/>
      <c r="P103" s="326"/>
      <c r="Q103" s="269"/>
      <c r="R103" s="269"/>
    </row>
    <row r="104" spans="2:18" s="1" customFormat="1" ht="16.5" customHeight="1">
      <c r="B104" s="421" t="s">
        <v>76</v>
      </c>
      <c r="C104" s="423">
        <f t="shared" si="16"/>
        <v>1</v>
      </c>
      <c r="D104" s="269"/>
      <c r="E104" s="492" t="s">
        <v>1490</v>
      </c>
      <c r="F104" s="551"/>
      <c r="G104" s="552"/>
      <c r="H104" s="495"/>
      <c r="I104" s="552"/>
      <c r="J104" s="326"/>
      <c r="K104" s="269"/>
      <c r="L104" s="326"/>
      <c r="M104" s="269"/>
      <c r="N104" s="326"/>
      <c r="O104" s="269"/>
      <c r="P104" s="326"/>
      <c r="Q104" s="269"/>
      <c r="R104" s="269"/>
    </row>
    <row r="105" spans="2:18" s="1" customFormat="1" ht="16.5" customHeight="1">
      <c r="B105" s="421" t="s">
        <v>75</v>
      </c>
      <c r="C105" s="423">
        <f t="shared" si="16"/>
        <v>1</v>
      </c>
      <c r="D105" s="269"/>
      <c r="E105" s="492" t="s">
        <v>1489</v>
      </c>
      <c r="F105" s="493"/>
      <c r="G105" s="492" t="s">
        <v>1488</v>
      </c>
      <c r="H105" s="494"/>
      <c r="I105" s="552"/>
      <c r="J105" s="326"/>
      <c r="K105" s="269"/>
      <c r="L105" s="326"/>
      <c r="M105" s="269"/>
      <c r="N105" s="326"/>
      <c r="O105" s="269"/>
      <c r="P105" s="326"/>
      <c r="Q105" s="269"/>
      <c r="R105" s="269"/>
    </row>
    <row r="106" spans="2:18" s="1" customFormat="1" ht="16.5" customHeight="1">
      <c r="B106" s="421" t="s">
        <v>74</v>
      </c>
      <c r="C106" s="423">
        <f t="shared" si="16"/>
        <v>1</v>
      </c>
      <c r="D106" s="269"/>
      <c r="E106" s="552"/>
      <c r="F106" s="551"/>
      <c r="G106" s="552"/>
      <c r="H106" s="495"/>
      <c r="I106" s="552"/>
      <c r="J106" s="326"/>
      <c r="K106" s="269"/>
      <c r="L106" s="326"/>
      <c r="M106" s="269"/>
      <c r="N106" s="326"/>
      <c r="O106" s="269"/>
      <c r="P106" s="326"/>
      <c r="Q106" s="269"/>
      <c r="R106" s="269"/>
    </row>
  </sheetData>
  <mergeCells count="20">
    <mergeCell ref="E46:R46"/>
    <mergeCell ref="E47:R47"/>
    <mergeCell ref="E48:R48"/>
    <mergeCell ref="E49:R49"/>
    <mergeCell ref="F50:G50"/>
    <mergeCell ref="H50:I50"/>
    <mergeCell ref="J50:K50"/>
    <mergeCell ref="L50:M50"/>
    <mergeCell ref="N50:O50"/>
    <mergeCell ref="P50:Q50"/>
    <mergeCell ref="E77:R77"/>
    <mergeCell ref="E78:R78"/>
    <mergeCell ref="E79:R79"/>
    <mergeCell ref="E80:R80"/>
    <mergeCell ref="F81:G81"/>
    <mergeCell ref="H81:I81"/>
    <mergeCell ref="J81:K81"/>
    <mergeCell ref="L81:M81"/>
    <mergeCell ref="N81:O81"/>
    <mergeCell ref="P81:Q81"/>
  </mergeCells>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markers="1" last="1">
          <x14:colorSeries rgb="FF323232"/>
          <x14:colorNegative rgb="FFD00000"/>
          <x14:colorAxis rgb="FF000000"/>
          <x14:colorMarkers rgb="FFD00000"/>
          <x14:colorFirst rgb="FFD00000"/>
          <x14:colorLast rgb="FFD00000"/>
          <x14:colorHigh rgb="FFD00000"/>
          <x14:colorLow rgb="FFD00000"/>
          <x14:sparklines>
            <x14:sparkline>
              <xm:f>'Bus 403 summary'!C19:N19</xm:f>
              <xm:sqref>P19</xm:sqref>
            </x14:sparkline>
            <x14:sparkline>
              <xm:f>'Bus 403 summary'!C20:N20</xm:f>
              <xm:sqref>P20</xm:sqref>
            </x14:sparkline>
            <x14:sparkline>
              <xm:f>'Bus 403 summary'!C21:N21</xm:f>
              <xm:sqref>P21</xm:sqref>
            </x14:sparkline>
            <x14:sparkline>
              <xm:f>'Bus 403 summary'!C22:N22</xm:f>
              <xm:sqref>P22</xm:sqref>
            </x14:sparkline>
            <x14:sparkline>
              <xm:f>'Bus 403 summary'!C23:N23</xm:f>
              <xm:sqref>P23</xm:sqref>
            </x14:sparkline>
            <x14:sparkline>
              <xm:f>'Bus 403 summary'!C24:N24</xm:f>
              <xm:sqref>P24</xm:sqref>
            </x14:sparkline>
            <x14:sparkline>
              <xm:f>'Bus 403 summary'!C25:N25</xm:f>
              <xm:sqref>P25</xm:sqref>
            </x14:sparkline>
            <x14:sparkline>
              <xm:f>'Bus 403 summary'!C26:N26</xm:f>
              <xm:sqref>P26</xm:sqref>
            </x14:sparkline>
            <x14:sparkline>
              <xm:f>'Bus 403 summary'!C27:N27</xm:f>
              <xm:sqref>P27</xm:sqref>
            </x14:sparkline>
            <x14:sparkline>
              <xm:f>'Bus 403 summary'!C28:N28</xm:f>
              <xm:sqref>P28</xm:sqref>
            </x14:sparkline>
            <x14:sparkline>
              <xm:f>'Bus 403 summary'!C29:N29</xm:f>
              <xm:sqref>P29</xm:sqref>
            </x14:sparkline>
            <x14:sparkline>
              <xm:f>'Bus 403 summary'!C30:N30</xm:f>
              <xm:sqref>P30</xm:sqref>
            </x14:sparkline>
            <x14:sparkline>
              <xm:f>'Bus 403 summary'!C31:N31</xm:f>
              <xm:sqref>P31</xm:sqref>
            </x14:sparkline>
            <x14:sparkline>
              <xm:f>'Bus 403 summary'!C32:N32</xm:f>
              <xm:sqref>P32</xm:sqref>
            </x14:sparkline>
            <x14:sparkline>
              <xm:f>'Bus 403 summary'!C33:N33</xm:f>
              <xm:sqref>P33</xm:sqref>
            </x14:sparkline>
            <x14:sparkline>
              <xm:f>'Bus 403 summary'!C34:N34</xm:f>
              <xm:sqref>P34</xm:sqref>
            </x14:sparkline>
            <x14:sparkline>
              <xm:f>'Bus 403 summary'!C35:N35</xm:f>
              <xm:sqref>P35</xm:sqref>
            </x14:sparkline>
            <x14:sparkline>
              <xm:f>'Bus 403 summary'!C36:N36</xm:f>
              <xm:sqref>P36</xm:sqref>
            </x14:sparkline>
            <x14:sparkline>
              <xm:f>'Bus 403 summary'!C37:N37</xm:f>
              <xm:sqref>P37</xm:sqref>
            </x14:sparkline>
            <x14:sparkline>
              <xm:f>'Bus 403 summary'!C38:N38</xm:f>
              <xm:sqref>P38</xm:sqref>
            </x14:sparkline>
            <x14:sparkline>
              <xm:f>'Bus 403 summary'!C39:N39</xm:f>
              <xm:sqref>P39</xm:sqref>
            </x14:sparkline>
          </x14:sparklines>
        </x14:sparklineGroup>
        <x14:sparklineGroup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403 summary'!C40:N40</xm:f>
              <xm:sqref>P40</xm:sqref>
            </x14:sparkline>
          </x14:sparklines>
        </x14:sparklineGroup>
      </x14:sparklineGroup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184"/>
  <sheetViews>
    <sheetView showGridLines="0" topLeftCell="A61" zoomScale="115" zoomScaleNormal="115" workbookViewId="0">
      <selection activeCell="I72" sqref="A1:XFD1048576"/>
    </sheetView>
  </sheetViews>
  <sheetFormatPr defaultColWidth="9.140625" defaultRowHeight="16.5" customHeight="1"/>
  <cols>
    <col min="1" max="1" width="3.140625" style="1" customWidth="1"/>
    <col min="2" max="4" width="12.28515625" style="1" customWidth="1"/>
    <col min="5" max="5" width="15.7109375" style="1" customWidth="1"/>
    <col min="6" max="6" width="38.85546875"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660</v>
      </c>
      <c r="G4" s="185" t="s">
        <v>45</v>
      </c>
    </row>
    <row r="5" spans="2:8" s="1" customFormat="1" ht="16.5" customHeight="1">
      <c r="B5" s="187">
        <v>42944</v>
      </c>
      <c r="C5" s="188">
        <v>10664</v>
      </c>
      <c r="D5" s="8">
        <v>10.7</v>
      </c>
      <c r="E5" s="188" t="s">
        <v>17</v>
      </c>
      <c r="F5" s="188" t="s">
        <v>1496</v>
      </c>
      <c r="G5" s="188" t="s">
        <v>1495</v>
      </c>
    </row>
    <row r="6" spans="2:8" s="1" customFormat="1" ht="16.5" customHeight="1">
      <c r="B6" s="187">
        <v>42944</v>
      </c>
      <c r="C6" s="188">
        <v>10664</v>
      </c>
      <c r="D6" s="8">
        <v>42.37</v>
      </c>
      <c r="E6" s="188" t="s">
        <v>17</v>
      </c>
      <c r="F6" s="188" t="s">
        <v>1494</v>
      </c>
      <c r="G6" s="188" t="s">
        <v>1074</v>
      </c>
    </row>
    <row r="7" spans="2:8" s="1" customFormat="1" ht="16.5" customHeight="1">
      <c r="B7" s="187">
        <v>42944</v>
      </c>
      <c r="C7" s="188">
        <v>10664</v>
      </c>
      <c r="D7" s="8">
        <v>100</v>
      </c>
      <c r="E7" s="188" t="s">
        <v>17</v>
      </c>
      <c r="F7" s="188" t="s">
        <v>735</v>
      </c>
      <c r="G7" s="188"/>
    </row>
    <row r="8" spans="2:8" s="1" customFormat="1" ht="16.5" customHeight="1">
      <c r="B8" s="189"/>
      <c r="C8" s="190"/>
      <c r="D8" s="52"/>
      <c r="E8" s="190"/>
      <c r="F8" s="190"/>
      <c r="G8" s="191"/>
    </row>
    <row r="9" spans="2:8" s="1" customFormat="1" ht="16.5" customHeight="1">
      <c r="B9" s="189"/>
      <c r="C9" s="190"/>
      <c r="D9" s="52"/>
      <c r="E9" s="190"/>
      <c r="F9" s="190"/>
      <c r="G9" s="191"/>
    </row>
    <row r="10" spans="2:8" s="1" customFormat="1" ht="16.5" customHeight="1">
      <c r="B10" s="189"/>
      <c r="C10" s="190"/>
      <c r="D10" s="52"/>
      <c r="E10" s="190"/>
      <c r="F10" s="190"/>
      <c r="G10" s="191"/>
    </row>
    <row r="11" spans="2:8" s="1" customFormat="1" ht="16.5" customHeight="1">
      <c r="B11" s="192" t="s">
        <v>1</v>
      </c>
      <c r="C11" s="193"/>
      <c r="D11" s="194">
        <f>SUBTOTAL(109,ExpJul202[Amount])</f>
        <v>153.07</v>
      </c>
      <c r="E11" s="193"/>
      <c r="F11" s="193"/>
      <c r="G11" s="192"/>
    </row>
    <row r="12" spans="2:8" s="1" customFormat="1" ht="16.5" customHeight="1">
      <c r="B12" s="195"/>
      <c r="C12" s="196"/>
      <c r="D12" s="197"/>
      <c r="E12" s="196"/>
      <c r="F12" s="196"/>
      <c r="G12" s="196"/>
    </row>
    <row r="13" spans="2:8" s="1" customFormat="1" ht="27.75" customHeight="1">
      <c r="B13" s="205" t="s">
        <v>52</v>
      </c>
      <c r="C13" s="117"/>
      <c r="D13" s="117"/>
      <c r="E13" s="117"/>
      <c r="F13" s="117"/>
      <c r="G13" s="117"/>
    </row>
    <row r="14" spans="2:8" s="1" customFormat="1" ht="16.5" customHeight="1">
      <c r="B14" s="117"/>
      <c r="C14" s="117"/>
      <c r="D14" s="117"/>
      <c r="E14" s="117"/>
      <c r="F14" s="117"/>
      <c r="G14" s="117"/>
    </row>
    <row r="15" spans="2:8" s="1" customFormat="1" ht="16.5" customHeight="1">
      <c r="B15" s="206" t="s">
        <v>50</v>
      </c>
      <c r="C15" s="207" t="s">
        <v>53</v>
      </c>
      <c r="D15" s="206" t="s">
        <v>48</v>
      </c>
      <c r="E15" s="207" t="s">
        <v>47</v>
      </c>
      <c r="F15" s="207" t="s">
        <v>660</v>
      </c>
      <c r="G15" s="206" t="s">
        <v>45</v>
      </c>
    </row>
    <row r="16" spans="2:8" s="1" customFormat="1" ht="16.5" customHeight="1">
      <c r="B16" s="208">
        <v>42973</v>
      </c>
      <c r="C16" s="209">
        <v>10746</v>
      </c>
      <c r="D16" s="210">
        <v>10.7</v>
      </c>
      <c r="E16" s="209" t="s">
        <v>17</v>
      </c>
      <c r="F16" s="209" t="s">
        <v>1503</v>
      </c>
      <c r="G16" s="209" t="s">
        <v>1504</v>
      </c>
    </row>
    <row r="17" spans="2:7" s="1" customFormat="1" ht="16.5" customHeight="1">
      <c r="B17" s="208">
        <v>42973</v>
      </c>
      <c r="C17" s="209">
        <v>10746</v>
      </c>
      <c r="D17" s="210">
        <v>6.06</v>
      </c>
      <c r="E17" s="209" t="s">
        <v>17</v>
      </c>
      <c r="F17" s="209" t="s">
        <v>1505</v>
      </c>
      <c r="G17" s="209" t="s">
        <v>1169</v>
      </c>
    </row>
    <row r="18" spans="2:7" s="1" customFormat="1" ht="16.5" customHeight="1">
      <c r="B18" s="208">
        <v>42973</v>
      </c>
      <c r="C18" s="209">
        <v>10746</v>
      </c>
      <c r="D18" s="210">
        <v>5.82</v>
      </c>
      <c r="E18" s="209" t="s">
        <v>17</v>
      </c>
      <c r="F18" s="209" t="s">
        <v>1506</v>
      </c>
      <c r="G18" s="209" t="s">
        <v>1507</v>
      </c>
    </row>
    <row r="19" spans="2:7" s="1" customFormat="1" ht="16.5" customHeight="1">
      <c r="B19" s="208">
        <v>42973</v>
      </c>
      <c r="C19" s="209">
        <v>10746</v>
      </c>
      <c r="D19" s="210">
        <v>42.37</v>
      </c>
      <c r="E19" s="209" t="s">
        <v>17</v>
      </c>
      <c r="F19" s="209" t="s">
        <v>1508</v>
      </c>
      <c r="G19" s="209" t="s">
        <v>1509</v>
      </c>
    </row>
    <row r="20" spans="2:7" s="1" customFormat="1" ht="16.5" customHeight="1">
      <c r="B20" s="208">
        <v>42973</v>
      </c>
      <c r="C20" s="209">
        <v>10746</v>
      </c>
      <c r="D20" s="210">
        <v>120</v>
      </c>
      <c r="E20" s="209" t="s">
        <v>17</v>
      </c>
      <c r="F20" s="209" t="s">
        <v>198</v>
      </c>
      <c r="G20" s="209"/>
    </row>
    <row r="21" spans="2:7" s="1" customFormat="1" ht="16.5" customHeight="1">
      <c r="B21" s="25"/>
      <c r="C21" s="51"/>
      <c r="D21" s="211"/>
      <c r="E21" s="51"/>
      <c r="F21" s="51"/>
      <c r="G21" s="27"/>
    </row>
    <row r="22" spans="2:7" s="1" customFormat="1" ht="16.5" customHeight="1">
      <c r="B22" s="25"/>
      <c r="C22" s="51"/>
      <c r="D22" s="211"/>
      <c r="E22" s="51"/>
      <c r="F22" s="51"/>
      <c r="G22" s="27"/>
    </row>
    <row r="23" spans="2:7" s="1" customFormat="1" ht="16.5" customHeight="1">
      <c r="B23" s="25"/>
      <c r="C23" s="51"/>
      <c r="D23" s="211"/>
      <c r="E23" s="51"/>
      <c r="F23" s="51"/>
      <c r="G23" s="27"/>
    </row>
    <row r="24" spans="2:7" s="1" customFormat="1" ht="16.5" customHeight="1">
      <c r="B24" s="25"/>
      <c r="C24" s="51"/>
      <c r="D24" s="211"/>
      <c r="E24" s="51"/>
      <c r="F24" s="51"/>
      <c r="G24" s="27"/>
    </row>
    <row r="25" spans="2:7" s="1" customFormat="1" ht="16.5" customHeight="1">
      <c r="B25" s="25"/>
      <c r="C25" s="51"/>
      <c r="D25" s="211"/>
      <c r="E25" s="51"/>
      <c r="F25" s="51"/>
      <c r="G25" s="27"/>
    </row>
    <row r="26" spans="2:7" s="1" customFormat="1" ht="16.5" customHeight="1">
      <c r="B26" s="25"/>
      <c r="C26" s="51"/>
      <c r="D26" s="211"/>
      <c r="E26" s="51"/>
      <c r="F26" s="51"/>
      <c r="G26" s="27"/>
    </row>
    <row r="27" spans="2:7" s="1" customFormat="1" ht="16.5" customHeight="1">
      <c r="B27" s="212" t="s">
        <v>1</v>
      </c>
      <c r="C27" s="213"/>
      <c r="D27" s="214">
        <f>SUBTOTAL(109,ExpAug203[Amount])</f>
        <v>184.95</v>
      </c>
      <c r="E27" s="213"/>
      <c r="F27" s="213"/>
      <c r="G27" s="212"/>
    </row>
    <row r="29" spans="2:7" s="1" customFormat="1" ht="25.5" customHeight="1">
      <c r="B29" s="205" t="s">
        <v>56</v>
      </c>
      <c r="C29" s="117"/>
      <c r="D29" s="117"/>
      <c r="E29" s="117"/>
      <c r="F29" s="117"/>
      <c r="G29" s="117"/>
    </row>
    <row r="30" spans="2:7" s="1" customFormat="1" ht="16.5" customHeight="1">
      <c r="B30" s="117"/>
      <c r="C30" s="117"/>
      <c r="D30" s="117"/>
      <c r="E30" s="117"/>
      <c r="F30" s="117"/>
      <c r="G30" s="117"/>
    </row>
    <row r="31" spans="2:7" s="1" customFormat="1" ht="16.5" customHeight="1">
      <c r="B31" s="206" t="s">
        <v>50</v>
      </c>
      <c r="C31" s="207" t="s">
        <v>53</v>
      </c>
      <c r="D31" s="206" t="s">
        <v>48</v>
      </c>
      <c r="E31" s="207" t="s">
        <v>47</v>
      </c>
      <c r="F31" s="207" t="s">
        <v>660</v>
      </c>
      <c r="G31" s="206" t="s">
        <v>45</v>
      </c>
    </row>
    <row r="32" spans="2:7" s="1" customFormat="1" ht="16.5" customHeight="1">
      <c r="B32" s="25">
        <v>42986</v>
      </c>
      <c r="C32" s="51">
        <v>10781</v>
      </c>
      <c r="D32" s="211">
        <v>3.49</v>
      </c>
      <c r="E32" s="51" t="s">
        <v>5</v>
      </c>
      <c r="F32" s="51" t="s">
        <v>1510</v>
      </c>
      <c r="G32" s="27" t="s">
        <v>1511</v>
      </c>
    </row>
    <row r="33" spans="2:7" s="1" customFormat="1" ht="16.5" customHeight="1">
      <c r="B33" s="25">
        <v>42986</v>
      </c>
      <c r="C33" s="51">
        <v>10781</v>
      </c>
      <c r="D33" s="211">
        <v>10</v>
      </c>
      <c r="E33" s="51" t="s">
        <v>2</v>
      </c>
      <c r="F33" s="51" t="s">
        <v>772</v>
      </c>
      <c r="G33" s="27"/>
    </row>
    <row r="34" spans="2:7" s="1" customFormat="1" ht="16.5" customHeight="1">
      <c r="B34" s="25">
        <v>42997</v>
      </c>
      <c r="C34" s="51">
        <v>10804</v>
      </c>
      <c r="D34" s="211">
        <v>3.49</v>
      </c>
      <c r="E34" s="51" t="s">
        <v>5</v>
      </c>
      <c r="F34" s="51" t="s">
        <v>1512</v>
      </c>
      <c r="G34" s="27" t="s">
        <v>1513</v>
      </c>
    </row>
    <row r="35" spans="2:7" s="1" customFormat="1" ht="16.5" customHeight="1">
      <c r="B35" s="25">
        <v>42997</v>
      </c>
      <c r="C35" s="51">
        <v>10804</v>
      </c>
      <c r="D35" s="211">
        <v>10</v>
      </c>
      <c r="E35" s="51" t="s">
        <v>2</v>
      </c>
      <c r="F35" s="51" t="s">
        <v>772</v>
      </c>
      <c r="G35" s="27"/>
    </row>
    <row r="36" spans="2:7" s="1" customFormat="1" ht="16.5" customHeight="1">
      <c r="B36" s="25">
        <v>42999</v>
      </c>
      <c r="C36" s="51">
        <v>10806</v>
      </c>
      <c r="D36" s="211">
        <v>3.49</v>
      </c>
      <c r="E36" s="51" t="s">
        <v>5</v>
      </c>
      <c r="F36" s="51" t="s">
        <v>1514</v>
      </c>
      <c r="G36" s="27" t="s">
        <v>1515</v>
      </c>
    </row>
    <row r="37" spans="2:7" s="1" customFormat="1" ht="16.5" customHeight="1">
      <c r="B37" s="25">
        <v>42980</v>
      </c>
      <c r="C37" s="51">
        <v>10806</v>
      </c>
      <c r="D37" s="211">
        <v>10</v>
      </c>
      <c r="E37" s="51" t="s">
        <v>2</v>
      </c>
      <c r="F37" s="51" t="s">
        <v>772</v>
      </c>
      <c r="G37" s="27"/>
    </row>
    <row r="38" spans="2:7" s="1" customFormat="1" ht="16.5" customHeight="1">
      <c r="B38" s="25">
        <v>43001</v>
      </c>
      <c r="C38" s="51">
        <v>10812</v>
      </c>
      <c r="D38" s="211">
        <v>6.06</v>
      </c>
      <c r="E38" s="51" t="s">
        <v>3</v>
      </c>
      <c r="F38" s="51" t="s">
        <v>1516</v>
      </c>
      <c r="G38" s="27" t="s">
        <v>1517</v>
      </c>
    </row>
    <row r="39" spans="2:7" s="1" customFormat="1" ht="16.5" customHeight="1">
      <c r="B39" s="25">
        <v>43001</v>
      </c>
      <c r="C39" s="51">
        <v>10812</v>
      </c>
      <c r="D39" s="211">
        <v>10</v>
      </c>
      <c r="E39" s="51" t="s">
        <v>2</v>
      </c>
      <c r="F39" s="51" t="s">
        <v>33</v>
      </c>
      <c r="G39" s="27"/>
    </row>
    <row r="40" spans="2:7" s="1" customFormat="1" ht="16.5" customHeight="1">
      <c r="B40" s="208">
        <v>43004</v>
      </c>
      <c r="C40" s="209">
        <v>10818</v>
      </c>
      <c r="D40" s="210">
        <v>10.7</v>
      </c>
      <c r="E40" s="209" t="s">
        <v>17</v>
      </c>
      <c r="F40" s="209" t="s">
        <v>1415</v>
      </c>
      <c r="G40" s="209" t="s">
        <v>1518</v>
      </c>
    </row>
    <row r="41" spans="2:7" s="1" customFormat="1" ht="16.5" customHeight="1">
      <c r="B41" s="341">
        <v>43004</v>
      </c>
      <c r="C41" s="342">
        <v>10818</v>
      </c>
      <c r="D41" s="343">
        <v>108.66</v>
      </c>
      <c r="E41" s="342" t="s">
        <v>17</v>
      </c>
      <c r="F41" s="342" t="s">
        <v>1519</v>
      </c>
      <c r="G41" s="342" t="s">
        <v>1520</v>
      </c>
    </row>
    <row r="42" spans="2:7" s="1" customFormat="1" ht="16.5" customHeight="1">
      <c r="B42" s="556">
        <v>43004</v>
      </c>
      <c r="C42" s="481">
        <v>10818</v>
      </c>
      <c r="D42" s="557"/>
      <c r="E42" s="481" t="s">
        <v>17</v>
      </c>
      <c r="F42" s="481" t="s">
        <v>1521</v>
      </c>
      <c r="G42" s="481" t="s">
        <v>1812</v>
      </c>
    </row>
    <row r="43" spans="2:7" s="1" customFormat="1" ht="16.5" customHeight="1">
      <c r="B43" s="341">
        <v>43004</v>
      </c>
      <c r="C43" s="342">
        <v>10818</v>
      </c>
      <c r="D43" s="343">
        <v>42.37</v>
      </c>
      <c r="E43" s="342" t="s">
        <v>17</v>
      </c>
      <c r="F43" s="342" t="s">
        <v>1522</v>
      </c>
      <c r="G43" s="342" t="s">
        <v>1523</v>
      </c>
    </row>
    <row r="44" spans="2:7" s="1" customFormat="1" ht="16.5" customHeight="1">
      <c r="B44" s="341">
        <v>43004</v>
      </c>
      <c r="C44" s="342">
        <v>10818</v>
      </c>
      <c r="D44" s="343">
        <v>160</v>
      </c>
      <c r="E44" s="342" t="s">
        <v>17</v>
      </c>
      <c r="F44" s="342" t="s">
        <v>69</v>
      </c>
      <c r="G44" s="342"/>
    </row>
    <row r="45" spans="2:7" s="1" customFormat="1" ht="16.5" customHeight="1">
      <c r="B45" s="337"/>
      <c r="C45" s="338"/>
      <c r="D45" s="339"/>
      <c r="E45" s="338"/>
      <c r="F45" s="338"/>
      <c r="G45" s="340"/>
    </row>
    <row r="46" spans="2:7" s="1" customFormat="1" ht="16.5" customHeight="1">
      <c r="B46" s="212" t="s">
        <v>1</v>
      </c>
      <c r="C46" s="213"/>
      <c r="D46" s="214">
        <f>SUBTOTAL(109,ExpSep204[Amount])</f>
        <v>378.26</v>
      </c>
      <c r="E46" s="213"/>
      <c r="F46" s="213"/>
      <c r="G46" s="212"/>
    </row>
    <row r="48" spans="2:7" s="1" customFormat="1" ht="25.5" customHeight="1">
      <c r="B48" s="205" t="s">
        <v>70</v>
      </c>
      <c r="C48" s="117"/>
      <c r="D48" s="117"/>
      <c r="E48" s="117"/>
      <c r="F48" s="117"/>
      <c r="G48" s="117"/>
    </row>
    <row r="49" spans="2:7" s="1" customFormat="1" ht="16.5" customHeight="1">
      <c r="B49" s="117"/>
      <c r="C49" s="117"/>
      <c r="D49" s="117"/>
      <c r="E49" s="117"/>
      <c r="F49" s="117"/>
      <c r="G49" s="117"/>
    </row>
    <row r="50" spans="2:7" s="1" customFormat="1" ht="16.5" customHeight="1">
      <c r="B50" s="206" t="s">
        <v>50</v>
      </c>
      <c r="C50" s="207" t="s">
        <v>71</v>
      </c>
      <c r="D50" s="206" t="s">
        <v>48</v>
      </c>
      <c r="E50" s="207" t="s">
        <v>47</v>
      </c>
      <c r="F50" s="207" t="s">
        <v>660</v>
      </c>
      <c r="G50" s="206" t="s">
        <v>45</v>
      </c>
    </row>
    <row r="51" spans="2:7" s="1" customFormat="1" ht="16.5" customHeight="1">
      <c r="B51" s="25">
        <v>43018</v>
      </c>
      <c r="C51" s="51">
        <v>10854</v>
      </c>
      <c r="D51" s="211">
        <v>6.06</v>
      </c>
      <c r="E51" s="51" t="s">
        <v>3</v>
      </c>
      <c r="F51" s="51" t="s">
        <v>1524</v>
      </c>
      <c r="G51" s="27" t="s">
        <v>1525</v>
      </c>
    </row>
    <row r="52" spans="2:7" s="1" customFormat="1" ht="16.5" customHeight="1">
      <c r="B52" s="25">
        <v>43018</v>
      </c>
      <c r="C52" s="51">
        <v>10854</v>
      </c>
      <c r="D52" s="211">
        <v>10</v>
      </c>
      <c r="E52" s="51" t="s">
        <v>2</v>
      </c>
      <c r="F52" s="51" t="s">
        <v>1083</v>
      </c>
      <c r="G52" s="27"/>
    </row>
    <row r="53" spans="2:7" s="1" customFormat="1" ht="16.5" customHeight="1">
      <c r="B53" s="25"/>
      <c r="C53" s="51"/>
      <c r="D53" s="211"/>
      <c r="E53" s="51"/>
      <c r="F53" s="51"/>
      <c r="G53" s="27"/>
    </row>
    <row r="54" spans="2:7" s="1" customFormat="1" ht="16.5" customHeight="1">
      <c r="B54" s="25"/>
      <c r="C54" s="51"/>
      <c r="D54" s="211"/>
      <c r="E54" s="51"/>
      <c r="F54" s="51"/>
      <c r="G54" s="27"/>
    </row>
    <row r="55" spans="2:7" s="1" customFormat="1" ht="16.5" customHeight="1">
      <c r="B55" s="25"/>
      <c r="C55" s="51"/>
      <c r="D55" s="211"/>
      <c r="E55" s="51"/>
      <c r="F55" s="51"/>
      <c r="G55" s="27"/>
    </row>
    <row r="56" spans="2:7" s="1" customFormat="1" ht="16.5" customHeight="1">
      <c r="B56" s="25"/>
      <c r="C56" s="51"/>
      <c r="D56" s="211"/>
      <c r="E56" s="51"/>
      <c r="F56" s="51"/>
      <c r="G56" s="27"/>
    </row>
    <row r="57" spans="2:7" s="1" customFormat="1" ht="16.5" customHeight="1">
      <c r="B57" s="25"/>
      <c r="C57" s="51"/>
      <c r="D57" s="211"/>
      <c r="E57" s="51"/>
      <c r="F57" s="51"/>
      <c r="G57" s="27"/>
    </row>
    <row r="58" spans="2:7" s="1" customFormat="1" ht="16.5" customHeight="1">
      <c r="B58" s="25"/>
      <c r="C58" s="51"/>
      <c r="D58" s="211"/>
      <c r="E58" s="51"/>
      <c r="F58" s="51"/>
      <c r="G58" s="27"/>
    </row>
    <row r="59" spans="2:7" s="1" customFormat="1" ht="16.5" customHeight="1">
      <c r="B59" s="25"/>
      <c r="C59" s="51"/>
      <c r="D59" s="211"/>
      <c r="E59" s="51"/>
      <c r="F59" s="51"/>
      <c r="G59" s="27"/>
    </row>
    <row r="60" spans="2:7" s="1" customFormat="1" ht="16.5" customHeight="1">
      <c r="B60" s="25"/>
      <c r="C60" s="51"/>
      <c r="D60" s="211"/>
      <c r="E60" s="51"/>
      <c r="F60" s="51"/>
      <c r="G60" s="27"/>
    </row>
    <row r="61" spans="2:7" s="1" customFormat="1" ht="16.5" customHeight="1">
      <c r="B61" s="25"/>
      <c r="C61" s="51"/>
      <c r="D61" s="211"/>
      <c r="E61" s="51"/>
      <c r="F61" s="51"/>
      <c r="G61" s="27"/>
    </row>
    <row r="62" spans="2:7" s="1" customFormat="1" ht="16.5" customHeight="1">
      <c r="B62" s="212" t="s">
        <v>1</v>
      </c>
      <c r="C62" s="213"/>
      <c r="D62" s="214">
        <f>SUBTOTAL(109,ExpOct205[Amount])</f>
        <v>16.059999999999999</v>
      </c>
      <c r="E62" s="213"/>
      <c r="F62" s="213"/>
      <c r="G62" s="212"/>
    </row>
    <row r="63" spans="2:7" s="1" customFormat="1" ht="16.5" customHeight="1">
      <c r="B63" s="212"/>
      <c r="C63" s="213"/>
      <c r="D63" s="214"/>
      <c r="E63" s="213"/>
      <c r="F63" s="213"/>
      <c r="G63" s="212"/>
    </row>
    <row r="64" spans="2:7" s="1" customFormat="1" ht="26.25" customHeight="1">
      <c r="B64" s="205" t="s">
        <v>159</v>
      </c>
      <c r="C64" s="117"/>
      <c r="D64" s="117"/>
      <c r="E64" s="117"/>
      <c r="F64" s="117"/>
      <c r="G64" s="117"/>
    </row>
    <row r="65" spans="2:7" s="1" customFormat="1" ht="16.5" customHeight="1">
      <c r="B65" s="117"/>
      <c r="C65" s="117"/>
      <c r="D65" s="117"/>
      <c r="E65" s="117"/>
      <c r="F65" s="117"/>
      <c r="G65" s="117"/>
    </row>
    <row r="66" spans="2:7" s="1" customFormat="1" ht="16.5" customHeight="1">
      <c r="B66" s="206" t="s">
        <v>50</v>
      </c>
      <c r="C66" s="207" t="s">
        <v>71</v>
      </c>
      <c r="D66" s="206" t="s">
        <v>48</v>
      </c>
      <c r="E66" s="207" t="s">
        <v>47</v>
      </c>
      <c r="F66" s="207" t="s">
        <v>161</v>
      </c>
      <c r="G66" s="206" t="s">
        <v>160</v>
      </c>
    </row>
    <row r="67" spans="2:7" s="1" customFormat="1" ht="16.5" customHeight="1">
      <c r="B67" s="25"/>
      <c r="C67" s="51"/>
      <c r="D67" s="211"/>
      <c r="E67" s="51"/>
      <c r="F67" s="51"/>
      <c r="G67" s="27"/>
    </row>
    <row r="68" spans="2:7" s="1" customFormat="1" ht="16.5" customHeight="1">
      <c r="B68" s="25"/>
      <c r="C68" s="51"/>
      <c r="D68" s="211"/>
      <c r="E68" s="51"/>
      <c r="F68" s="51"/>
      <c r="G68" s="27"/>
    </row>
    <row r="69" spans="2:7" s="1" customFormat="1" ht="16.5" customHeight="1">
      <c r="B69" s="25"/>
      <c r="C69" s="51"/>
      <c r="D69" s="211"/>
      <c r="E69" s="51"/>
      <c r="F69" s="51"/>
      <c r="G69" s="27"/>
    </row>
    <row r="70" spans="2:7" s="1" customFormat="1" ht="16.5" customHeight="1">
      <c r="B70" s="25"/>
      <c r="C70" s="51"/>
      <c r="D70" s="211"/>
      <c r="E70" s="51"/>
      <c r="F70" s="51"/>
      <c r="G70" s="27"/>
    </row>
    <row r="71" spans="2:7" s="1" customFormat="1" ht="16.5" customHeight="1">
      <c r="B71" s="25"/>
      <c r="C71" s="51"/>
      <c r="D71" s="211"/>
      <c r="E71" s="51"/>
      <c r="F71" s="51"/>
      <c r="G71" s="27"/>
    </row>
    <row r="72" spans="2:7" s="1" customFormat="1" ht="16.5" customHeight="1">
      <c r="B72" s="25"/>
      <c r="C72" s="51"/>
      <c r="D72" s="211"/>
      <c r="E72" s="51"/>
      <c r="F72" s="51"/>
      <c r="G72" s="27"/>
    </row>
    <row r="73" spans="2:7" s="1" customFormat="1" ht="16.5" customHeight="1">
      <c r="B73" s="25"/>
      <c r="C73" s="51"/>
      <c r="D73" s="211"/>
      <c r="E73" s="51"/>
      <c r="F73" s="51"/>
      <c r="G73" s="27"/>
    </row>
    <row r="74" spans="2:7" s="1" customFormat="1" ht="16.5" customHeight="1">
      <c r="B74" s="25"/>
      <c r="C74" s="51"/>
      <c r="D74" s="211"/>
      <c r="E74" s="51"/>
      <c r="F74" s="51"/>
      <c r="G74" s="27"/>
    </row>
    <row r="75" spans="2:7" s="1" customFormat="1" ht="16.5" customHeight="1">
      <c r="B75" s="25"/>
      <c r="C75" s="51"/>
      <c r="D75" s="211"/>
      <c r="E75" s="51"/>
      <c r="F75" s="51"/>
      <c r="G75" s="27"/>
    </row>
    <row r="76" spans="2:7" s="1" customFormat="1" ht="16.5" customHeight="1">
      <c r="B76" s="25"/>
      <c r="C76" s="51"/>
      <c r="D76" s="211"/>
      <c r="E76" s="51"/>
      <c r="F76" s="51"/>
      <c r="G76" s="27"/>
    </row>
    <row r="77" spans="2:7" s="1" customFormat="1" ht="16.5" customHeight="1">
      <c r="B77" s="212" t="s">
        <v>1</v>
      </c>
      <c r="C77" s="213"/>
      <c r="D77" s="214">
        <f>SUBTOTAL(109,ExpNov128141154167180193206[Amount])</f>
        <v>0</v>
      </c>
      <c r="E77" s="213"/>
      <c r="F77" s="213"/>
      <c r="G77" s="212"/>
    </row>
    <row r="79" spans="2:7" s="1" customFormat="1" ht="26.25" customHeight="1">
      <c r="B79" s="205" t="s">
        <v>162</v>
      </c>
      <c r="C79" s="117"/>
      <c r="D79" s="117"/>
      <c r="E79" s="117"/>
      <c r="F79" s="117"/>
      <c r="G79" s="117"/>
    </row>
    <row r="80" spans="2:7" s="1" customFormat="1" ht="16.5" customHeight="1">
      <c r="B80" s="117"/>
      <c r="C80" s="117"/>
      <c r="D80" s="117"/>
      <c r="E80" s="117"/>
      <c r="F80" s="117"/>
      <c r="G80" s="117"/>
    </row>
    <row r="81" spans="2:7" s="1" customFormat="1" ht="16.5" customHeight="1">
      <c r="B81" s="206" t="s">
        <v>50</v>
      </c>
      <c r="C81" s="207" t="s">
        <v>71</v>
      </c>
      <c r="D81" s="206" t="s">
        <v>48</v>
      </c>
      <c r="E81" s="207" t="s">
        <v>47</v>
      </c>
      <c r="F81" s="207" t="s">
        <v>161</v>
      </c>
      <c r="G81" s="206" t="s">
        <v>160</v>
      </c>
    </row>
    <row r="82" spans="2:7" s="1" customFormat="1" ht="16.5" customHeight="1">
      <c r="B82" s="25"/>
      <c r="C82" s="51"/>
      <c r="D82" s="211"/>
      <c r="E82" s="51"/>
      <c r="F82" s="51"/>
      <c r="G82" s="27"/>
    </row>
    <row r="83" spans="2:7" s="1" customFormat="1" ht="16.5" customHeight="1">
      <c r="B83" s="25"/>
      <c r="C83" s="51"/>
      <c r="D83" s="211"/>
      <c r="E83" s="51"/>
      <c r="F83" s="51"/>
      <c r="G83" s="27"/>
    </row>
    <row r="84" spans="2:7" s="1" customFormat="1" ht="16.5" customHeight="1">
      <c r="B84" s="25"/>
      <c r="C84" s="51"/>
      <c r="D84" s="211"/>
      <c r="E84" s="51"/>
      <c r="F84" s="51"/>
      <c r="G84" s="27"/>
    </row>
    <row r="85" spans="2:7" s="1" customFormat="1" ht="16.5" customHeight="1">
      <c r="B85" s="25"/>
      <c r="C85" s="51"/>
      <c r="D85" s="211"/>
      <c r="E85" s="51"/>
      <c r="F85" s="51"/>
      <c r="G85" s="27"/>
    </row>
    <row r="86" spans="2:7" s="1" customFormat="1" ht="16.5" customHeight="1">
      <c r="B86" s="25"/>
      <c r="C86" s="51"/>
      <c r="D86" s="211"/>
      <c r="E86" s="51"/>
      <c r="F86" s="51"/>
      <c r="G86" s="27"/>
    </row>
    <row r="87" spans="2:7" s="1" customFormat="1" ht="16.5" customHeight="1">
      <c r="B87" s="25"/>
      <c r="C87" s="51"/>
      <c r="D87" s="211"/>
      <c r="E87" s="51"/>
      <c r="F87" s="51"/>
      <c r="G87" s="27"/>
    </row>
    <row r="88" spans="2:7" s="1" customFormat="1" ht="16.5" customHeight="1">
      <c r="B88" s="212" t="s">
        <v>1</v>
      </c>
      <c r="C88" s="213"/>
      <c r="D88" s="214">
        <f>SUBTOTAL(109,ExpDec129142155168181194207[Amount])</f>
        <v>0</v>
      </c>
      <c r="E88" s="213"/>
      <c r="F88" s="213"/>
      <c r="G88" s="212"/>
    </row>
    <row r="90" spans="2:7" s="1" customFormat="1" ht="28.5" customHeight="1">
      <c r="B90" s="205" t="s">
        <v>163</v>
      </c>
      <c r="C90" s="117"/>
      <c r="D90" s="117"/>
      <c r="E90" s="117"/>
      <c r="F90" s="117"/>
      <c r="G90" s="117"/>
    </row>
    <row r="91" spans="2:7" s="1" customFormat="1" ht="16.5" customHeight="1">
      <c r="B91" s="117"/>
      <c r="C91" s="117"/>
      <c r="D91" s="117"/>
      <c r="E91" s="117"/>
      <c r="F91" s="117"/>
      <c r="G91" s="117"/>
    </row>
    <row r="92" spans="2:7" s="1" customFormat="1" ht="16.5" customHeight="1">
      <c r="B92" s="206" t="s">
        <v>50</v>
      </c>
      <c r="C92" s="207" t="s">
        <v>164</v>
      </c>
      <c r="D92" s="206" t="s">
        <v>48</v>
      </c>
      <c r="E92" s="207" t="s">
        <v>47</v>
      </c>
      <c r="F92" s="207" t="s">
        <v>161</v>
      </c>
      <c r="G92" s="206" t="s">
        <v>160</v>
      </c>
    </row>
    <row r="93" spans="2:7" s="1" customFormat="1" ht="16.5" customHeight="1">
      <c r="B93" s="25"/>
      <c r="C93" s="51"/>
      <c r="D93" s="211"/>
      <c r="E93" s="51"/>
      <c r="F93" s="51"/>
      <c r="G93" s="27"/>
    </row>
    <row r="94" spans="2:7" s="1" customFormat="1" ht="16.5" customHeight="1">
      <c r="B94" s="25"/>
      <c r="C94" s="51"/>
      <c r="D94" s="211"/>
      <c r="E94" s="51"/>
      <c r="F94" s="51"/>
      <c r="G94" s="27"/>
    </row>
    <row r="95" spans="2:7" s="1" customFormat="1" ht="16.5" customHeight="1">
      <c r="B95" s="25"/>
      <c r="C95" s="51"/>
      <c r="D95" s="211"/>
      <c r="E95" s="51"/>
      <c r="F95" s="51"/>
      <c r="G95" s="27"/>
    </row>
    <row r="96" spans="2:7" s="1" customFormat="1" ht="16.5" customHeight="1">
      <c r="B96" s="27"/>
      <c r="C96" s="26"/>
      <c r="D96" s="211"/>
      <c r="E96" s="26"/>
      <c r="F96" s="26"/>
      <c r="G96" s="27"/>
    </row>
    <row r="97" spans="2:7" s="1" customFormat="1" ht="16.5" customHeight="1">
      <c r="B97" s="27"/>
      <c r="C97" s="26"/>
      <c r="D97" s="211"/>
      <c r="E97" s="26"/>
      <c r="F97" s="26"/>
      <c r="G97" s="27"/>
    </row>
    <row r="98" spans="2:7" s="1" customFormat="1" ht="16.5" customHeight="1">
      <c r="B98" s="27"/>
      <c r="C98" s="26"/>
      <c r="D98" s="211"/>
      <c r="E98" s="26"/>
      <c r="F98" s="26"/>
      <c r="G98" s="27"/>
    </row>
    <row r="99" spans="2:7" s="1" customFormat="1" ht="16.5" customHeight="1">
      <c r="B99" s="27"/>
      <c r="C99" s="26"/>
      <c r="D99" s="211"/>
      <c r="E99" s="26"/>
      <c r="F99" s="26"/>
      <c r="G99" s="27"/>
    </row>
    <row r="100" spans="2:7" s="1" customFormat="1" ht="16.5" customHeight="1">
      <c r="B100" s="27"/>
      <c r="C100" s="26"/>
      <c r="D100" s="211"/>
      <c r="E100" s="26"/>
      <c r="F100" s="26"/>
      <c r="G100" s="27"/>
    </row>
    <row r="101" spans="2:7" s="1" customFormat="1" ht="16.5" customHeight="1">
      <c r="B101" s="212" t="s">
        <v>1</v>
      </c>
      <c r="C101" s="213"/>
      <c r="D101" s="214">
        <f>SUBTOTAL(109,ExpJan130143156169182195208[Amount])</f>
        <v>0</v>
      </c>
      <c r="E101" s="213"/>
      <c r="F101" s="213"/>
      <c r="G101" s="212"/>
    </row>
    <row r="103" spans="2:7" s="1" customFormat="1" ht="24" customHeight="1">
      <c r="B103" s="205" t="s">
        <v>165</v>
      </c>
      <c r="C103" s="117"/>
      <c r="D103" s="117"/>
      <c r="E103" s="117"/>
      <c r="F103" s="117"/>
      <c r="G103" s="117"/>
    </row>
    <row r="104" spans="2:7" s="1" customFormat="1" ht="16.5" customHeight="1">
      <c r="B104" s="117"/>
      <c r="C104" s="117"/>
      <c r="D104" s="117"/>
      <c r="E104" s="117"/>
      <c r="F104" s="117"/>
      <c r="G104" s="117"/>
    </row>
    <row r="105" spans="2:7" s="1" customFormat="1" ht="16.5" customHeight="1">
      <c r="B105" s="206" t="s">
        <v>50</v>
      </c>
      <c r="C105" s="207" t="s">
        <v>71</v>
      </c>
      <c r="D105" s="206" t="s">
        <v>48</v>
      </c>
      <c r="E105" s="207" t="s">
        <v>47</v>
      </c>
      <c r="F105" s="206" t="s">
        <v>660</v>
      </c>
      <c r="G105" s="206" t="s">
        <v>45</v>
      </c>
    </row>
    <row r="106" spans="2:7" s="1" customFormat="1" ht="16.5" customHeight="1">
      <c r="B106" s="25"/>
      <c r="C106" s="51"/>
      <c r="D106" s="211"/>
      <c r="E106" s="51"/>
      <c r="F106" s="27"/>
      <c r="G106" s="27"/>
    </row>
    <row r="107" spans="2:7" s="1" customFormat="1" ht="16.5" customHeight="1">
      <c r="B107" s="25"/>
      <c r="C107" s="51"/>
      <c r="D107" s="211"/>
      <c r="E107" s="51"/>
      <c r="F107" s="27"/>
      <c r="G107" s="27"/>
    </row>
    <row r="108" spans="2:7" s="1" customFormat="1" ht="16.5" customHeight="1">
      <c r="B108" s="25"/>
      <c r="C108" s="51"/>
      <c r="D108" s="211"/>
      <c r="E108" s="51"/>
      <c r="F108" s="27"/>
      <c r="G108" s="27"/>
    </row>
    <row r="109" spans="2:7" s="1" customFormat="1" ht="16.5" customHeight="1">
      <c r="B109" s="25"/>
      <c r="C109" s="51"/>
      <c r="D109" s="211"/>
      <c r="E109" s="51"/>
      <c r="F109" s="27"/>
      <c r="G109" s="27"/>
    </row>
    <row r="110" spans="2:7" s="1" customFormat="1" ht="16.5" customHeight="1">
      <c r="B110" s="25"/>
      <c r="C110" s="51"/>
      <c r="D110" s="211"/>
      <c r="E110" s="51"/>
      <c r="F110" s="27"/>
      <c r="G110" s="27"/>
    </row>
    <row r="111" spans="2:7" s="1" customFormat="1" ht="16.5" customHeight="1">
      <c r="B111" s="25"/>
      <c r="C111" s="51"/>
      <c r="D111" s="211"/>
      <c r="E111" s="51"/>
      <c r="F111" s="27"/>
      <c r="G111" s="27"/>
    </row>
    <row r="112" spans="2:7" s="1" customFormat="1" ht="16.5" customHeight="1">
      <c r="B112" s="337"/>
      <c r="C112" s="338"/>
      <c r="D112" s="339"/>
      <c r="E112" s="338"/>
      <c r="F112" s="340"/>
      <c r="G112" s="340"/>
    </row>
    <row r="113" spans="2:7" s="1" customFormat="1" ht="16.5" customHeight="1">
      <c r="B113" s="337"/>
      <c r="C113" s="338"/>
      <c r="D113" s="339"/>
      <c r="E113" s="338"/>
      <c r="F113" s="340"/>
      <c r="G113" s="340"/>
    </row>
    <row r="114" spans="2:7" s="1" customFormat="1" ht="16.5" customHeight="1">
      <c r="B114" s="337"/>
      <c r="C114" s="338"/>
      <c r="D114" s="339"/>
      <c r="E114" s="338"/>
      <c r="F114" s="340"/>
      <c r="G114" s="340"/>
    </row>
    <row r="115" spans="2:7" s="1" customFormat="1" ht="16.5" customHeight="1">
      <c r="B115" s="337"/>
      <c r="C115" s="338"/>
      <c r="D115" s="339"/>
      <c r="E115" s="338"/>
      <c r="F115" s="340"/>
      <c r="G115" s="340"/>
    </row>
    <row r="116" spans="2:7" s="1" customFormat="1" ht="16.5" customHeight="1">
      <c r="B116" s="337"/>
      <c r="C116" s="338"/>
      <c r="D116" s="339"/>
      <c r="E116" s="338"/>
      <c r="F116" s="340"/>
      <c r="G116" s="340"/>
    </row>
    <row r="117" spans="2:7" s="1" customFormat="1" ht="16.5" customHeight="1">
      <c r="B117" s="224" t="s">
        <v>1</v>
      </c>
      <c r="C117" s="225"/>
      <c r="D117" s="226">
        <f>SUBTOTAL(109,ExpFeb131144157170183196209[Amount])</f>
        <v>0</v>
      </c>
      <c r="E117" s="225"/>
      <c r="F117" s="224"/>
      <c r="G117" s="395"/>
    </row>
    <row r="119" spans="2:7" s="1" customFormat="1" ht="26.25" customHeight="1">
      <c r="B119" s="205" t="s">
        <v>166</v>
      </c>
      <c r="C119" s="117"/>
      <c r="D119" s="117"/>
      <c r="E119" s="117"/>
      <c r="F119" s="117"/>
      <c r="G119" s="117"/>
    </row>
    <row r="120" spans="2:7" s="1" customFormat="1" ht="16.5" customHeight="1">
      <c r="B120" s="117"/>
      <c r="C120" s="117"/>
      <c r="D120" s="117"/>
      <c r="E120" s="117"/>
      <c r="F120" s="117"/>
      <c r="G120" s="117"/>
    </row>
    <row r="121" spans="2:7" s="1" customFormat="1" ht="16.5" customHeight="1">
      <c r="B121" s="206" t="s">
        <v>50</v>
      </c>
      <c r="C121" s="207" t="s">
        <v>71</v>
      </c>
      <c r="D121" s="206" t="s">
        <v>48</v>
      </c>
      <c r="E121" s="207" t="s">
        <v>47</v>
      </c>
      <c r="F121" s="207" t="s">
        <v>660</v>
      </c>
      <c r="G121" s="206" t="s">
        <v>45</v>
      </c>
    </row>
    <row r="122" spans="2:7" s="1" customFormat="1" ht="16.5" customHeight="1">
      <c r="B122" s="25"/>
      <c r="C122" s="51"/>
      <c r="D122" s="211"/>
      <c r="E122" s="51"/>
      <c r="F122" s="51"/>
      <c r="G122" s="27"/>
    </row>
    <row r="123" spans="2:7" s="1" customFormat="1" ht="16.5" customHeight="1">
      <c r="B123" s="25"/>
      <c r="C123" s="51"/>
      <c r="D123" s="211"/>
      <c r="E123" s="51"/>
      <c r="F123" s="51"/>
      <c r="G123" s="27"/>
    </row>
    <row r="124" spans="2:7" s="1" customFormat="1" ht="16.5" customHeight="1">
      <c r="B124" s="25"/>
      <c r="C124" s="51"/>
      <c r="D124" s="211"/>
      <c r="E124" s="51"/>
      <c r="F124" s="51"/>
      <c r="G124" s="27"/>
    </row>
    <row r="125" spans="2:7" s="1" customFormat="1" ht="16.5" customHeight="1">
      <c r="B125" s="25"/>
      <c r="C125" s="51"/>
      <c r="D125" s="211"/>
      <c r="E125" s="51"/>
      <c r="F125" s="51"/>
      <c r="G125" s="27"/>
    </row>
    <row r="126" spans="2:7" s="1" customFormat="1" ht="16.5" customHeight="1">
      <c r="B126" s="25"/>
      <c r="C126" s="51"/>
      <c r="D126" s="211"/>
      <c r="E126" s="51"/>
      <c r="F126" s="51"/>
      <c r="G126" s="27"/>
    </row>
    <row r="127" spans="2:7" s="1" customFormat="1" ht="16.5" customHeight="1">
      <c r="B127" s="25"/>
      <c r="C127" s="51"/>
      <c r="D127" s="211"/>
      <c r="E127" s="51"/>
      <c r="F127" s="51"/>
      <c r="G127" s="27"/>
    </row>
    <row r="128" spans="2:7" s="1" customFormat="1" ht="16.5" customHeight="1">
      <c r="B128" s="25"/>
      <c r="C128" s="51"/>
      <c r="D128" s="211"/>
      <c r="E128" s="51"/>
      <c r="F128" s="51"/>
      <c r="G128" s="27"/>
    </row>
    <row r="129" spans="2:7" s="1" customFormat="1" ht="16.5" customHeight="1">
      <c r="B129" s="25"/>
      <c r="C129" s="51"/>
      <c r="D129" s="211"/>
      <c r="E129" s="51"/>
      <c r="F129" s="51"/>
      <c r="G129" s="27"/>
    </row>
    <row r="130" spans="2:7" s="1" customFormat="1" ht="16.5" customHeight="1">
      <c r="B130" s="25"/>
      <c r="C130" s="51"/>
      <c r="D130" s="211"/>
      <c r="E130" s="51"/>
      <c r="F130" s="51"/>
      <c r="G130" s="27"/>
    </row>
    <row r="131" spans="2:7" s="1" customFormat="1" ht="16.5" customHeight="1">
      <c r="B131" s="25"/>
      <c r="C131" s="51"/>
      <c r="D131" s="211"/>
      <c r="E131" s="51"/>
      <c r="F131" s="51"/>
      <c r="G131" s="27"/>
    </row>
    <row r="132" spans="2:7" s="1" customFormat="1" ht="16.5" customHeight="1">
      <c r="B132" s="25"/>
      <c r="C132" s="51"/>
      <c r="D132" s="211"/>
      <c r="E132" s="51"/>
      <c r="F132" s="51"/>
      <c r="G132" s="27"/>
    </row>
    <row r="133" spans="2:7" s="1" customFormat="1" ht="16.5" customHeight="1">
      <c r="B133" s="25"/>
      <c r="C133" s="51"/>
      <c r="D133" s="211"/>
      <c r="E133" s="51"/>
      <c r="F133" s="51"/>
      <c r="G133" s="27"/>
    </row>
    <row r="134" spans="2:7" s="1" customFormat="1" ht="16.5" customHeight="1">
      <c r="B134" s="25"/>
      <c r="C134" s="51"/>
      <c r="D134" s="211"/>
      <c r="E134" s="51"/>
      <c r="F134" s="51"/>
      <c r="G134" s="27"/>
    </row>
    <row r="135" spans="2:7" s="1" customFormat="1" ht="16.5" customHeight="1">
      <c r="B135" s="212" t="s">
        <v>1</v>
      </c>
      <c r="C135" s="213"/>
      <c r="D135" s="214">
        <f>SUBTOTAL(109,ExpMar132145158171184197210[Amount])</f>
        <v>0</v>
      </c>
      <c r="E135" s="213"/>
      <c r="F135" s="213"/>
      <c r="G135" s="212"/>
    </row>
    <row r="137" spans="2:7" s="1" customFormat="1" ht="25.5" customHeight="1">
      <c r="B137" s="205" t="s">
        <v>167</v>
      </c>
      <c r="C137" s="117"/>
      <c r="D137" s="117"/>
      <c r="E137" s="117"/>
      <c r="F137" s="117"/>
      <c r="G137" s="117"/>
    </row>
    <row r="138" spans="2:7" s="1" customFormat="1" ht="16.5" customHeight="1">
      <c r="B138" s="117"/>
      <c r="C138" s="117"/>
      <c r="D138" s="117"/>
      <c r="E138" s="117"/>
      <c r="F138" s="117"/>
      <c r="G138" s="117"/>
    </row>
    <row r="139" spans="2:7" s="1" customFormat="1" ht="16.5" customHeight="1">
      <c r="B139" s="206" t="s">
        <v>50</v>
      </c>
      <c r="C139" s="207" t="s">
        <v>168</v>
      </c>
      <c r="D139" s="206" t="s">
        <v>48</v>
      </c>
      <c r="E139" s="207" t="s">
        <v>47</v>
      </c>
      <c r="F139" s="207" t="s">
        <v>660</v>
      </c>
      <c r="G139" s="206" t="s">
        <v>45</v>
      </c>
    </row>
    <row r="140" spans="2:7" s="1" customFormat="1" ht="16.5" customHeight="1">
      <c r="B140" s="215"/>
      <c r="C140" s="51"/>
      <c r="D140" s="216"/>
      <c r="E140" s="51"/>
      <c r="F140" s="51"/>
      <c r="G140" s="51"/>
    </row>
    <row r="141" spans="2:7" s="1" customFormat="1" ht="16.5" customHeight="1">
      <c r="B141" s="215"/>
      <c r="C141" s="51"/>
      <c r="D141" s="216"/>
      <c r="E141" s="51"/>
      <c r="F141" s="51"/>
      <c r="G141" s="51"/>
    </row>
    <row r="142" spans="2:7" s="1" customFormat="1" ht="16.5" customHeight="1">
      <c r="B142" s="215"/>
      <c r="C142" s="51"/>
      <c r="D142" s="216"/>
      <c r="E142" s="51"/>
      <c r="F142" s="51"/>
      <c r="G142" s="51"/>
    </row>
    <row r="143" spans="2:7" s="1" customFormat="1" ht="16.5" customHeight="1">
      <c r="B143" s="215"/>
      <c r="C143" s="51"/>
      <c r="D143" s="216"/>
      <c r="E143" s="51"/>
      <c r="F143" s="51"/>
      <c r="G143" s="51"/>
    </row>
    <row r="144" spans="2:7" s="1" customFormat="1" ht="16.5" customHeight="1">
      <c r="B144" s="215"/>
      <c r="C144" s="51"/>
      <c r="D144" s="216"/>
      <c r="E144" s="51"/>
      <c r="F144" s="51"/>
      <c r="G144" s="51"/>
    </row>
    <row r="145" spans="2:7" s="1" customFormat="1" ht="16.5" customHeight="1">
      <c r="B145" s="215"/>
      <c r="C145" s="51"/>
      <c r="D145" s="216"/>
      <c r="E145" s="51"/>
      <c r="F145" s="51"/>
      <c r="G145" s="51"/>
    </row>
    <row r="146" spans="2:7" s="1" customFormat="1" ht="16.5" customHeight="1">
      <c r="B146" s="215"/>
      <c r="C146" s="51"/>
      <c r="D146" s="216"/>
      <c r="E146" s="51"/>
      <c r="F146" s="51"/>
      <c r="G146" s="51"/>
    </row>
    <row r="147" spans="2:7" s="1" customFormat="1" ht="16.5" customHeight="1">
      <c r="B147" s="215"/>
      <c r="C147" s="51"/>
      <c r="D147" s="216"/>
      <c r="E147" s="51"/>
      <c r="F147" s="51"/>
      <c r="G147" s="51"/>
    </row>
    <row r="148" spans="2:7" s="1" customFormat="1" ht="16.5" customHeight="1">
      <c r="B148" s="215"/>
      <c r="C148" s="51"/>
      <c r="D148" s="216"/>
      <c r="E148" s="51"/>
      <c r="F148" s="51"/>
      <c r="G148" s="51"/>
    </row>
    <row r="149" spans="2:7" s="1" customFormat="1" ht="16.5" customHeight="1">
      <c r="B149" s="215"/>
      <c r="C149" s="51"/>
      <c r="D149" s="216"/>
      <c r="E149" s="51"/>
      <c r="F149" s="51"/>
      <c r="G149" s="51"/>
    </row>
    <row r="150" spans="2:7" s="1" customFormat="1" ht="16.5" customHeight="1">
      <c r="B150" s="215"/>
      <c r="C150" s="51"/>
      <c r="D150" s="216"/>
      <c r="E150" s="51"/>
      <c r="F150" s="51"/>
      <c r="G150" s="51"/>
    </row>
    <row r="151" spans="2:7" s="1" customFormat="1" ht="16.5" customHeight="1">
      <c r="B151" s="212" t="s">
        <v>1</v>
      </c>
      <c r="C151" s="213"/>
      <c r="D151" s="214">
        <f>SUBTOTAL(109,ExpApr133146159172185198211[Amount])</f>
        <v>0</v>
      </c>
      <c r="E151" s="213"/>
      <c r="F151" s="213"/>
      <c r="G151" s="212"/>
    </row>
    <row r="153" spans="2:7" s="1" customFormat="1" ht="26.25" customHeight="1">
      <c r="B153" s="205" t="s">
        <v>169</v>
      </c>
      <c r="C153" s="117"/>
      <c r="D153" s="117"/>
      <c r="E153" s="117"/>
      <c r="F153" s="117"/>
      <c r="G153" s="117"/>
    </row>
    <row r="154" spans="2:7" s="1" customFormat="1" ht="16.5" customHeight="1">
      <c r="B154" s="117"/>
      <c r="C154" s="117"/>
      <c r="D154" s="117"/>
      <c r="E154" s="117"/>
      <c r="F154" s="117"/>
      <c r="G154" s="117"/>
    </row>
    <row r="155" spans="2:7" s="1" customFormat="1" ht="16.5" customHeight="1">
      <c r="B155" s="206" t="s">
        <v>50</v>
      </c>
      <c r="C155" s="207" t="s">
        <v>71</v>
      </c>
      <c r="D155" s="206" t="s">
        <v>48</v>
      </c>
      <c r="E155" s="207" t="s">
        <v>47</v>
      </c>
      <c r="F155" s="207" t="s">
        <v>660</v>
      </c>
      <c r="G155" s="206" t="s">
        <v>45</v>
      </c>
    </row>
    <row r="156" spans="2:7" s="1" customFormat="1" ht="16.5" customHeight="1">
      <c r="B156" s="25"/>
      <c r="C156" s="51"/>
      <c r="D156" s="211"/>
      <c r="E156" s="51"/>
      <c r="F156" s="51"/>
      <c r="G156" s="27"/>
    </row>
    <row r="157" spans="2:7" s="1" customFormat="1" ht="16.5" customHeight="1">
      <c r="B157" s="25"/>
      <c r="C157" s="51"/>
      <c r="D157" s="211"/>
      <c r="E157" s="51"/>
      <c r="F157" s="51"/>
      <c r="G157" s="27"/>
    </row>
    <row r="158" spans="2:7" s="1" customFormat="1" ht="16.5" customHeight="1">
      <c r="B158" s="25"/>
      <c r="C158" s="51"/>
      <c r="D158" s="211"/>
      <c r="E158" s="51"/>
      <c r="F158" s="51"/>
      <c r="G158" s="27"/>
    </row>
    <row r="159" spans="2:7" s="1" customFormat="1" ht="16.5" customHeight="1">
      <c r="B159" s="25"/>
      <c r="C159" s="51"/>
      <c r="D159" s="211"/>
      <c r="E159" s="51"/>
      <c r="F159" s="51"/>
      <c r="G159" s="27"/>
    </row>
    <row r="160" spans="2:7" s="1" customFormat="1" ht="16.5" customHeight="1">
      <c r="B160" s="25"/>
      <c r="C160" s="51"/>
      <c r="D160" s="211"/>
      <c r="E160" s="51"/>
      <c r="F160" s="51"/>
      <c r="G160" s="27"/>
    </row>
    <row r="161" spans="2:7" s="1" customFormat="1" ht="16.5" customHeight="1">
      <c r="B161" s="25"/>
      <c r="C161" s="51"/>
      <c r="D161" s="211"/>
      <c r="E161" s="51"/>
      <c r="F161" s="51"/>
      <c r="G161" s="27"/>
    </row>
    <row r="162" spans="2:7" s="1" customFormat="1" ht="16.5" customHeight="1">
      <c r="B162" s="25"/>
      <c r="C162" s="51"/>
      <c r="D162" s="211"/>
      <c r="E162" s="51"/>
      <c r="F162" s="51"/>
      <c r="G162" s="27"/>
    </row>
    <row r="163" spans="2:7" s="1" customFormat="1" ht="16.5" customHeight="1">
      <c r="B163" s="25"/>
      <c r="C163" s="51"/>
      <c r="D163" s="211"/>
      <c r="E163" s="51"/>
      <c r="F163" s="51"/>
      <c r="G163" s="27"/>
    </row>
    <row r="164" spans="2:7" s="1" customFormat="1" ht="16.5" customHeight="1">
      <c r="B164" s="25"/>
      <c r="C164" s="51"/>
      <c r="D164" s="211"/>
      <c r="E164" s="51"/>
      <c r="F164" s="51"/>
      <c r="G164" s="27"/>
    </row>
    <row r="165" spans="2:7" s="1" customFormat="1" ht="16.5" customHeight="1">
      <c r="B165" s="25"/>
      <c r="C165" s="51"/>
      <c r="D165" s="211"/>
      <c r="E165" s="51"/>
      <c r="F165" s="51"/>
      <c r="G165" s="27"/>
    </row>
    <row r="166" spans="2:7" s="1" customFormat="1" ht="16.5" customHeight="1">
      <c r="B166" s="25"/>
      <c r="C166" s="51"/>
      <c r="D166" s="211"/>
      <c r="E166" s="51"/>
      <c r="F166" s="51"/>
      <c r="G166" s="27"/>
    </row>
    <row r="167" spans="2:7" s="1" customFormat="1" ht="16.5" customHeight="1">
      <c r="B167" s="25"/>
      <c r="C167" s="51"/>
      <c r="D167" s="211"/>
      <c r="E167" s="51"/>
      <c r="F167" s="51"/>
      <c r="G167" s="27"/>
    </row>
    <row r="168" spans="2:7" s="1" customFormat="1" ht="16.5" customHeight="1">
      <c r="B168" s="224" t="s">
        <v>1</v>
      </c>
      <c r="C168" s="225"/>
      <c r="D168" s="226">
        <f>SUBTOTAL(109,ExpMay134147160173186199212[Amount])</f>
        <v>0</v>
      </c>
      <c r="E168" s="225"/>
      <c r="F168" s="225"/>
      <c r="G168" s="224"/>
    </row>
    <row r="170" spans="2:7" s="1" customFormat="1" ht="26.25" customHeight="1">
      <c r="B170" s="205" t="s">
        <v>170</v>
      </c>
      <c r="C170" s="117"/>
      <c r="D170" s="117"/>
      <c r="E170" s="117"/>
      <c r="F170" s="117"/>
      <c r="G170" s="117"/>
    </row>
    <row r="171" spans="2:7" s="1" customFormat="1" ht="16.5" customHeight="1">
      <c r="B171" s="117"/>
      <c r="C171" s="117"/>
      <c r="D171" s="117"/>
      <c r="E171" s="117"/>
      <c r="F171" s="117"/>
      <c r="G171" s="117"/>
    </row>
    <row r="172" spans="2:7" s="1" customFormat="1" ht="16.5" customHeight="1">
      <c r="B172" s="206" t="s">
        <v>50</v>
      </c>
      <c r="C172" s="207" t="s">
        <v>155</v>
      </c>
      <c r="D172" s="206" t="s">
        <v>48</v>
      </c>
      <c r="E172" s="207" t="s">
        <v>47</v>
      </c>
      <c r="F172" s="207" t="s">
        <v>660</v>
      </c>
      <c r="G172" s="206" t="s">
        <v>45</v>
      </c>
    </row>
    <row r="173" spans="2:7" s="1" customFormat="1" ht="16.5" customHeight="1">
      <c r="B173" s="215"/>
      <c r="C173" s="51"/>
      <c r="D173" s="216"/>
      <c r="E173" s="51"/>
      <c r="F173" s="51"/>
      <c r="G173" s="51"/>
    </row>
    <row r="174" spans="2:7" s="1" customFormat="1" ht="16.5" customHeight="1">
      <c r="B174" s="215"/>
      <c r="C174" s="51"/>
      <c r="D174" s="216"/>
      <c r="E174" s="51"/>
      <c r="F174" s="51"/>
      <c r="G174" s="51"/>
    </row>
    <row r="175" spans="2:7" s="1" customFormat="1" ht="16.5" customHeight="1">
      <c r="B175" s="215"/>
      <c r="C175" s="51"/>
      <c r="D175" s="216"/>
      <c r="E175" s="51"/>
      <c r="F175" s="51"/>
      <c r="G175" s="51"/>
    </row>
    <row r="176" spans="2:7" s="1" customFormat="1" ht="16.5" customHeight="1">
      <c r="B176" s="215"/>
      <c r="C176" s="51"/>
      <c r="D176" s="216"/>
      <c r="E176" s="51"/>
      <c r="F176" s="51"/>
      <c r="G176" s="51"/>
    </row>
    <row r="177" spans="2:7" s="1" customFormat="1" ht="16.5" customHeight="1">
      <c r="B177" s="215"/>
      <c r="C177" s="51"/>
      <c r="D177" s="216"/>
      <c r="E177" s="51"/>
      <c r="F177" s="51"/>
      <c r="G177" s="51"/>
    </row>
    <row r="178" spans="2:7" s="1" customFormat="1" ht="16.5" customHeight="1">
      <c r="B178" s="215"/>
      <c r="C178" s="51"/>
      <c r="D178" s="216"/>
      <c r="E178" s="51"/>
      <c r="F178" s="51"/>
      <c r="G178" s="51"/>
    </row>
    <row r="179" spans="2:7" s="1" customFormat="1" ht="16.5" customHeight="1">
      <c r="B179" s="215"/>
      <c r="C179" s="51"/>
      <c r="D179" s="216"/>
      <c r="E179" s="51"/>
      <c r="F179" s="51"/>
      <c r="G179" s="51"/>
    </row>
    <row r="180" spans="2:7" s="1" customFormat="1" ht="16.5" customHeight="1">
      <c r="B180" s="215"/>
      <c r="C180" s="51"/>
      <c r="D180" s="216"/>
      <c r="E180" s="51"/>
      <c r="F180" s="51"/>
      <c r="G180" s="51"/>
    </row>
    <row r="181" spans="2:7" s="1" customFormat="1" ht="16.5" customHeight="1">
      <c r="B181" s="215"/>
      <c r="C181" s="51"/>
      <c r="D181" s="216"/>
      <c r="E181" s="51"/>
      <c r="F181" s="51"/>
      <c r="G181" s="51"/>
    </row>
    <row r="182" spans="2:7" s="1" customFormat="1" ht="16.5" customHeight="1">
      <c r="B182" s="215"/>
      <c r="C182" s="51"/>
      <c r="D182" s="216"/>
      <c r="E182" s="51"/>
      <c r="F182" s="51"/>
      <c r="G182" s="51"/>
    </row>
    <row r="183" spans="2:7" s="1" customFormat="1" ht="16.5" customHeight="1">
      <c r="B183" s="215"/>
      <c r="C183" s="51"/>
      <c r="D183" s="216"/>
      <c r="E183" s="51"/>
      <c r="F183" s="51"/>
      <c r="G183" s="51"/>
    </row>
    <row r="184" spans="2:7" s="1" customFormat="1" ht="16.5" customHeight="1">
      <c r="B184" s="224" t="s">
        <v>1</v>
      </c>
      <c r="C184" s="225"/>
      <c r="D184" s="226">
        <f>SUBTOTAL(109,ExpJun135148161174187200213[Amount])</f>
        <v>0</v>
      </c>
      <c r="E184" s="225"/>
      <c r="F184" s="225"/>
      <c r="G184" s="224"/>
    </row>
  </sheetData>
  <dataValidations count="14">
    <dataValidation type="custom" errorStyle="warning" allowBlank="1" showInputMessage="1" showErrorMessage="1" errorTitle="Amount Validation" error="Amount should be a number." sqref="D5:D10 D12 D16:D26 D32:D45 D51:D61 D67:D76 D82:D87 D93:D100 D106:D116 D122:D134 D140:D150 D156:D167 D173:D183">
      <formula1>ISNUMBER($D5)</formula1>
    </dataValidation>
    <dataValidation type="custom" errorStyle="warning" allowBlank="1" showInputMessage="1" showErrorMessage="1" errorTitle="Date Validation" error="A date in July needs be entered  in order for this expense to be added to the Summary sheet." sqref="B5:B10 B12">
      <formula1>MONTH($B5)=7</formula1>
    </dataValidation>
    <dataValidation type="list" errorStyle="warning" allowBlank="1" showInputMessage="1" showErrorMessage="1" errorTitle="Unknown Category" error="An expense from the drop down should be selected in order for it to be included on the Summary sheet." sqref="E5:F10 E12:F12 E16:F26 E32:F45 E51:F61 E67:F76 E82:F87 E93:F100 E106:E116 E122:F134 E140:F150 E156:F167 E173:F183">
      <formula1>ExpenseCategories</formula1>
    </dataValidation>
    <dataValidation type="custom" errorStyle="warning" allowBlank="1" showInputMessage="1" showErrorMessage="1" errorTitle="Date Validation" error="A date in August needs be entered  in order for this expense to be added to the Summary sheet." sqref="B16:B26">
      <formula1>MONTH($B16)=8</formula1>
    </dataValidation>
    <dataValidation type="custom" errorStyle="warning" allowBlank="1" showInputMessage="1" showErrorMessage="1" errorTitle="Date Validation" error="A date in September needs be entered  in order for this expense to be added to the Summary sheet." sqref="B32:B45">
      <formula1>MONTH($B32)=9</formula1>
    </dataValidation>
    <dataValidation type="custom" errorStyle="warning" allowBlank="1" showInputMessage="1" showErrorMessage="1" errorTitle="Date Validation" error="A date in October needs be entered  in order for this expense to be added to the Summary sheet." sqref="B51:B61">
      <formula1>MONTH($B51)=10</formula1>
    </dataValidation>
    <dataValidation type="custom" errorStyle="warning" allowBlank="1" showInputMessage="1" showErrorMessage="1" errorTitle="Date Validation" error="A date in November needs be entered  in order for this expense to be added to the Summary sheet." sqref="B67:B76">
      <formula1>MONTH($B67)=11</formula1>
    </dataValidation>
    <dataValidation type="custom" errorStyle="warning" allowBlank="1" showInputMessage="1" showErrorMessage="1" errorTitle="Date Validation" error="A date in December needs be entered  in order for this expense to be added to the Summary sheet." sqref="B82:B87">
      <formula1>MONTH($B82)=12</formula1>
    </dataValidation>
    <dataValidation type="custom" errorStyle="warning" allowBlank="1" showInputMessage="1" showErrorMessage="1" errorTitle="Date Validation" error="A date in January needs be entered in order for this expense to be added to the Summary sheet." sqref="B93:B100">
      <formula1>MONTH($B93)=1</formula1>
    </dataValidation>
    <dataValidation type="custom" errorStyle="warning" allowBlank="1" showInputMessage="1" showErrorMessage="1" errorTitle="Date Validation" error="A date in February needs be entered in order for this expense to be added to the Summary sheet." sqref="B106:B116">
      <formula1>MONTH($B106)=2</formula1>
    </dataValidation>
    <dataValidation type="custom" errorStyle="warning" allowBlank="1" showInputMessage="1" showErrorMessage="1" errorTitle="Date Validation" error="A date in March needs be entered in order for this expense to be added to the Summary sheet." sqref="B122:B134">
      <formula1>MONTH($B122)=3</formula1>
    </dataValidation>
    <dataValidation type="custom" errorStyle="warning" allowBlank="1" showInputMessage="1" showErrorMessage="1" errorTitle="Date Validation" error="A date in April needs be entered  in order for this expense to be added to the Summary sheet." sqref="B140:B150">
      <formula1>MONTH($B140)=4</formula1>
    </dataValidation>
    <dataValidation type="custom" errorStyle="warning" allowBlank="1" showInputMessage="1" showErrorMessage="1" errorTitle="Date Validation" error="A date in May needs be entered  in order for this expense to be added to the Summary sheet." sqref="B156:B167">
      <formula1>MONTH($B156)=5</formula1>
    </dataValidation>
    <dataValidation type="custom" errorStyle="warning" allowBlank="1" showInputMessage="1" showErrorMessage="1" errorTitle="Date Validation" error="A date in June needs be entered  in order for this expense to be added to the Summary sheet." sqref="B173:B183">
      <formula1>MONTH($B173)=6</formula1>
    </dataValidation>
  </dataValidations>
  <printOptions horizontalCentered="1"/>
  <pageMargins left="0.25" right="0.25" top="0.75" bottom="0.75" header="0.3" footer="0.3"/>
  <pageSetup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81"/>
  <sheetViews>
    <sheetView topLeftCell="A16" workbookViewId="0">
      <selection activeCell="P33" sqref="A1:XFD1048576"/>
    </sheetView>
  </sheetViews>
  <sheetFormatPr defaultColWidth="9.140625" defaultRowHeight="12.75"/>
  <cols>
    <col min="1" max="1" width="16.140625" style="260" customWidth="1"/>
    <col min="2" max="2" width="13.42578125" style="260" customWidth="1"/>
    <col min="3" max="3" width="11.42578125" style="260" customWidth="1"/>
    <col min="4" max="4" width="14" style="260" customWidth="1"/>
    <col min="5" max="5" width="14.140625" style="260" customWidth="1"/>
    <col min="6" max="6" width="12.7109375" style="260" customWidth="1"/>
    <col min="7" max="7" width="13.28515625" style="260" customWidth="1"/>
    <col min="8" max="16384" width="9.140625" style="260"/>
  </cols>
  <sheetData>
    <row r="1" spans="1:7" ht="13.5" customHeight="1">
      <c r="A1" s="278" t="s">
        <v>155</v>
      </c>
      <c r="B1" s="279" t="s">
        <v>154</v>
      </c>
      <c r="C1" s="280"/>
      <c r="D1" s="279" t="s">
        <v>153</v>
      </c>
      <c r="E1" s="280"/>
      <c r="F1" s="279" t="s">
        <v>152</v>
      </c>
      <c r="G1" s="280"/>
    </row>
    <row r="2" spans="1:7" ht="22.5">
      <c r="A2" s="516"/>
      <c r="B2" s="517" t="str">
        <f>D1</f>
        <v>Current PM Date &amp; Mileage</v>
      </c>
      <c r="C2" s="361"/>
      <c r="D2" s="518"/>
      <c r="E2" s="352"/>
      <c r="F2" s="519">
        <f t="shared" ref="F2:F40" si="0">SUM(E2-E1)</f>
        <v>0</v>
      </c>
      <c r="G2" s="520"/>
    </row>
    <row r="3" spans="1:7">
      <c r="A3" s="516"/>
      <c r="B3" s="354"/>
      <c r="C3" s="355">
        <v>0</v>
      </c>
      <c r="D3" s="558">
        <v>42479</v>
      </c>
      <c r="E3" s="357">
        <v>5083</v>
      </c>
      <c r="F3" s="358">
        <f t="shared" si="0"/>
        <v>5083</v>
      </c>
      <c r="G3" s="359" t="b">
        <f>IF(F3&gt;5250,"OVER")</f>
        <v>0</v>
      </c>
    </row>
    <row r="4" spans="1:7">
      <c r="A4" s="516">
        <v>9767</v>
      </c>
      <c r="B4" s="559">
        <f>D3</f>
        <v>42479</v>
      </c>
      <c r="C4" s="355">
        <v>5083</v>
      </c>
      <c r="D4" s="558">
        <v>42515</v>
      </c>
      <c r="E4" s="357">
        <v>10036</v>
      </c>
      <c r="F4" s="358">
        <f t="shared" si="0"/>
        <v>4953</v>
      </c>
      <c r="G4" s="359" t="b">
        <f>IF(F4&gt;5250,"OVER")</f>
        <v>0</v>
      </c>
    </row>
    <row r="5" spans="1:7">
      <c r="A5" s="516">
        <v>9824</v>
      </c>
      <c r="B5" s="559">
        <f>D4</f>
        <v>42515</v>
      </c>
      <c r="C5" s="355">
        <v>10036</v>
      </c>
      <c r="D5" s="558">
        <v>42551</v>
      </c>
      <c r="E5" s="357">
        <v>15053</v>
      </c>
      <c r="F5" s="358">
        <f t="shared" si="0"/>
        <v>5017</v>
      </c>
      <c r="G5" s="359" t="b">
        <f>IF(F5&gt;5250,"OVER")</f>
        <v>0</v>
      </c>
    </row>
    <row r="6" spans="1:7">
      <c r="A6" s="516">
        <v>9884</v>
      </c>
      <c r="B6" s="559">
        <f>D5</f>
        <v>42551</v>
      </c>
      <c r="C6" s="355">
        <v>15053</v>
      </c>
      <c r="D6" s="558">
        <v>42585</v>
      </c>
      <c r="E6" s="357">
        <v>20026</v>
      </c>
      <c r="F6" s="358">
        <f t="shared" si="0"/>
        <v>4973</v>
      </c>
      <c r="G6" s="359" t="b">
        <f>IF(F6&gt;5250,"OVER")</f>
        <v>0</v>
      </c>
    </row>
    <row r="7" spans="1:7">
      <c r="A7" s="516">
        <v>9949</v>
      </c>
      <c r="B7" s="559">
        <v>42585</v>
      </c>
      <c r="C7" s="355">
        <v>20026</v>
      </c>
      <c r="D7" s="558">
        <v>42614</v>
      </c>
      <c r="E7" s="357">
        <v>25019</v>
      </c>
      <c r="F7" s="358">
        <f t="shared" si="0"/>
        <v>4993</v>
      </c>
      <c r="G7" s="359" t="b">
        <v>0</v>
      </c>
    </row>
    <row r="8" spans="1:7">
      <c r="A8" s="516">
        <v>10003</v>
      </c>
      <c r="B8" s="559">
        <v>42614</v>
      </c>
      <c r="C8" s="355">
        <v>25019</v>
      </c>
      <c r="D8" s="558">
        <v>42648</v>
      </c>
      <c r="E8" s="357">
        <v>29921</v>
      </c>
      <c r="F8" s="358">
        <f t="shared" si="0"/>
        <v>4902</v>
      </c>
      <c r="G8" s="359" t="b">
        <f t="shared" ref="G8:G36" si="1">IF(F8&gt;5250,"OVER")</f>
        <v>0</v>
      </c>
    </row>
    <row r="9" spans="1:7">
      <c r="A9" s="516">
        <v>10079</v>
      </c>
      <c r="B9" s="559">
        <f t="shared" ref="B9:B40" si="2">D8</f>
        <v>42648</v>
      </c>
      <c r="C9" s="355">
        <v>29921</v>
      </c>
      <c r="D9" s="558">
        <v>42678</v>
      </c>
      <c r="E9" s="357">
        <v>35103</v>
      </c>
      <c r="F9" s="358">
        <f t="shared" si="0"/>
        <v>5182</v>
      </c>
      <c r="G9" s="359" t="b">
        <f t="shared" si="1"/>
        <v>0</v>
      </c>
    </row>
    <row r="10" spans="1:7">
      <c r="A10" s="516">
        <v>10132</v>
      </c>
      <c r="B10" s="559">
        <f t="shared" si="2"/>
        <v>42678</v>
      </c>
      <c r="C10" s="355">
        <v>35103</v>
      </c>
      <c r="D10" s="558">
        <v>42706</v>
      </c>
      <c r="E10" s="357">
        <v>40098</v>
      </c>
      <c r="F10" s="358">
        <f t="shared" si="0"/>
        <v>4995</v>
      </c>
      <c r="G10" s="359" t="b">
        <f t="shared" si="1"/>
        <v>0</v>
      </c>
    </row>
    <row r="11" spans="1:7">
      <c r="A11" s="516">
        <v>10178</v>
      </c>
      <c r="B11" s="559">
        <f t="shared" si="2"/>
        <v>42706</v>
      </c>
      <c r="C11" s="355">
        <v>40098</v>
      </c>
      <c r="D11" s="558">
        <v>42735</v>
      </c>
      <c r="E11" s="357">
        <v>44976</v>
      </c>
      <c r="F11" s="358">
        <f t="shared" si="0"/>
        <v>4878</v>
      </c>
      <c r="G11" s="359" t="b">
        <f t="shared" si="1"/>
        <v>0</v>
      </c>
    </row>
    <row r="12" spans="1:7">
      <c r="A12" s="516">
        <v>10216</v>
      </c>
      <c r="B12" s="559">
        <f t="shared" si="2"/>
        <v>42735</v>
      </c>
      <c r="C12" s="355">
        <v>44976</v>
      </c>
      <c r="D12" s="558">
        <v>42763</v>
      </c>
      <c r="E12" s="357">
        <v>49939</v>
      </c>
      <c r="F12" s="358">
        <f t="shared" si="0"/>
        <v>4963</v>
      </c>
      <c r="G12" s="359" t="b">
        <f t="shared" si="1"/>
        <v>0</v>
      </c>
    </row>
    <row r="13" spans="1:7">
      <c r="A13" s="516">
        <v>10269</v>
      </c>
      <c r="B13" s="559">
        <f t="shared" si="2"/>
        <v>42763</v>
      </c>
      <c r="C13" s="355">
        <v>49939</v>
      </c>
      <c r="D13" s="558">
        <v>42793</v>
      </c>
      <c r="E13" s="357">
        <v>54982</v>
      </c>
      <c r="F13" s="358">
        <f t="shared" si="0"/>
        <v>5043</v>
      </c>
      <c r="G13" s="359" t="b">
        <f t="shared" si="1"/>
        <v>0</v>
      </c>
    </row>
    <row r="14" spans="1:7">
      <c r="A14" s="516">
        <v>10326</v>
      </c>
      <c r="B14" s="559">
        <f t="shared" si="2"/>
        <v>42793</v>
      </c>
      <c r="C14" s="355">
        <v>54982</v>
      </c>
      <c r="D14" s="558">
        <v>42822</v>
      </c>
      <c r="E14" s="357">
        <v>59901</v>
      </c>
      <c r="F14" s="358">
        <f t="shared" si="0"/>
        <v>4919</v>
      </c>
      <c r="G14" s="359" t="b">
        <f t="shared" si="1"/>
        <v>0</v>
      </c>
    </row>
    <row r="15" spans="1:7">
      <c r="A15" s="516">
        <v>10380</v>
      </c>
      <c r="B15" s="559">
        <f t="shared" si="2"/>
        <v>42822</v>
      </c>
      <c r="C15" s="355">
        <v>59901</v>
      </c>
      <c r="D15" s="558">
        <v>42854</v>
      </c>
      <c r="E15" s="357">
        <v>64882</v>
      </c>
      <c r="F15" s="358">
        <f t="shared" si="0"/>
        <v>4981</v>
      </c>
      <c r="G15" s="359" t="b">
        <f t="shared" si="1"/>
        <v>0</v>
      </c>
    </row>
    <row r="16" spans="1:7">
      <c r="A16" s="516">
        <v>10447</v>
      </c>
      <c r="B16" s="559">
        <f t="shared" si="2"/>
        <v>42854</v>
      </c>
      <c r="C16" s="355">
        <v>64882</v>
      </c>
      <c r="D16" s="558"/>
      <c r="E16" s="538"/>
      <c r="F16" s="358">
        <f t="shared" si="0"/>
        <v>-64882</v>
      </c>
      <c r="G16" s="359" t="b">
        <f t="shared" si="1"/>
        <v>0</v>
      </c>
    </row>
    <row r="17" spans="1:7">
      <c r="A17" s="516"/>
      <c r="B17" s="559">
        <f t="shared" si="2"/>
        <v>0</v>
      </c>
      <c r="C17" s="361"/>
      <c r="D17" s="560"/>
      <c r="E17" s="363"/>
      <c r="F17" s="358">
        <f t="shared" si="0"/>
        <v>0</v>
      </c>
      <c r="G17" s="359" t="b">
        <f t="shared" si="1"/>
        <v>0</v>
      </c>
    </row>
    <row r="18" spans="1:7" ht="13.5" thickBot="1">
      <c r="A18" s="523"/>
      <c r="B18" s="559">
        <f t="shared" si="2"/>
        <v>0</v>
      </c>
      <c r="C18" s="365"/>
      <c r="D18" s="561"/>
      <c r="E18" s="367"/>
      <c r="F18" s="358">
        <f t="shared" si="0"/>
        <v>0</v>
      </c>
      <c r="G18" s="359" t="b">
        <f t="shared" si="1"/>
        <v>0</v>
      </c>
    </row>
    <row r="19" spans="1:7" ht="13.5" thickBot="1">
      <c r="A19" s="525"/>
      <c r="B19" s="559">
        <f t="shared" si="2"/>
        <v>0</v>
      </c>
      <c r="C19" s="370"/>
      <c r="D19" s="562"/>
      <c r="E19" s="372"/>
      <c r="F19" s="358">
        <f t="shared" si="0"/>
        <v>0</v>
      </c>
      <c r="G19" s="359" t="b">
        <f t="shared" si="1"/>
        <v>0</v>
      </c>
    </row>
    <row r="20" spans="1:7">
      <c r="A20" s="527"/>
      <c r="B20" s="559">
        <f t="shared" si="2"/>
        <v>0</v>
      </c>
      <c r="C20" s="375"/>
      <c r="D20" s="376"/>
      <c r="E20" s="377"/>
      <c r="F20" s="358">
        <f t="shared" si="0"/>
        <v>0</v>
      </c>
      <c r="G20" s="359" t="b">
        <f t="shared" si="1"/>
        <v>0</v>
      </c>
    </row>
    <row r="21" spans="1:7">
      <c r="A21" s="516"/>
      <c r="B21" s="559">
        <f t="shared" si="2"/>
        <v>0</v>
      </c>
      <c r="C21" s="355"/>
      <c r="D21" s="558"/>
      <c r="E21" s="357"/>
      <c r="F21" s="358">
        <f t="shared" si="0"/>
        <v>0</v>
      </c>
      <c r="G21" s="359" t="b">
        <f t="shared" si="1"/>
        <v>0</v>
      </c>
    </row>
    <row r="22" spans="1:7">
      <c r="A22" s="516"/>
      <c r="B22" s="559">
        <f t="shared" si="2"/>
        <v>0</v>
      </c>
      <c r="C22" s="355"/>
      <c r="D22" s="558"/>
      <c r="E22" s="357"/>
      <c r="F22" s="358">
        <f t="shared" si="0"/>
        <v>0</v>
      </c>
      <c r="G22" s="359" t="b">
        <f t="shared" si="1"/>
        <v>0</v>
      </c>
    </row>
    <row r="23" spans="1:7">
      <c r="A23" s="516"/>
      <c r="B23" s="559">
        <f t="shared" si="2"/>
        <v>0</v>
      </c>
      <c r="C23" s="355"/>
      <c r="D23" s="558"/>
      <c r="E23" s="357"/>
      <c r="F23" s="358">
        <f t="shared" si="0"/>
        <v>0</v>
      </c>
      <c r="G23" s="359" t="b">
        <f t="shared" si="1"/>
        <v>0</v>
      </c>
    </row>
    <row r="24" spans="1:7">
      <c r="A24" s="516"/>
      <c r="B24" s="559">
        <f t="shared" si="2"/>
        <v>0</v>
      </c>
      <c r="C24" s="355"/>
      <c r="D24" s="558"/>
      <c r="E24" s="357"/>
      <c r="F24" s="358">
        <f t="shared" si="0"/>
        <v>0</v>
      </c>
      <c r="G24" s="359" t="b">
        <f t="shared" si="1"/>
        <v>0</v>
      </c>
    </row>
    <row r="25" spans="1:7">
      <c r="A25" s="516"/>
      <c r="B25" s="559">
        <f t="shared" si="2"/>
        <v>0</v>
      </c>
      <c r="C25" s="355"/>
      <c r="D25" s="558"/>
      <c r="E25" s="357"/>
      <c r="F25" s="358">
        <f t="shared" si="0"/>
        <v>0</v>
      </c>
      <c r="G25" s="359" t="b">
        <f t="shared" si="1"/>
        <v>0</v>
      </c>
    </row>
    <row r="26" spans="1:7">
      <c r="A26" s="516"/>
      <c r="B26" s="559">
        <f t="shared" si="2"/>
        <v>0</v>
      </c>
      <c r="C26" s="355"/>
      <c r="D26" s="558"/>
      <c r="E26" s="357"/>
      <c r="F26" s="358">
        <f t="shared" si="0"/>
        <v>0</v>
      </c>
      <c r="G26" s="359" t="b">
        <f t="shared" si="1"/>
        <v>0</v>
      </c>
    </row>
    <row r="27" spans="1:7">
      <c r="A27" s="516"/>
      <c r="B27" s="559">
        <f t="shared" si="2"/>
        <v>0</v>
      </c>
      <c r="C27" s="355"/>
      <c r="D27" s="558"/>
      <c r="E27" s="357"/>
      <c r="F27" s="358">
        <f t="shared" si="0"/>
        <v>0</v>
      </c>
      <c r="G27" s="359" t="b">
        <f t="shared" si="1"/>
        <v>0</v>
      </c>
    </row>
    <row r="28" spans="1:7">
      <c r="A28" s="516"/>
      <c r="B28" s="559">
        <f t="shared" si="2"/>
        <v>0</v>
      </c>
      <c r="C28" s="355"/>
      <c r="D28" s="558"/>
      <c r="E28" s="357"/>
      <c r="F28" s="358">
        <f t="shared" si="0"/>
        <v>0</v>
      </c>
      <c r="G28" s="359" t="b">
        <f t="shared" si="1"/>
        <v>0</v>
      </c>
    </row>
    <row r="29" spans="1:7">
      <c r="A29" s="516"/>
      <c r="B29" s="559">
        <f t="shared" si="2"/>
        <v>0</v>
      </c>
      <c r="C29" s="355"/>
      <c r="D29" s="558"/>
      <c r="E29" s="357"/>
      <c r="F29" s="358">
        <f t="shared" si="0"/>
        <v>0</v>
      </c>
      <c r="G29" s="359" t="b">
        <f t="shared" si="1"/>
        <v>0</v>
      </c>
    </row>
    <row r="30" spans="1:7">
      <c r="A30" s="516"/>
      <c r="B30" s="559">
        <f t="shared" si="2"/>
        <v>0</v>
      </c>
      <c r="C30" s="355"/>
      <c r="D30" s="558"/>
      <c r="E30" s="357"/>
      <c r="F30" s="358">
        <f t="shared" si="0"/>
        <v>0</v>
      </c>
      <c r="G30" s="359" t="b">
        <f t="shared" si="1"/>
        <v>0</v>
      </c>
    </row>
    <row r="31" spans="1:7">
      <c r="A31" s="516"/>
      <c r="B31" s="559">
        <f t="shared" si="2"/>
        <v>0</v>
      </c>
      <c r="C31" s="355"/>
      <c r="D31" s="558"/>
      <c r="E31" s="357"/>
      <c r="F31" s="358">
        <f t="shared" si="0"/>
        <v>0</v>
      </c>
      <c r="G31" s="359" t="b">
        <f t="shared" si="1"/>
        <v>0</v>
      </c>
    </row>
    <row r="32" spans="1:7">
      <c r="A32" s="516"/>
      <c r="B32" s="559">
        <f t="shared" si="2"/>
        <v>0</v>
      </c>
      <c r="C32" s="355"/>
      <c r="D32" s="558"/>
      <c r="E32" s="357"/>
      <c r="F32" s="358">
        <f t="shared" si="0"/>
        <v>0</v>
      </c>
      <c r="G32" s="359" t="b">
        <f t="shared" si="1"/>
        <v>0</v>
      </c>
    </row>
    <row r="33" spans="1:7">
      <c r="A33" s="516"/>
      <c r="B33" s="559">
        <f t="shared" si="2"/>
        <v>0</v>
      </c>
      <c r="C33" s="355"/>
      <c r="D33" s="558"/>
      <c r="E33" s="357"/>
      <c r="F33" s="358">
        <f t="shared" si="0"/>
        <v>0</v>
      </c>
      <c r="G33" s="359" t="b">
        <f t="shared" si="1"/>
        <v>0</v>
      </c>
    </row>
    <row r="34" spans="1:7">
      <c r="A34" s="516"/>
      <c r="B34" s="559">
        <f t="shared" si="2"/>
        <v>0</v>
      </c>
      <c r="C34" s="355"/>
      <c r="D34" s="558"/>
      <c r="E34" s="357"/>
      <c r="F34" s="358">
        <f t="shared" si="0"/>
        <v>0</v>
      </c>
      <c r="G34" s="359" t="b">
        <f t="shared" si="1"/>
        <v>0</v>
      </c>
    </row>
    <row r="35" spans="1:7">
      <c r="A35" s="516"/>
      <c r="B35" s="559">
        <f t="shared" si="2"/>
        <v>0</v>
      </c>
      <c r="C35" s="355"/>
      <c r="D35" s="558"/>
      <c r="E35" s="357"/>
      <c r="F35" s="358">
        <f t="shared" si="0"/>
        <v>0</v>
      </c>
      <c r="G35" s="359" t="b">
        <f t="shared" si="1"/>
        <v>0</v>
      </c>
    </row>
    <row r="36" spans="1:7">
      <c r="A36" s="516"/>
      <c r="B36" s="559">
        <f t="shared" si="2"/>
        <v>0</v>
      </c>
      <c r="C36" s="355"/>
      <c r="D36" s="558"/>
      <c r="E36" s="357"/>
      <c r="F36" s="358">
        <f t="shared" si="0"/>
        <v>0</v>
      </c>
      <c r="G36" s="359" t="b">
        <f t="shared" si="1"/>
        <v>0</v>
      </c>
    </row>
    <row r="37" spans="1:7">
      <c r="A37" s="516"/>
      <c r="B37" s="559">
        <f t="shared" si="2"/>
        <v>0</v>
      </c>
      <c r="C37" s="355"/>
      <c r="D37" s="558"/>
      <c r="E37" s="357"/>
      <c r="F37" s="358">
        <f t="shared" si="0"/>
        <v>0</v>
      </c>
      <c r="G37" s="359"/>
    </row>
    <row r="38" spans="1:7">
      <c r="A38" s="516"/>
      <c r="B38" s="559">
        <f t="shared" si="2"/>
        <v>0</v>
      </c>
      <c r="C38" s="355"/>
      <c r="D38" s="558"/>
      <c r="E38" s="357"/>
      <c r="F38" s="358">
        <f t="shared" si="0"/>
        <v>0</v>
      </c>
      <c r="G38" s="359"/>
    </row>
    <row r="39" spans="1:7">
      <c r="A39" s="516"/>
      <c r="B39" s="559">
        <f t="shared" si="2"/>
        <v>0</v>
      </c>
      <c r="C39" s="355"/>
      <c r="D39" s="558"/>
      <c r="E39" s="357"/>
      <c r="F39" s="358">
        <f t="shared" si="0"/>
        <v>0</v>
      </c>
      <c r="G39" s="359"/>
    </row>
    <row r="40" spans="1:7">
      <c r="A40" s="516"/>
      <c r="B40" s="559">
        <f t="shared" si="2"/>
        <v>0</v>
      </c>
      <c r="C40" s="355"/>
      <c r="D40" s="558"/>
      <c r="E40" s="357"/>
      <c r="F40" s="358">
        <f t="shared" si="0"/>
        <v>0</v>
      </c>
      <c r="G40" s="359"/>
    </row>
    <row r="42" spans="1:7" ht="13.5" thickBot="1">
      <c r="A42" s="504" t="s">
        <v>836</v>
      </c>
    </row>
    <row r="43" spans="1:7">
      <c r="A43" s="278" t="s">
        <v>155</v>
      </c>
      <c r="B43" s="279" t="s">
        <v>154</v>
      </c>
      <c r="C43" s="280"/>
      <c r="D43" s="279" t="s">
        <v>153</v>
      </c>
      <c r="E43" s="280"/>
      <c r="F43" s="279" t="s">
        <v>152</v>
      </c>
      <c r="G43" s="280"/>
    </row>
    <row r="44" spans="1:7" ht="22.5">
      <c r="A44" s="516"/>
      <c r="B44" s="517" t="str">
        <f t="shared" ref="B44:B81" si="3">D43</f>
        <v>Current PM Date &amp; Mileage</v>
      </c>
      <c r="C44" s="361"/>
      <c r="D44" s="518"/>
      <c r="E44" s="352"/>
      <c r="F44" s="519">
        <f t="shared" ref="F44:F81" si="4">SUM(E44-E43)</f>
        <v>0</v>
      </c>
      <c r="G44" s="520"/>
    </row>
    <row r="45" spans="1:7">
      <c r="A45" s="516"/>
      <c r="B45" s="354">
        <f t="shared" si="3"/>
        <v>0</v>
      </c>
      <c r="C45" s="355"/>
      <c r="D45" s="558">
        <v>42865</v>
      </c>
      <c r="E45" s="357">
        <v>0</v>
      </c>
      <c r="F45" s="358">
        <f t="shared" si="4"/>
        <v>0</v>
      </c>
      <c r="G45" s="359" t="b">
        <f t="shared" ref="G45:G48" si="5">IF(F45&gt;8250,"OVER")</f>
        <v>0</v>
      </c>
    </row>
    <row r="46" spans="1:7">
      <c r="A46" s="516"/>
      <c r="B46" s="354"/>
      <c r="C46" s="355"/>
      <c r="D46" s="558" t="s">
        <v>1497</v>
      </c>
      <c r="E46" s="357">
        <v>2943</v>
      </c>
      <c r="F46" s="358">
        <f t="shared" si="4"/>
        <v>2943</v>
      </c>
      <c r="G46" s="359" t="b">
        <f t="shared" si="5"/>
        <v>0</v>
      </c>
    </row>
    <row r="47" spans="1:7">
      <c r="A47" s="516">
        <v>10506</v>
      </c>
      <c r="B47" s="354" t="str">
        <f t="shared" si="3"/>
        <v>5.27.17</v>
      </c>
      <c r="C47" s="355">
        <v>2943</v>
      </c>
      <c r="D47" s="558" t="s">
        <v>1498</v>
      </c>
      <c r="E47" s="357">
        <v>7828</v>
      </c>
      <c r="F47" s="358">
        <f t="shared" si="4"/>
        <v>4885</v>
      </c>
      <c r="G47" s="359" t="b">
        <f t="shared" si="5"/>
        <v>0</v>
      </c>
    </row>
    <row r="48" spans="1:7">
      <c r="A48" s="516">
        <v>10599</v>
      </c>
      <c r="B48" s="354" t="str">
        <f t="shared" si="3"/>
        <v>6.27.17</v>
      </c>
      <c r="C48" s="355">
        <v>7828</v>
      </c>
      <c r="D48" s="558" t="s">
        <v>1499</v>
      </c>
      <c r="E48" s="357">
        <v>12869</v>
      </c>
      <c r="F48" s="358">
        <f t="shared" si="4"/>
        <v>5041</v>
      </c>
      <c r="G48" s="359" t="b">
        <f t="shared" si="5"/>
        <v>0</v>
      </c>
    </row>
    <row r="49" spans="1:7">
      <c r="A49" s="516">
        <v>10664</v>
      </c>
      <c r="B49" s="354" t="str">
        <f t="shared" si="3"/>
        <v>7.28.17</v>
      </c>
      <c r="C49" s="355">
        <v>12969</v>
      </c>
      <c r="D49" s="558" t="s">
        <v>1500</v>
      </c>
      <c r="E49" s="357">
        <v>17687</v>
      </c>
      <c r="F49" s="358">
        <f t="shared" si="4"/>
        <v>4818</v>
      </c>
      <c r="G49" s="359" t="b">
        <f>IF(F49&gt;8250,"OVER")</f>
        <v>0</v>
      </c>
    </row>
    <row r="50" spans="1:7">
      <c r="A50" s="516">
        <v>10746</v>
      </c>
      <c r="B50" s="354" t="str">
        <f t="shared" si="3"/>
        <v>8.26.17</v>
      </c>
      <c r="C50" s="355">
        <v>17687</v>
      </c>
      <c r="D50" s="558" t="s">
        <v>1501</v>
      </c>
      <c r="E50" s="357">
        <v>22909</v>
      </c>
      <c r="F50" s="358">
        <f t="shared" si="4"/>
        <v>5222</v>
      </c>
      <c r="G50" s="359" t="b">
        <f t="shared" ref="G50:G77" si="6">IF(F50&gt;8250,"OVER")</f>
        <v>0</v>
      </c>
    </row>
    <row r="51" spans="1:7">
      <c r="A51" s="516">
        <v>10818</v>
      </c>
      <c r="B51" s="354" t="str">
        <f t="shared" si="3"/>
        <v>9.26.17</v>
      </c>
      <c r="C51" s="355">
        <v>22909</v>
      </c>
      <c r="D51" s="558"/>
      <c r="E51" s="357"/>
      <c r="F51" s="358">
        <f t="shared" si="4"/>
        <v>-22909</v>
      </c>
      <c r="G51" s="359" t="b">
        <f t="shared" si="6"/>
        <v>0</v>
      </c>
    </row>
    <row r="52" spans="1:7">
      <c r="A52" s="516"/>
      <c r="B52" s="354">
        <f t="shared" si="3"/>
        <v>0</v>
      </c>
      <c r="C52" s="355"/>
      <c r="D52" s="558"/>
      <c r="E52" s="357"/>
      <c r="F52" s="358">
        <f t="shared" si="4"/>
        <v>0</v>
      </c>
      <c r="G52" s="359" t="b">
        <f t="shared" si="6"/>
        <v>0</v>
      </c>
    </row>
    <row r="53" spans="1:7">
      <c r="A53" s="516"/>
      <c r="B53" s="354">
        <f t="shared" si="3"/>
        <v>0</v>
      </c>
      <c r="C53" s="355"/>
      <c r="D53" s="558"/>
      <c r="E53" s="357"/>
      <c r="F53" s="358">
        <f t="shared" si="4"/>
        <v>0</v>
      </c>
      <c r="G53" s="359" t="b">
        <f t="shared" si="6"/>
        <v>0</v>
      </c>
    </row>
    <row r="54" spans="1:7">
      <c r="A54" s="516"/>
      <c r="B54" s="354">
        <f t="shared" si="3"/>
        <v>0</v>
      </c>
      <c r="C54" s="355"/>
      <c r="D54" s="558"/>
      <c r="E54" s="357"/>
      <c r="F54" s="358">
        <f t="shared" si="4"/>
        <v>0</v>
      </c>
      <c r="G54" s="359" t="b">
        <f t="shared" si="6"/>
        <v>0</v>
      </c>
    </row>
    <row r="55" spans="1:7">
      <c r="A55" s="516"/>
      <c r="B55" s="354">
        <f t="shared" si="3"/>
        <v>0</v>
      </c>
      <c r="C55" s="355"/>
      <c r="D55" s="558"/>
      <c r="E55" s="357"/>
      <c r="F55" s="358">
        <f t="shared" si="4"/>
        <v>0</v>
      </c>
      <c r="G55" s="359" t="b">
        <f t="shared" si="6"/>
        <v>0</v>
      </c>
    </row>
    <row r="56" spans="1:7">
      <c r="A56" s="516"/>
      <c r="B56" s="354">
        <f t="shared" si="3"/>
        <v>0</v>
      </c>
      <c r="C56" s="355"/>
      <c r="D56" s="558"/>
      <c r="E56" s="357"/>
      <c r="F56" s="358">
        <f t="shared" si="4"/>
        <v>0</v>
      </c>
      <c r="G56" s="359" t="b">
        <f t="shared" si="6"/>
        <v>0</v>
      </c>
    </row>
    <row r="57" spans="1:7">
      <c r="A57" s="516"/>
      <c r="B57" s="354">
        <f t="shared" si="3"/>
        <v>0</v>
      </c>
      <c r="C57" s="355"/>
      <c r="D57" s="558"/>
      <c r="E57" s="538"/>
      <c r="F57" s="358">
        <f t="shared" si="4"/>
        <v>0</v>
      </c>
      <c r="G57" s="359" t="b">
        <f t="shared" si="6"/>
        <v>0</v>
      </c>
    </row>
    <row r="58" spans="1:7">
      <c r="A58" s="516"/>
      <c r="B58" s="354">
        <f t="shared" si="3"/>
        <v>0</v>
      </c>
      <c r="C58" s="361"/>
      <c r="D58" s="560"/>
      <c r="E58" s="363"/>
      <c r="F58" s="358">
        <f t="shared" si="4"/>
        <v>0</v>
      </c>
      <c r="G58" s="359" t="b">
        <f t="shared" si="6"/>
        <v>0</v>
      </c>
    </row>
    <row r="59" spans="1:7" ht="13.5" thickBot="1">
      <c r="A59" s="523"/>
      <c r="B59" s="354">
        <f t="shared" si="3"/>
        <v>0</v>
      </c>
      <c r="C59" s="365"/>
      <c r="D59" s="561"/>
      <c r="E59" s="367"/>
      <c r="F59" s="358">
        <f t="shared" si="4"/>
        <v>0</v>
      </c>
      <c r="G59" s="359" t="b">
        <f t="shared" si="6"/>
        <v>0</v>
      </c>
    </row>
    <row r="60" spans="1:7" ht="13.5" thickBot="1">
      <c r="A60" s="525"/>
      <c r="B60" s="354">
        <f t="shared" si="3"/>
        <v>0</v>
      </c>
      <c r="C60" s="370"/>
      <c r="D60" s="562"/>
      <c r="E60" s="372"/>
      <c r="F60" s="358">
        <f t="shared" si="4"/>
        <v>0</v>
      </c>
      <c r="G60" s="359" t="b">
        <f t="shared" si="6"/>
        <v>0</v>
      </c>
    </row>
    <row r="61" spans="1:7">
      <c r="A61" s="527"/>
      <c r="B61" s="354">
        <f t="shared" si="3"/>
        <v>0</v>
      </c>
      <c r="C61" s="375"/>
      <c r="D61" s="376"/>
      <c r="E61" s="377"/>
      <c r="F61" s="358">
        <f t="shared" si="4"/>
        <v>0</v>
      </c>
      <c r="G61" s="359" t="b">
        <f t="shared" si="6"/>
        <v>0</v>
      </c>
    </row>
    <row r="62" spans="1:7">
      <c r="A62" s="516"/>
      <c r="B62" s="354">
        <f t="shared" si="3"/>
        <v>0</v>
      </c>
      <c r="C62" s="355"/>
      <c r="D62" s="558"/>
      <c r="E62" s="357"/>
      <c r="F62" s="358">
        <f t="shared" si="4"/>
        <v>0</v>
      </c>
      <c r="G62" s="359" t="b">
        <f t="shared" si="6"/>
        <v>0</v>
      </c>
    </row>
    <row r="63" spans="1:7">
      <c r="A63" s="516"/>
      <c r="B63" s="354">
        <f t="shared" si="3"/>
        <v>0</v>
      </c>
      <c r="C63" s="355"/>
      <c r="D63" s="558"/>
      <c r="E63" s="357"/>
      <c r="F63" s="358">
        <f t="shared" si="4"/>
        <v>0</v>
      </c>
      <c r="G63" s="359" t="b">
        <f t="shared" si="6"/>
        <v>0</v>
      </c>
    </row>
    <row r="64" spans="1:7">
      <c r="A64" s="516"/>
      <c r="B64" s="354">
        <f t="shared" si="3"/>
        <v>0</v>
      </c>
      <c r="C64" s="355"/>
      <c r="D64" s="558"/>
      <c r="E64" s="357"/>
      <c r="F64" s="358">
        <f t="shared" si="4"/>
        <v>0</v>
      </c>
      <c r="G64" s="359" t="b">
        <f t="shared" si="6"/>
        <v>0</v>
      </c>
    </row>
    <row r="65" spans="1:7">
      <c r="A65" s="516"/>
      <c r="B65" s="354">
        <f t="shared" si="3"/>
        <v>0</v>
      </c>
      <c r="C65" s="355"/>
      <c r="D65" s="558"/>
      <c r="E65" s="357"/>
      <c r="F65" s="358">
        <f t="shared" si="4"/>
        <v>0</v>
      </c>
      <c r="G65" s="359" t="b">
        <f t="shared" si="6"/>
        <v>0</v>
      </c>
    </row>
    <row r="66" spans="1:7">
      <c r="A66" s="516"/>
      <c r="B66" s="354">
        <f t="shared" si="3"/>
        <v>0</v>
      </c>
      <c r="C66" s="355"/>
      <c r="D66" s="558"/>
      <c r="E66" s="357"/>
      <c r="F66" s="358">
        <f t="shared" si="4"/>
        <v>0</v>
      </c>
      <c r="G66" s="359" t="b">
        <f t="shared" si="6"/>
        <v>0</v>
      </c>
    </row>
    <row r="67" spans="1:7">
      <c r="A67" s="516"/>
      <c r="B67" s="354">
        <f t="shared" si="3"/>
        <v>0</v>
      </c>
      <c r="C67" s="355"/>
      <c r="D67" s="558"/>
      <c r="E67" s="357"/>
      <c r="F67" s="358">
        <f t="shared" si="4"/>
        <v>0</v>
      </c>
      <c r="G67" s="359" t="b">
        <f t="shared" si="6"/>
        <v>0</v>
      </c>
    </row>
    <row r="68" spans="1:7">
      <c r="A68" s="516"/>
      <c r="B68" s="354">
        <f t="shared" si="3"/>
        <v>0</v>
      </c>
      <c r="C68" s="355"/>
      <c r="D68" s="558"/>
      <c r="E68" s="357"/>
      <c r="F68" s="358">
        <f t="shared" si="4"/>
        <v>0</v>
      </c>
      <c r="G68" s="359" t="b">
        <f t="shared" si="6"/>
        <v>0</v>
      </c>
    </row>
    <row r="69" spans="1:7">
      <c r="A69" s="516"/>
      <c r="B69" s="354">
        <f t="shared" si="3"/>
        <v>0</v>
      </c>
      <c r="C69" s="355"/>
      <c r="D69" s="558"/>
      <c r="E69" s="357"/>
      <c r="F69" s="358">
        <f t="shared" si="4"/>
        <v>0</v>
      </c>
      <c r="G69" s="359" t="b">
        <f t="shared" si="6"/>
        <v>0</v>
      </c>
    </row>
    <row r="70" spans="1:7">
      <c r="A70" s="516"/>
      <c r="B70" s="354">
        <f t="shared" si="3"/>
        <v>0</v>
      </c>
      <c r="C70" s="355"/>
      <c r="D70" s="558"/>
      <c r="E70" s="357"/>
      <c r="F70" s="358">
        <f t="shared" si="4"/>
        <v>0</v>
      </c>
      <c r="G70" s="359" t="b">
        <f t="shared" si="6"/>
        <v>0</v>
      </c>
    </row>
    <row r="71" spans="1:7">
      <c r="A71" s="516"/>
      <c r="B71" s="354">
        <f t="shared" si="3"/>
        <v>0</v>
      </c>
      <c r="C71" s="355"/>
      <c r="D71" s="558"/>
      <c r="E71" s="357"/>
      <c r="F71" s="358">
        <f t="shared" si="4"/>
        <v>0</v>
      </c>
      <c r="G71" s="359" t="b">
        <f t="shared" si="6"/>
        <v>0</v>
      </c>
    </row>
    <row r="72" spans="1:7">
      <c r="A72" s="516"/>
      <c r="B72" s="354">
        <f t="shared" si="3"/>
        <v>0</v>
      </c>
      <c r="C72" s="355"/>
      <c r="D72" s="558"/>
      <c r="E72" s="357"/>
      <c r="F72" s="358">
        <f t="shared" si="4"/>
        <v>0</v>
      </c>
      <c r="G72" s="359" t="b">
        <f t="shared" si="6"/>
        <v>0</v>
      </c>
    </row>
    <row r="73" spans="1:7">
      <c r="A73" s="516"/>
      <c r="B73" s="354">
        <f t="shared" si="3"/>
        <v>0</v>
      </c>
      <c r="C73" s="355"/>
      <c r="D73" s="558"/>
      <c r="E73" s="357"/>
      <c r="F73" s="358">
        <f t="shared" si="4"/>
        <v>0</v>
      </c>
      <c r="G73" s="359" t="b">
        <f t="shared" si="6"/>
        <v>0</v>
      </c>
    </row>
    <row r="74" spans="1:7">
      <c r="A74" s="516"/>
      <c r="B74" s="354">
        <f t="shared" si="3"/>
        <v>0</v>
      </c>
      <c r="C74" s="355"/>
      <c r="D74" s="558"/>
      <c r="E74" s="357"/>
      <c r="F74" s="358">
        <f t="shared" si="4"/>
        <v>0</v>
      </c>
      <c r="G74" s="359" t="b">
        <f t="shared" si="6"/>
        <v>0</v>
      </c>
    </row>
    <row r="75" spans="1:7">
      <c r="A75" s="516"/>
      <c r="B75" s="354">
        <f t="shared" si="3"/>
        <v>0</v>
      </c>
      <c r="C75" s="355"/>
      <c r="D75" s="558"/>
      <c r="E75" s="357"/>
      <c r="F75" s="358">
        <f t="shared" si="4"/>
        <v>0</v>
      </c>
      <c r="G75" s="359" t="b">
        <f t="shared" si="6"/>
        <v>0</v>
      </c>
    </row>
    <row r="76" spans="1:7">
      <c r="A76" s="516"/>
      <c r="B76" s="354">
        <f t="shared" si="3"/>
        <v>0</v>
      </c>
      <c r="C76" s="355"/>
      <c r="D76" s="558"/>
      <c r="E76" s="357"/>
      <c r="F76" s="358">
        <f t="shared" si="4"/>
        <v>0</v>
      </c>
      <c r="G76" s="359" t="b">
        <f t="shared" si="6"/>
        <v>0</v>
      </c>
    </row>
    <row r="77" spans="1:7">
      <c r="A77" s="516"/>
      <c r="B77" s="354">
        <f t="shared" si="3"/>
        <v>0</v>
      </c>
      <c r="C77" s="355"/>
      <c r="D77" s="558"/>
      <c r="E77" s="357"/>
      <c r="F77" s="358">
        <f t="shared" si="4"/>
        <v>0</v>
      </c>
      <c r="G77" s="359" t="b">
        <f t="shared" si="6"/>
        <v>0</v>
      </c>
    </row>
    <row r="78" spans="1:7">
      <c r="A78" s="516"/>
      <c r="B78" s="354">
        <f t="shared" si="3"/>
        <v>0</v>
      </c>
      <c r="C78" s="355"/>
      <c r="D78" s="558"/>
      <c r="E78" s="357"/>
      <c r="F78" s="358">
        <f t="shared" si="4"/>
        <v>0</v>
      </c>
      <c r="G78" s="359"/>
    </row>
    <row r="79" spans="1:7">
      <c r="A79" s="516"/>
      <c r="B79" s="354">
        <f t="shared" si="3"/>
        <v>0</v>
      </c>
      <c r="C79" s="355"/>
      <c r="D79" s="558"/>
      <c r="E79" s="357"/>
      <c r="F79" s="358">
        <f t="shared" si="4"/>
        <v>0</v>
      </c>
      <c r="G79" s="359"/>
    </row>
    <row r="80" spans="1:7">
      <c r="A80" s="516"/>
      <c r="B80" s="354">
        <f t="shared" si="3"/>
        <v>0</v>
      </c>
      <c r="C80" s="355"/>
      <c r="D80" s="558"/>
      <c r="E80" s="357"/>
      <c r="F80" s="358">
        <f t="shared" si="4"/>
        <v>0</v>
      </c>
      <c r="G80" s="359"/>
    </row>
    <row r="81" spans="1:7">
      <c r="A81" s="516"/>
      <c r="B81" s="354">
        <f t="shared" si="3"/>
        <v>0</v>
      </c>
      <c r="C81" s="355"/>
      <c r="D81" s="558"/>
      <c r="E81" s="357"/>
      <c r="F81" s="358">
        <f t="shared" si="4"/>
        <v>0</v>
      </c>
      <c r="G81" s="359"/>
    </row>
  </sheetData>
  <mergeCells count="6">
    <mergeCell ref="B1:C1"/>
    <mergeCell ref="D1:E1"/>
    <mergeCell ref="F1:G1"/>
    <mergeCell ref="B43:C43"/>
    <mergeCell ref="D43:E43"/>
    <mergeCell ref="F43:G4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1"/>
  <sheetViews>
    <sheetView showGridLines="0" zoomScaleNormal="100" workbookViewId="0">
      <selection activeCell="R2" sqref="R2"/>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s="1" customFormat="1" ht="16.5" customHeight="1">
      <c r="B1" s="265"/>
      <c r="C1" s="265"/>
      <c r="D1" s="265"/>
      <c r="E1" s="265"/>
      <c r="F1" s="265"/>
      <c r="G1" s="265"/>
      <c r="H1" s="265"/>
      <c r="I1" s="265"/>
      <c r="J1" s="265"/>
      <c r="K1" s="265"/>
      <c r="L1" s="265"/>
      <c r="M1" s="265"/>
      <c r="N1" s="265"/>
      <c r="O1" s="265"/>
      <c r="P1" s="265"/>
    </row>
    <row r="2" spans="2:22" s="1" customFormat="1" ht="31.5" customHeight="1">
      <c r="B2" s="266" t="s">
        <v>1771</v>
      </c>
      <c r="C2" s="265"/>
      <c r="D2" s="265"/>
      <c r="E2" s="265"/>
      <c r="F2" s="265"/>
      <c r="G2" s="265"/>
      <c r="H2" s="265"/>
      <c r="I2" s="265"/>
      <c r="J2" s="265"/>
      <c r="K2" s="265"/>
      <c r="L2" s="265"/>
      <c r="M2" s="265"/>
      <c r="N2" s="265"/>
      <c r="O2" s="265" t="s">
        <v>172</v>
      </c>
      <c r="P2" s="265"/>
    </row>
    <row r="3" spans="2:22" s="1" customFormat="1" ht="16.5" customHeight="1">
      <c r="B3" s="265"/>
      <c r="C3" s="265"/>
      <c r="D3" s="265"/>
      <c r="E3" s="265"/>
      <c r="F3" s="265"/>
      <c r="G3" s="265"/>
      <c r="H3" s="265"/>
      <c r="I3" s="265"/>
      <c r="J3" s="265"/>
      <c r="K3" s="265"/>
      <c r="L3" s="265"/>
      <c r="M3" s="265"/>
      <c r="N3" s="265"/>
      <c r="O3" s="265"/>
      <c r="P3" s="265"/>
    </row>
    <row r="12" spans="2:22" s="1" customFormat="1" ht="16.5" customHeight="1">
      <c r="V12" s="1" t="s">
        <v>32</v>
      </c>
    </row>
    <row r="18" spans="2:16" s="1" customFormat="1"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s="1" customFormat="1" ht="16.5" customHeight="1">
      <c r="B19" s="101" t="s">
        <v>17</v>
      </c>
      <c r="C19" s="8"/>
      <c r="D19" s="8"/>
      <c r="E19" s="8"/>
      <c r="F19" s="8"/>
      <c r="G19" s="8"/>
      <c r="H19" s="8"/>
      <c r="I19" s="8"/>
      <c r="J19" s="8">
        <v>472.97</v>
      </c>
      <c r="K19" s="8"/>
      <c r="L19" s="8"/>
      <c r="M19" s="30"/>
      <c r="N19" s="8"/>
      <c r="O19" s="4">
        <f t="shared" ref="O19:O38" si="0">SUM(C19:N19)</f>
        <v>472.97</v>
      </c>
      <c r="P19" s="102"/>
    </row>
    <row r="20" spans="2:16" s="1" customFormat="1" ht="16.5" customHeight="1">
      <c r="B20" s="101" t="s">
        <v>16</v>
      </c>
      <c r="C20" s="8"/>
      <c r="D20" s="8"/>
      <c r="E20" s="8"/>
      <c r="F20" s="8"/>
      <c r="G20" s="8"/>
      <c r="H20" s="8"/>
      <c r="I20" s="8">
        <v>264.8</v>
      </c>
      <c r="J20" s="8"/>
      <c r="K20" s="8"/>
      <c r="L20" s="8"/>
      <c r="M20" s="30"/>
      <c r="N20" s="8"/>
      <c r="O20" s="4">
        <f t="shared" si="0"/>
        <v>264.8</v>
      </c>
      <c r="P20" s="102"/>
    </row>
    <row r="21" spans="2:16" s="1" customFormat="1" ht="16.5" customHeight="1">
      <c r="B21" s="101" t="s">
        <v>15</v>
      </c>
      <c r="C21" s="8"/>
      <c r="D21" s="8"/>
      <c r="E21" s="8"/>
      <c r="F21" s="8"/>
      <c r="G21" s="8"/>
      <c r="H21" s="8"/>
      <c r="I21" s="8"/>
      <c r="J21" s="8"/>
      <c r="K21" s="8"/>
      <c r="L21" s="8"/>
      <c r="M21" s="30"/>
      <c r="N21" s="8"/>
      <c r="O21" s="4">
        <f t="shared" si="0"/>
        <v>0</v>
      </c>
      <c r="P21" s="102"/>
    </row>
    <row r="22" spans="2:16" s="1" customFormat="1" ht="16.5" customHeight="1">
      <c r="B22" s="101" t="s">
        <v>14</v>
      </c>
      <c r="C22" s="8"/>
      <c r="D22" s="8"/>
      <c r="E22" s="8"/>
      <c r="F22" s="8"/>
      <c r="G22" s="8"/>
      <c r="H22" s="8"/>
      <c r="I22" s="8"/>
      <c r="J22" s="8"/>
      <c r="K22" s="8"/>
      <c r="L22" s="8"/>
      <c r="M22" s="30"/>
      <c r="N22" s="8"/>
      <c r="O22" s="4">
        <f t="shared" si="0"/>
        <v>0</v>
      </c>
      <c r="P22" s="102"/>
    </row>
    <row r="23" spans="2:16" s="1" customFormat="1" ht="16.5" customHeight="1">
      <c r="B23" s="101" t="s">
        <v>13</v>
      </c>
      <c r="C23" s="8"/>
      <c r="D23" s="8"/>
      <c r="E23" s="8"/>
      <c r="F23" s="8"/>
      <c r="G23" s="8"/>
      <c r="H23" s="8"/>
      <c r="I23" s="8"/>
      <c r="J23" s="8"/>
      <c r="K23" s="8"/>
      <c r="L23" s="8"/>
      <c r="M23" s="30"/>
      <c r="N23" s="8"/>
      <c r="O23" s="4">
        <f t="shared" si="0"/>
        <v>0</v>
      </c>
      <c r="P23" s="102"/>
    </row>
    <row r="24" spans="2:16" s="1" customFormat="1" ht="16.5" customHeight="1">
      <c r="B24" s="103" t="s">
        <v>12</v>
      </c>
      <c r="C24" s="17"/>
      <c r="D24" s="17"/>
      <c r="E24" s="17"/>
      <c r="F24" s="17"/>
      <c r="G24" s="17"/>
      <c r="H24" s="17"/>
      <c r="I24" s="17"/>
      <c r="J24" s="17"/>
      <c r="K24" s="17"/>
      <c r="L24" s="17"/>
      <c r="M24" s="35"/>
      <c r="N24" s="17"/>
      <c r="O24" s="4">
        <f t="shared" si="0"/>
        <v>0</v>
      </c>
      <c r="P24" s="102"/>
    </row>
    <row r="25" spans="2:16" s="1" customFormat="1" ht="16.5" customHeight="1">
      <c r="B25" s="103" t="s">
        <v>11</v>
      </c>
      <c r="C25" s="17"/>
      <c r="D25" s="17"/>
      <c r="E25" s="17"/>
      <c r="F25" s="17"/>
      <c r="G25" s="17"/>
      <c r="H25" s="17"/>
      <c r="I25" s="17"/>
      <c r="J25" s="17"/>
      <c r="K25" s="17"/>
      <c r="L25" s="17"/>
      <c r="M25" s="35"/>
      <c r="N25" s="17"/>
      <c r="O25" s="4">
        <f t="shared" si="0"/>
        <v>0</v>
      </c>
      <c r="P25" s="102"/>
    </row>
    <row r="26" spans="2:16" s="1" customFormat="1" ht="16.5" customHeight="1">
      <c r="B26" s="103" t="s">
        <v>10</v>
      </c>
      <c r="C26" s="17"/>
      <c r="D26" s="17"/>
      <c r="E26" s="17"/>
      <c r="F26" s="17"/>
      <c r="G26" s="17"/>
      <c r="H26" s="17"/>
      <c r="I26" s="17"/>
      <c r="J26" s="17"/>
      <c r="K26" s="17"/>
      <c r="L26" s="17"/>
      <c r="M26" s="35"/>
      <c r="N26" s="17"/>
      <c r="O26" s="4">
        <f t="shared" si="0"/>
        <v>0</v>
      </c>
      <c r="P26" s="102"/>
    </row>
    <row r="27" spans="2:16" s="1" customFormat="1" ht="16.5" customHeight="1">
      <c r="B27" s="103" t="s">
        <v>9</v>
      </c>
      <c r="C27" s="17"/>
      <c r="D27" s="17"/>
      <c r="E27" s="17"/>
      <c r="F27" s="17"/>
      <c r="G27" s="17"/>
      <c r="H27" s="17"/>
      <c r="I27" s="17"/>
      <c r="J27" s="17"/>
      <c r="K27" s="17"/>
      <c r="L27" s="17"/>
      <c r="M27" s="35"/>
      <c r="N27" s="17"/>
      <c r="O27" s="4">
        <f t="shared" si="0"/>
        <v>0</v>
      </c>
      <c r="P27" s="102"/>
    </row>
    <row r="28" spans="2:16" s="1" customFormat="1" ht="16.5" hidden="1" customHeight="1">
      <c r="B28" s="103"/>
      <c r="C28" s="15"/>
      <c r="D28" s="15"/>
      <c r="E28" s="15"/>
      <c r="F28" s="15"/>
      <c r="G28" s="15"/>
      <c r="H28" s="15"/>
      <c r="I28" s="15"/>
      <c r="J28" s="15"/>
      <c r="K28" s="15"/>
      <c r="L28" s="15"/>
      <c r="M28" s="16"/>
      <c r="N28" s="15"/>
      <c r="O28" s="15">
        <f t="shared" si="0"/>
        <v>0</v>
      </c>
      <c r="P28" s="102"/>
    </row>
    <row r="29" spans="2:16" s="1" customFormat="1" ht="16.5" hidden="1" customHeight="1">
      <c r="B29" s="103"/>
      <c r="C29" s="15"/>
      <c r="D29" s="15"/>
      <c r="E29" s="15"/>
      <c r="F29" s="15"/>
      <c r="G29" s="15"/>
      <c r="H29" s="15"/>
      <c r="I29" s="15"/>
      <c r="J29" s="15"/>
      <c r="K29" s="15"/>
      <c r="L29" s="15"/>
      <c r="M29" s="16"/>
      <c r="N29" s="15"/>
      <c r="O29" s="15">
        <f t="shared" si="0"/>
        <v>0</v>
      </c>
      <c r="P29" s="102"/>
    </row>
    <row r="30" spans="2:16" s="1" customFormat="1" ht="16.5" hidden="1" customHeight="1">
      <c r="B30" s="103"/>
      <c r="C30" s="15"/>
      <c r="D30" s="15"/>
      <c r="E30" s="15"/>
      <c r="F30" s="15"/>
      <c r="G30" s="15"/>
      <c r="H30" s="15"/>
      <c r="I30" s="15"/>
      <c r="J30" s="15"/>
      <c r="K30" s="15"/>
      <c r="L30" s="15"/>
      <c r="M30" s="16"/>
      <c r="N30" s="15"/>
      <c r="O30" s="15">
        <f t="shared" si="0"/>
        <v>0</v>
      </c>
      <c r="P30" s="102"/>
    </row>
    <row r="31" spans="2:16" s="1" customFormat="1" ht="16.5" hidden="1" customHeight="1">
      <c r="B31" s="103"/>
      <c r="C31" s="15"/>
      <c r="D31" s="15"/>
      <c r="E31" s="15"/>
      <c r="F31" s="15"/>
      <c r="G31" s="15"/>
      <c r="H31" s="15"/>
      <c r="I31" s="15"/>
      <c r="J31" s="15"/>
      <c r="K31" s="15"/>
      <c r="L31" s="15"/>
      <c r="M31" s="16"/>
      <c r="N31" s="15"/>
      <c r="O31" s="15">
        <f t="shared" si="0"/>
        <v>0</v>
      </c>
      <c r="P31" s="102"/>
    </row>
    <row r="32" spans="2:16" s="1" customFormat="1" ht="16.5" customHeight="1">
      <c r="B32" s="103" t="s">
        <v>8</v>
      </c>
      <c r="C32" s="4"/>
      <c r="D32" s="4"/>
      <c r="E32" s="4"/>
      <c r="F32" s="4"/>
      <c r="G32" s="34"/>
      <c r="H32" s="4"/>
      <c r="I32" s="4"/>
      <c r="J32" s="4"/>
      <c r="K32" s="4"/>
      <c r="L32" s="4"/>
      <c r="M32" s="33"/>
      <c r="N32" s="4"/>
      <c r="O32" s="4">
        <f t="shared" si="0"/>
        <v>0</v>
      </c>
      <c r="P32" s="102"/>
    </row>
    <row r="33" spans="2:18" s="1" customFormat="1" ht="16.5" customHeight="1">
      <c r="B33" s="103" t="s">
        <v>7</v>
      </c>
      <c r="C33" s="12"/>
      <c r="D33" s="12"/>
      <c r="E33" s="12"/>
      <c r="F33" s="12"/>
      <c r="G33" s="12"/>
      <c r="H33" s="12"/>
      <c r="I33" s="12"/>
      <c r="J33" s="12"/>
      <c r="K33" s="12"/>
      <c r="L33" s="12"/>
      <c r="M33" s="32"/>
      <c r="N33" s="12"/>
      <c r="O33" s="4">
        <f t="shared" si="0"/>
        <v>0</v>
      </c>
      <c r="P33" s="102"/>
    </row>
    <row r="34" spans="2:18" s="1" customFormat="1" ht="16.5" customHeight="1">
      <c r="B34" s="103" t="s">
        <v>6</v>
      </c>
      <c r="C34" s="10"/>
      <c r="D34" s="10"/>
      <c r="E34" s="10"/>
      <c r="F34" s="10"/>
      <c r="G34" s="10"/>
      <c r="H34" s="10"/>
      <c r="I34" s="10"/>
      <c r="J34" s="10"/>
      <c r="K34" s="10"/>
      <c r="L34" s="10"/>
      <c r="M34" s="31"/>
      <c r="N34" s="10"/>
      <c r="O34" s="4">
        <f t="shared" si="0"/>
        <v>0</v>
      </c>
      <c r="P34" s="102"/>
    </row>
    <row r="35" spans="2:18" s="1" customFormat="1" ht="16.5" customHeight="1">
      <c r="B35" s="103" t="s">
        <v>5</v>
      </c>
      <c r="C35" s="8"/>
      <c r="D35" s="8"/>
      <c r="E35" s="8"/>
      <c r="F35" s="8"/>
      <c r="G35" s="8"/>
      <c r="H35" s="8"/>
      <c r="I35" s="8"/>
      <c r="J35" s="8">
        <v>7.83</v>
      </c>
      <c r="K35" s="8"/>
      <c r="L35" s="8"/>
      <c r="M35" s="30"/>
      <c r="N35" s="8"/>
      <c r="O35" s="4">
        <f t="shared" si="0"/>
        <v>7.83</v>
      </c>
      <c r="P35" s="102"/>
    </row>
    <row r="36" spans="2:18" s="1" customFormat="1" ht="16.5" customHeight="1">
      <c r="B36" s="103" t="s">
        <v>171</v>
      </c>
      <c r="C36" s="8"/>
      <c r="D36" s="8"/>
      <c r="E36" s="8"/>
      <c r="F36" s="8"/>
      <c r="G36" s="8"/>
      <c r="H36" s="8"/>
      <c r="I36" s="8"/>
      <c r="J36" s="8"/>
      <c r="K36" s="8">
        <v>12</v>
      </c>
      <c r="L36" s="8"/>
      <c r="M36" s="30"/>
      <c r="N36" s="8"/>
      <c r="O36" s="4">
        <f t="shared" si="0"/>
        <v>12</v>
      </c>
      <c r="P36" s="102"/>
    </row>
    <row r="37" spans="2:18" s="1" customFormat="1" ht="16.5" customHeight="1">
      <c r="B37" s="103" t="s">
        <v>3</v>
      </c>
      <c r="C37" s="8"/>
      <c r="D37" s="8"/>
      <c r="E37" s="8"/>
      <c r="F37" s="8"/>
      <c r="G37" s="8"/>
      <c r="H37" s="8"/>
      <c r="I37" s="8">
        <v>21.9</v>
      </c>
      <c r="J37" s="8">
        <v>94.81</v>
      </c>
      <c r="K37" s="8"/>
      <c r="L37" s="8"/>
      <c r="M37" s="30"/>
      <c r="N37" s="8"/>
      <c r="O37" s="4">
        <f t="shared" si="0"/>
        <v>116.71000000000001</v>
      </c>
      <c r="P37" s="102"/>
    </row>
    <row r="38" spans="2:18" s="1" customFormat="1" ht="16.5" customHeight="1">
      <c r="B38" s="103" t="s">
        <v>2</v>
      </c>
      <c r="C38" s="5"/>
      <c r="D38" s="5"/>
      <c r="E38" s="5"/>
      <c r="F38" s="5"/>
      <c r="G38" s="5"/>
      <c r="H38" s="5"/>
      <c r="I38" s="5">
        <v>30</v>
      </c>
      <c r="J38" s="5">
        <v>80</v>
      </c>
      <c r="K38" s="5"/>
      <c r="L38" s="5"/>
      <c r="M38" s="29"/>
      <c r="N38" s="5"/>
      <c r="O38" s="4">
        <f t="shared" si="0"/>
        <v>110</v>
      </c>
      <c r="P38" s="102"/>
    </row>
    <row r="39" spans="2:18" s="1" customFormat="1" ht="16.5" customHeight="1">
      <c r="B39" s="101" t="s">
        <v>1</v>
      </c>
      <c r="C39" s="104">
        <f>SUBTOTAL(109,ExpenseSummary22[Jan])</f>
        <v>0</v>
      </c>
      <c r="D39" s="105">
        <f>SUBTOTAL(109,ExpenseSummary22[Feb])</f>
        <v>0</v>
      </c>
      <c r="E39" s="104">
        <f>SUBTOTAL(109,ExpenseSummary22[Mar])</f>
        <v>0</v>
      </c>
      <c r="F39" s="105">
        <f>SUBTOTAL(109,ExpenseSummary22[Apr])</f>
        <v>0</v>
      </c>
      <c r="G39" s="104">
        <f>SUBTOTAL(109,ExpenseSummary22[May])</f>
        <v>0</v>
      </c>
      <c r="H39" s="105">
        <f>SUBTOTAL(109,ExpenseSummary22[Jun])</f>
        <v>0</v>
      </c>
      <c r="I39" s="104">
        <f>SUBTOTAL(109,ExpenseSummary22[Jul])</f>
        <v>316.7</v>
      </c>
      <c r="J39" s="105">
        <f>SUBTOTAL(109,ExpenseSummary22[Aug])</f>
        <v>655.61</v>
      </c>
      <c r="K39" s="104">
        <f>SUBTOTAL(109,ExpenseSummary22[Sep])</f>
        <v>12</v>
      </c>
      <c r="L39" s="105">
        <f>SUBTOTAL(109,ExpenseSummary22[Oct])</f>
        <v>0</v>
      </c>
      <c r="M39" s="267">
        <f>SUBTOTAL(109,ExpenseSummary22[Nov])</f>
        <v>0</v>
      </c>
      <c r="N39" s="105">
        <f>SUBTOTAL(109,ExpenseSummary22[Dec])</f>
        <v>0</v>
      </c>
      <c r="O39" s="106">
        <f>SUBTOTAL(109,ExpenseSummary22[Total])</f>
        <v>984.31000000000006</v>
      </c>
      <c r="P39" s="102"/>
    </row>
    <row r="40" spans="2:18" s="1" customFormat="1" ht="16.5" customHeight="1">
      <c r="B40" s="28"/>
      <c r="C40" s="28"/>
    </row>
    <row r="41" spans="2:18" s="1" customFormat="1" ht="16.5" customHeight="1">
      <c r="B41" s="268"/>
      <c r="C41" s="268"/>
      <c r="D41" s="269"/>
      <c r="E41" s="270" t="s">
        <v>118</v>
      </c>
      <c r="F41" s="270"/>
      <c r="G41" s="270"/>
      <c r="H41" s="270"/>
      <c r="I41" s="270"/>
      <c r="J41" s="270"/>
      <c r="K41" s="270"/>
      <c r="L41" s="270"/>
      <c r="M41" s="270"/>
      <c r="N41" s="270"/>
      <c r="O41" s="270"/>
      <c r="P41" s="270"/>
      <c r="Q41" s="270"/>
      <c r="R41" s="270"/>
    </row>
    <row r="42" spans="2:18" s="1" customFormat="1" ht="16.5" customHeight="1">
      <c r="B42" s="271" t="s">
        <v>117</v>
      </c>
      <c r="C42" s="272" t="s">
        <v>173</v>
      </c>
      <c r="D42" s="269"/>
      <c r="E42" s="273" t="s">
        <v>1772</v>
      </c>
      <c r="F42" s="273"/>
      <c r="G42" s="273"/>
      <c r="H42" s="273"/>
      <c r="I42" s="273"/>
      <c r="J42" s="273"/>
      <c r="K42" s="273"/>
      <c r="L42" s="273"/>
      <c r="M42" s="273"/>
      <c r="N42" s="273"/>
      <c r="O42" s="273"/>
      <c r="P42" s="273"/>
      <c r="Q42" s="273"/>
      <c r="R42" s="273"/>
    </row>
    <row r="43" spans="2:18" s="1" customFormat="1" ht="16.5" customHeight="1">
      <c r="B43" s="274" t="s">
        <v>115</v>
      </c>
      <c r="C43" s="275" t="s">
        <v>114</v>
      </c>
      <c r="D43" s="269"/>
      <c r="E43" s="270" t="s">
        <v>113</v>
      </c>
      <c r="F43" s="270"/>
      <c r="G43" s="270"/>
      <c r="H43" s="270"/>
      <c r="I43" s="270"/>
      <c r="J43" s="270"/>
      <c r="K43" s="270"/>
      <c r="L43" s="270"/>
      <c r="M43" s="270"/>
      <c r="N43" s="270"/>
      <c r="O43" s="270"/>
      <c r="P43" s="270"/>
      <c r="Q43" s="270"/>
      <c r="R43" s="270"/>
    </row>
    <row r="44" spans="2:18" s="1" customFormat="1" ht="16.5" customHeight="1" thickBot="1">
      <c r="B44" s="274" t="s">
        <v>112</v>
      </c>
      <c r="C44" s="276">
        <v>67175</v>
      </c>
      <c r="D44" s="268"/>
      <c r="E44" s="273" t="s">
        <v>174</v>
      </c>
      <c r="F44" s="273"/>
      <c r="G44" s="273"/>
      <c r="H44" s="273"/>
      <c r="I44" s="273"/>
      <c r="J44" s="273"/>
      <c r="K44" s="273"/>
      <c r="L44" s="273"/>
      <c r="M44" s="273"/>
      <c r="N44" s="273"/>
      <c r="O44" s="273"/>
      <c r="P44" s="273"/>
      <c r="Q44" s="273"/>
      <c r="R44" s="273"/>
    </row>
    <row r="45" spans="2:18" s="1" customFormat="1" ht="16.5" customHeight="1">
      <c r="B45" s="274" t="s">
        <v>110</v>
      </c>
      <c r="C45" s="277"/>
      <c r="D45" s="260"/>
      <c r="E45" s="278" t="s">
        <v>109</v>
      </c>
      <c r="F45" s="279" t="s">
        <v>108</v>
      </c>
      <c r="G45" s="280"/>
      <c r="H45" s="279" t="s">
        <v>107</v>
      </c>
      <c r="I45" s="280"/>
      <c r="J45" s="279" t="s">
        <v>106</v>
      </c>
      <c r="K45" s="280"/>
      <c r="L45" s="279" t="s">
        <v>105</v>
      </c>
      <c r="M45" s="280"/>
      <c r="N45" s="279" t="s">
        <v>96</v>
      </c>
      <c r="O45" s="280"/>
      <c r="P45" s="279" t="s">
        <v>104</v>
      </c>
      <c r="Q45" s="280"/>
      <c r="R45" s="281" t="s">
        <v>103</v>
      </c>
    </row>
    <row r="46" spans="2:18" s="1" customFormat="1" ht="16.5" customHeight="1">
      <c r="B46" s="282" t="s">
        <v>102</v>
      </c>
      <c r="C46" s="283">
        <v>283</v>
      </c>
      <c r="D46" s="262"/>
      <c r="E46" s="284"/>
      <c r="F46" s="285" t="s">
        <v>101</v>
      </c>
      <c r="G46" s="286" t="s">
        <v>100</v>
      </c>
      <c r="H46" s="285" t="s">
        <v>101</v>
      </c>
      <c r="I46" s="286" t="s">
        <v>100</v>
      </c>
      <c r="J46" s="285" t="s">
        <v>101</v>
      </c>
      <c r="K46" s="286" t="s">
        <v>100</v>
      </c>
      <c r="L46" s="285" t="s">
        <v>101</v>
      </c>
      <c r="M46" s="286" t="s">
        <v>100</v>
      </c>
      <c r="N46" s="285" t="s">
        <v>101</v>
      </c>
      <c r="O46" s="286" t="s">
        <v>100</v>
      </c>
      <c r="P46" s="287" t="s">
        <v>101</v>
      </c>
      <c r="Q46" s="286" t="s">
        <v>100</v>
      </c>
      <c r="R46" s="284"/>
    </row>
    <row r="47" spans="2:18" s="1" customFormat="1" ht="16.5" customHeight="1">
      <c r="B47" s="274" t="s">
        <v>99</v>
      </c>
      <c r="C47" s="288">
        <v>6867</v>
      </c>
      <c r="D47" s="260"/>
      <c r="E47" s="289" t="s">
        <v>87</v>
      </c>
      <c r="F47" s="290">
        <v>7</v>
      </c>
      <c r="G47" s="291">
        <f>SUM($B$6*F47)*C59</f>
        <v>0</v>
      </c>
      <c r="H47" s="292">
        <v>0</v>
      </c>
      <c r="I47" s="291">
        <f>IF(H47&gt;0,($B$7*C59),0)</f>
        <v>0</v>
      </c>
      <c r="J47" s="293">
        <v>0</v>
      </c>
      <c r="K47" s="291">
        <f>IF(J47&gt;0,($B$8*C59),0)</f>
        <v>0</v>
      </c>
      <c r="L47" s="292">
        <v>2</v>
      </c>
      <c r="M47" s="291">
        <f>IF(L47&gt;0,($B$9*L47),0)</f>
        <v>0</v>
      </c>
      <c r="N47" s="294">
        <v>1</v>
      </c>
      <c r="O47" s="291">
        <f>IF(N47&gt;0,($B$10*N47),0)</f>
        <v>0</v>
      </c>
      <c r="P47" s="295">
        <v>2</v>
      </c>
      <c r="Q47" s="291">
        <f>SUM(P47*$B$17)*C59</f>
        <v>0</v>
      </c>
      <c r="R47" s="296">
        <f t="shared" ref="R47:R58" si="1">SUM(Q47+O47+M47+K47+I47+G47)</f>
        <v>0</v>
      </c>
    </row>
    <row r="48" spans="2:18" s="1" customFormat="1" ht="16.5" customHeight="1">
      <c r="B48" s="274" t="s">
        <v>98</v>
      </c>
      <c r="C48" s="288">
        <v>5460</v>
      </c>
      <c r="D48" s="260"/>
      <c r="E48" s="289" t="s">
        <v>86</v>
      </c>
      <c r="F48" s="290">
        <v>7</v>
      </c>
      <c r="G48" s="291">
        <f>SUM($B$6*F48)*C60</f>
        <v>0</v>
      </c>
      <c r="H48" s="292"/>
      <c r="I48" s="291">
        <f>IF(H48&gt;0,($B$7*C60),0)</f>
        <v>0</v>
      </c>
      <c r="J48" s="293"/>
      <c r="K48" s="291">
        <f>IF(J48&gt;0,($B$8*C60),0)</f>
        <v>0</v>
      </c>
      <c r="L48" s="292">
        <v>2</v>
      </c>
      <c r="M48" s="291">
        <f>IF(L48&gt;0,($B$9*L48),0)</f>
        <v>0</v>
      </c>
      <c r="N48" s="294">
        <v>1</v>
      </c>
      <c r="O48" s="291">
        <f>IF(N48&gt;0,($B$10*N48),0)</f>
        <v>0</v>
      </c>
      <c r="P48" s="295">
        <v>2</v>
      </c>
      <c r="Q48" s="291">
        <f>SUM(P48*$B$17)*C60</f>
        <v>0</v>
      </c>
      <c r="R48" s="296">
        <f t="shared" si="1"/>
        <v>0</v>
      </c>
    </row>
    <row r="49" spans="2:18" s="1" customFormat="1" ht="16.5" customHeight="1">
      <c r="B49" s="274" t="s">
        <v>97</v>
      </c>
      <c r="C49" s="288">
        <v>324</v>
      </c>
      <c r="D49" s="260"/>
      <c r="E49" s="289" t="s">
        <v>84</v>
      </c>
      <c r="F49" s="290">
        <v>7</v>
      </c>
      <c r="G49" s="291">
        <f>SUM($B$6*F49)*C61</f>
        <v>0</v>
      </c>
      <c r="H49" s="292"/>
      <c r="I49" s="291">
        <f>IF(H49&gt;0,($B$7*C61),0)</f>
        <v>0</v>
      </c>
      <c r="J49" s="293"/>
      <c r="K49" s="291">
        <f>IF(J49&gt;0,($B$8*C61),0)</f>
        <v>0</v>
      </c>
      <c r="L49" s="292">
        <v>2</v>
      </c>
      <c r="M49" s="291">
        <f>IF(L49&gt;0,($B$9*L49),0)</f>
        <v>0</v>
      </c>
      <c r="N49" s="294">
        <v>1</v>
      </c>
      <c r="O49" s="291">
        <f>IF(N49&gt;0,($B$10*N49),0)</f>
        <v>0</v>
      </c>
      <c r="P49" s="295">
        <v>2</v>
      </c>
      <c r="Q49" s="291">
        <f>SUM(P49*$B$17)*C61</f>
        <v>0</v>
      </c>
      <c r="R49" s="296">
        <f t="shared" si="1"/>
        <v>0</v>
      </c>
    </row>
    <row r="50" spans="2:18" s="1" customFormat="1" ht="16.5" customHeight="1">
      <c r="B50" s="274" t="s">
        <v>96</v>
      </c>
      <c r="C50" s="288">
        <v>1050</v>
      </c>
      <c r="D50" s="260"/>
      <c r="E50" s="289" t="s">
        <v>83</v>
      </c>
      <c r="F50" s="290">
        <v>7</v>
      </c>
      <c r="G50" s="291">
        <f>SUM($B$6*F50)*C62</f>
        <v>0</v>
      </c>
      <c r="H50" s="292"/>
      <c r="I50" s="291">
        <f>IF(H50&gt;0,($B$7*C62),0)</f>
        <v>0</v>
      </c>
      <c r="J50" s="293"/>
      <c r="K50" s="291">
        <f>IF(J50&gt;0,($B$8*C62),0)</f>
        <v>0</v>
      </c>
      <c r="L50" s="292">
        <v>2</v>
      </c>
      <c r="M50" s="291">
        <f>IF(L50&gt;0,($B$9*L50),0)</f>
        <v>0</v>
      </c>
      <c r="N50" s="294">
        <v>1</v>
      </c>
      <c r="O50" s="291">
        <f>IF(N50&gt;0,($B$10*N50),0)</f>
        <v>0</v>
      </c>
      <c r="P50" s="295">
        <v>2</v>
      </c>
      <c r="Q50" s="291">
        <f>SUM(P50*$B$17)*C62</f>
        <v>0</v>
      </c>
      <c r="R50" s="296">
        <f t="shared" si="1"/>
        <v>0</v>
      </c>
    </row>
    <row r="51" spans="2:18" s="1" customFormat="1" ht="16.5" customHeight="1">
      <c r="B51" s="274" t="s">
        <v>95</v>
      </c>
      <c r="C51" s="141">
        <v>16000</v>
      </c>
      <c r="D51" s="260"/>
      <c r="E51" s="289"/>
      <c r="F51" s="290"/>
      <c r="G51" s="291"/>
      <c r="H51" s="292"/>
      <c r="I51" s="291"/>
      <c r="J51" s="293"/>
      <c r="K51" s="291"/>
      <c r="L51" s="292"/>
      <c r="M51" s="291"/>
      <c r="N51" s="294"/>
      <c r="O51" s="291"/>
      <c r="P51" s="295"/>
      <c r="Q51" s="291"/>
      <c r="R51" s="296">
        <f t="shared" si="1"/>
        <v>0</v>
      </c>
    </row>
    <row r="52" spans="2:18" s="1" customFormat="1" ht="16.5" customHeight="1">
      <c r="B52" s="274" t="s">
        <v>94</v>
      </c>
      <c r="C52" s="141">
        <v>5000</v>
      </c>
      <c r="D52" s="260"/>
      <c r="E52" s="289"/>
      <c r="F52" s="290"/>
      <c r="G52" s="291"/>
      <c r="H52" s="292"/>
      <c r="I52" s="291"/>
      <c r="J52" s="293"/>
      <c r="K52" s="291"/>
      <c r="L52" s="292"/>
      <c r="M52" s="291"/>
      <c r="N52" s="294"/>
      <c r="O52" s="291"/>
      <c r="P52" s="295"/>
      <c r="Q52" s="291"/>
      <c r="R52" s="296">
        <f t="shared" si="1"/>
        <v>0</v>
      </c>
    </row>
    <row r="53" spans="2:18" s="1" customFormat="1" ht="16.5" customHeight="1">
      <c r="B53" s="274" t="s">
        <v>93</v>
      </c>
      <c r="C53" s="141">
        <v>175000</v>
      </c>
      <c r="D53" s="260"/>
      <c r="E53" s="289"/>
      <c r="F53" s="290"/>
      <c r="G53" s="291"/>
      <c r="H53" s="292"/>
      <c r="I53" s="291"/>
      <c r="J53" s="293"/>
      <c r="K53" s="291"/>
      <c r="L53" s="292"/>
      <c r="M53" s="291"/>
      <c r="N53" s="294"/>
      <c r="O53" s="291"/>
      <c r="P53" s="295"/>
      <c r="Q53" s="291"/>
      <c r="R53" s="296">
        <f t="shared" si="1"/>
        <v>0</v>
      </c>
    </row>
    <row r="54" spans="2:18" s="1" customFormat="1" ht="16.5" customHeight="1">
      <c r="B54" s="274" t="s">
        <v>92</v>
      </c>
      <c r="C54" s="141">
        <v>175000</v>
      </c>
      <c r="D54" s="260"/>
      <c r="E54" s="289"/>
      <c r="F54" s="290"/>
      <c r="G54" s="291"/>
      <c r="H54" s="292"/>
      <c r="I54" s="291"/>
      <c r="J54" s="293"/>
      <c r="K54" s="291"/>
      <c r="L54" s="292"/>
      <c r="M54" s="291"/>
      <c r="N54" s="294"/>
      <c r="O54" s="291"/>
      <c r="P54" s="295"/>
      <c r="Q54" s="291"/>
      <c r="R54" s="296">
        <f t="shared" si="1"/>
        <v>0</v>
      </c>
    </row>
    <row r="55" spans="2:18" s="1" customFormat="1" ht="16.5" customHeight="1">
      <c r="B55" s="274" t="s">
        <v>91</v>
      </c>
      <c r="C55" s="141">
        <v>12000</v>
      </c>
      <c r="D55" s="260"/>
      <c r="E55" s="289"/>
      <c r="F55" s="290"/>
      <c r="G55" s="291"/>
      <c r="H55" s="292"/>
      <c r="I55" s="291"/>
      <c r="J55" s="293"/>
      <c r="K55" s="291"/>
      <c r="L55" s="292"/>
      <c r="M55" s="291"/>
      <c r="N55" s="294"/>
      <c r="O55" s="291"/>
      <c r="P55" s="295"/>
      <c r="Q55" s="291"/>
      <c r="R55" s="296">
        <f t="shared" si="1"/>
        <v>0</v>
      </c>
    </row>
    <row r="56" spans="2:18" s="1" customFormat="1" ht="16.5" customHeight="1">
      <c r="B56" s="274" t="s">
        <v>90</v>
      </c>
      <c r="C56" s="141">
        <v>25000</v>
      </c>
      <c r="D56" s="260"/>
      <c r="E56" s="289"/>
      <c r="F56" s="290"/>
      <c r="G56" s="291"/>
      <c r="H56" s="292"/>
      <c r="I56" s="291"/>
      <c r="J56" s="293"/>
      <c r="K56" s="291"/>
      <c r="L56" s="292"/>
      <c r="M56" s="291"/>
      <c r="N56" s="294"/>
      <c r="O56" s="291"/>
      <c r="P56" s="295"/>
      <c r="Q56" s="291"/>
      <c r="R56" s="296">
        <f t="shared" si="1"/>
        <v>0</v>
      </c>
    </row>
    <row r="57" spans="2:18" s="1" customFormat="1" ht="16.5" customHeight="1">
      <c r="B57" s="297" t="s">
        <v>89</v>
      </c>
      <c r="C57" s="298">
        <v>92</v>
      </c>
      <c r="D57" s="260"/>
      <c r="E57" s="289"/>
      <c r="F57" s="290"/>
      <c r="G57" s="291"/>
      <c r="H57" s="292"/>
      <c r="I57" s="291"/>
      <c r="J57" s="293"/>
      <c r="K57" s="291"/>
      <c r="L57" s="292"/>
      <c r="M57" s="291"/>
      <c r="N57" s="294"/>
      <c r="O57" s="291"/>
      <c r="P57" s="295"/>
      <c r="Q57" s="291"/>
      <c r="R57" s="296">
        <f t="shared" si="1"/>
        <v>0</v>
      </c>
    </row>
    <row r="58" spans="2:18" s="1" customFormat="1" ht="16.5" customHeight="1">
      <c r="B58" s="299" t="s">
        <v>88</v>
      </c>
      <c r="C58" s="300"/>
      <c r="D58" s="260"/>
      <c r="E58" s="289"/>
      <c r="F58" s="290"/>
      <c r="G58" s="291"/>
      <c r="H58" s="292"/>
      <c r="I58" s="291"/>
      <c r="J58" s="293"/>
      <c r="K58" s="291"/>
      <c r="L58" s="292"/>
      <c r="M58" s="291"/>
      <c r="N58" s="294"/>
      <c r="O58" s="291"/>
      <c r="P58" s="295"/>
      <c r="Q58" s="291"/>
      <c r="R58" s="296">
        <f t="shared" si="1"/>
        <v>0</v>
      </c>
    </row>
    <row r="59" spans="2:18" s="1" customFormat="1" ht="16.5" customHeight="1">
      <c r="B59" s="301" t="s">
        <v>87</v>
      </c>
      <c r="C59" s="302">
        <v>1</v>
      </c>
      <c r="D59" s="260"/>
      <c r="E59" s="303"/>
      <c r="F59" s="304"/>
      <c r="G59" s="305"/>
      <c r="H59" s="306"/>
      <c r="I59" s="307"/>
      <c r="J59" s="308"/>
      <c r="K59" s="307"/>
      <c r="L59" s="306"/>
      <c r="M59" s="307"/>
      <c r="N59" s="304"/>
      <c r="O59" s="305"/>
      <c r="P59" s="306"/>
      <c r="Q59" s="307"/>
      <c r="R59" s="309"/>
    </row>
    <row r="60" spans="2:18" s="1" customFormat="1" ht="16.5" customHeight="1" thickBot="1">
      <c r="B60" s="301" t="s">
        <v>86</v>
      </c>
      <c r="C60" s="301">
        <f t="shared" ref="C60:C70" si="2">SUM(C59+(C59*$B$5))</f>
        <v>1</v>
      </c>
      <c r="D60" s="260"/>
      <c r="E60" s="310" t="s">
        <v>85</v>
      </c>
      <c r="F60" s="311"/>
      <c r="G60" s="312">
        <f>SUM(G47:G58)</f>
        <v>0</v>
      </c>
      <c r="H60" s="313"/>
      <c r="I60" s="312">
        <f>SUM(I47:I58)</f>
        <v>0</v>
      </c>
      <c r="J60" s="314"/>
      <c r="K60" s="312">
        <f>SUM(K47:K58)</f>
        <v>0</v>
      </c>
      <c r="L60" s="313"/>
      <c r="M60" s="312">
        <f>SUM(M47:M58)</f>
        <v>0</v>
      </c>
      <c r="N60" s="315"/>
      <c r="O60" s="312">
        <f>SUM(O47:O58)</f>
        <v>0</v>
      </c>
      <c r="P60" s="313"/>
      <c r="Q60" s="312">
        <f>SUM(Q47:Q58)</f>
        <v>0</v>
      </c>
      <c r="R60" s="316">
        <f>SUM(R47:R58)</f>
        <v>0</v>
      </c>
    </row>
    <row r="61" spans="2:18" s="1" customFormat="1" ht="16.5" customHeight="1" thickTop="1" thickBot="1">
      <c r="B61" s="301" t="s">
        <v>84</v>
      </c>
      <c r="C61" s="301">
        <f t="shared" si="2"/>
        <v>1</v>
      </c>
      <c r="D61" s="269"/>
      <c r="E61" s="317"/>
      <c r="F61" s="318"/>
      <c r="G61" s="319"/>
      <c r="H61" s="320"/>
      <c r="I61" s="319"/>
      <c r="J61" s="321"/>
      <c r="K61" s="319"/>
      <c r="L61" s="320"/>
      <c r="M61" s="319"/>
      <c r="N61" s="318"/>
      <c r="O61" s="322"/>
      <c r="P61" s="320"/>
      <c r="Q61" s="319"/>
      <c r="R61" s="323"/>
    </row>
    <row r="62" spans="2:18" s="1" customFormat="1" ht="16.5" customHeight="1">
      <c r="B62" s="301" t="s">
        <v>83</v>
      </c>
      <c r="C62" s="324">
        <f t="shared" si="2"/>
        <v>1</v>
      </c>
      <c r="D62" s="269"/>
      <c r="E62" s="269"/>
      <c r="F62" s="325"/>
      <c r="G62" s="269"/>
      <c r="H62" s="326"/>
      <c r="I62" s="269"/>
      <c r="J62" s="327"/>
      <c r="K62" s="269"/>
      <c r="L62" s="326"/>
      <c r="M62" s="269"/>
      <c r="N62" s="325"/>
      <c r="O62" s="269"/>
      <c r="P62" s="326"/>
      <c r="Q62" s="269"/>
      <c r="R62" s="269"/>
    </row>
    <row r="63" spans="2:18" s="1" customFormat="1" ht="16.5" customHeight="1">
      <c r="B63" s="301" t="s">
        <v>82</v>
      </c>
      <c r="C63" s="324">
        <f t="shared" si="2"/>
        <v>1</v>
      </c>
      <c r="D63" s="269"/>
      <c r="E63" s="269" t="s">
        <v>81</v>
      </c>
      <c r="F63" s="325"/>
      <c r="G63" s="269"/>
      <c r="H63" s="326"/>
      <c r="I63" s="269"/>
      <c r="J63" s="327"/>
      <c r="K63" s="269"/>
      <c r="L63" s="326"/>
      <c r="M63" s="269"/>
      <c r="N63" s="325"/>
      <c r="O63" s="269"/>
      <c r="P63" s="326"/>
      <c r="Q63" s="269"/>
      <c r="R63" s="269"/>
    </row>
    <row r="64" spans="2:18" s="1" customFormat="1" ht="16.5" customHeight="1">
      <c r="B64" s="301" t="s">
        <v>80</v>
      </c>
      <c r="C64" s="324">
        <f t="shared" si="2"/>
        <v>1</v>
      </c>
      <c r="D64" s="269"/>
      <c r="E64" s="269"/>
      <c r="F64" s="325"/>
      <c r="G64" s="269"/>
      <c r="H64" s="326"/>
      <c r="I64" s="269"/>
      <c r="J64" s="327"/>
      <c r="K64" s="269"/>
      <c r="L64" s="326"/>
      <c r="M64" s="269"/>
      <c r="N64" s="325"/>
      <c r="O64" s="269"/>
      <c r="P64" s="326"/>
      <c r="Q64" s="269"/>
      <c r="R64" s="269"/>
    </row>
    <row r="65" spans="2:18" s="1" customFormat="1" ht="16.5" customHeight="1">
      <c r="B65" s="301" t="s">
        <v>79</v>
      </c>
      <c r="C65" s="324">
        <f t="shared" si="2"/>
        <v>1</v>
      </c>
      <c r="D65" s="269"/>
      <c r="E65" s="269"/>
      <c r="F65" s="325"/>
      <c r="G65" s="328"/>
      <c r="H65" s="329"/>
      <c r="I65" s="269"/>
      <c r="J65" s="327"/>
      <c r="K65" s="269"/>
      <c r="L65" s="326"/>
      <c r="M65" s="269"/>
      <c r="N65" s="325"/>
      <c r="O65" s="269"/>
      <c r="P65" s="326"/>
      <c r="Q65" s="269"/>
      <c r="R65" s="269"/>
    </row>
    <row r="66" spans="2:18" s="1" customFormat="1" ht="16.5" customHeight="1">
      <c r="B66" s="301" t="s">
        <v>78</v>
      </c>
      <c r="C66" s="324">
        <f t="shared" si="2"/>
        <v>1</v>
      </c>
      <c r="D66" s="269"/>
      <c r="E66" s="269"/>
      <c r="F66" s="325"/>
      <c r="G66" s="269"/>
      <c r="H66" s="326"/>
      <c r="I66" s="269"/>
      <c r="J66" s="327"/>
      <c r="K66" s="269"/>
      <c r="L66" s="326"/>
      <c r="M66" s="269"/>
      <c r="N66" s="325"/>
      <c r="O66" s="269"/>
      <c r="P66" s="326"/>
      <c r="Q66" s="269"/>
      <c r="R66" s="269"/>
    </row>
    <row r="67" spans="2:18" s="1" customFormat="1" ht="16.5" customHeight="1">
      <c r="B67" s="301" t="s">
        <v>77</v>
      </c>
      <c r="C67" s="324">
        <f t="shared" si="2"/>
        <v>1</v>
      </c>
      <c r="D67" s="269"/>
      <c r="E67" s="269"/>
      <c r="F67" s="325"/>
      <c r="G67" s="269"/>
      <c r="H67" s="326"/>
      <c r="I67" s="269"/>
      <c r="J67" s="327"/>
      <c r="K67" s="269"/>
      <c r="L67" s="326"/>
      <c r="M67" s="269"/>
      <c r="N67" s="325"/>
      <c r="O67" s="269"/>
      <c r="P67" s="326"/>
      <c r="Q67" s="269"/>
      <c r="R67" s="269"/>
    </row>
    <row r="68" spans="2:18" s="1" customFormat="1" ht="16.5" customHeight="1">
      <c r="B68" s="301" t="s">
        <v>76</v>
      </c>
      <c r="C68" s="324">
        <f t="shared" si="2"/>
        <v>1</v>
      </c>
      <c r="D68" s="269"/>
      <c r="E68" s="269"/>
      <c r="F68" s="325"/>
      <c r="G68" s="269"/>
      <c r="H68" s="326"/>
      <c r="I68" s="269"/>
      <c r="J68" s="327"/>
      <c r="K68" s="269"/>
      <c r="L68" s="326"/>
      <c r="M68" s="269"/>
      <c r="N68" s="325"/>
      <c r="O68" s="269"/>
      <c r="P68" s="326"/>
      <c r="Q68" s="269"/>
      <c r="R68" s="269"/>
    </row>
    <row r="69" spans="2:18" s="1" customFormat="1" ht="16.5" customHeight="1">
      <c r="B69" s="301" t="s">
        <v>75</v>
      </c>
      <c r="C69" s="324">
        <f t="shared" si="2"/>
        <v>1</v>
      </c>
      <c r="D69" s="269"/>
      <c r="E69" s="269"/>
      <c r="F69" s="325"/>
      <c r="G69" s="269"/>
      <c r="H69" s="326"/>
      <c r="I69" s="269"/>
      <c r="J69" s="327"/>
      <c r="K69" s="269"/>
      <c r="L69" s="326"/>
      <c r="M69" s="269"/>
      <c r="N69" s="325"/>
      <c r="O69" s="269"/>
      <c r="P69" s="326"/>
      <c r="Q69" s="269"/>
      <c r="R69" s="269"/>
    </row>
    <row r="70" spans="2:18" s="1" customFormat="1" ht="16.5" customHeight="1">
      <c r="B70" s="301" t="s">
        <v>74</v>
      </c>
      <c r="C70" s="324">
        <f t="shared" si="2"/>
        <v>1</v>
      </c>
      <c r="D70" s="269"/>
      <c r="E70" s="269"/>
      <c r="F70" s="325"/>
      <c r="G70" s="269"/>
      <c r="H70" s="326"/>
      <c r="I70" s="269"/>
      <c r="J70" s="327"/>
      <c r="K70" s="269"/>
      <c r="L70" s="326"/>
      <c r="M70" s="269"/>
      <c r="N70" s="325"/>
      <c r="O70" s="269"/>
      <c r="P70" s="326"/>
      <c r="Q70" s="269"/>
      <c r="R70" s="269"/>
    </row>
    <row r="72" spans="2:18" s="1" customFormat="1" ht="16.5" customHeight="1">
      <c r="B72" s="268"/>
      <c r="C72" s="268"/>
      <c r="D72" s="269"/>
      <c r="E72" s="270" t="s">
        <v>118</v>
      </c>
      <c r="F72" s="270"/>
      <c r="G72" s="270"/>
      <c r="H72" s="270"/>
      <c r="I72" s="270"/>
      <c r="J72" s="270"/>
      <c r="K72" s="270"/>
      <c r="L72" s="270"/>
      <c r="M72" s="270"/>
      <c r="N72" s="270"/>
      <c r="O72" s="270"/>
      <c r="P72" s="270"/>
      <c r="Q72" s="270"/>
      <c r="R72" s="270"/>
    </row>
    <row r="73" spans="2:18" s="1" customFormat="1" ht="16.5" customHeight="1">
      <c r="B73" s="271" t="s">
        <v>117</v>
      </c>
      <c r="C73" s="272" t="s">
        <v>173</v>
      </c>
      <c r="D73" s="269"/>
      <c r="E73" s="273" t="s">
        <v>1773</v>
      </c>
      <c r="F73" s="273"/>
      <c r="G73" s="273"/>
      <c r="H73" s="273"/>
      <c r="I73" s="273"/>
      <c r="J73" s="273"/>
      <c r="K73" s="273"/>
      <c r="L73" s="273"/>
      <c r="M73" s="273"/>
      <c r="N73" s="273"/>
      <c r="O73" s="273"/>
      <c r="P73" s="273"/>
      <c r="Q73" s="273"/>
      <c r="R73" s="273"/>
    </row>
    <row r="74" spans="2:18" s="1" customFormat="1" ht="16.5" customHeight="1">
      <c r="B74" s="274" t="s">
        <v>115</v>
      </c>
      <c r="C74" s="275" t="s">
        <v>114</v>
      </c>
      <c r="D74" s="269"/>
      <c r="E74" s="270" t="s">
        <v>119</v>
      </c>
      <c r="F74" s="270"/>
      <c r="G74" s="270"/>
      <c r="H74" s="270"/>
      <c r="I74" s="270"/>
      <c r="J74" s="270"/>
      <c r="K74" s="270"/>
      <c r="L74" s="270"/>
      <c r="M74" s="270"/>
      <c r="N74" s="270"/>
      <c r="O74" s="270"/>
      <c r="P74" s="270"/>
      <c r="Q74" s="270"/>
      <c r="R74" s="270"/>
    </row>
    <row r="75" spans="2:18" s="1" customFormat="1" ht="16.5" customHeight="1" thickBot="1">
      <c r="B75" s="274" t="s">
        <v>112</v>
      </c>
      <c r="C75" s="276">
        <v>67175</v>
      </c>
      <c r="D75" s="268"/>
      <c r="E75" s="330"/>
      <c r="F75" s="330"/>
      <c r="G75" s="330"/>
      <c r="H75" s="330"/>
      <c r="I75" s="330"/>
      <c r="J75" s="330"/>
      <c r="K75" s="330"/>
      <c r="L75" s="330"/>
      <c r="M75" s="330"/>
      <c r="N75" s="330"/>
      <c r="O75" s="330"/>
      <c r="P75" s="330"/>
      <c r="Q75" s="330"/>
      <c r="R75" s="330"/>
    </row>
    <row r="76" spans="2:18" s="1" customFormat="1" ht="16.5" customHeight="1">
      <c r="B76" s="274" t="s">
        <v>110</v>
      </c>
      <c r="C76" s="277"/>
      <c r="D76" s="260"/>
      <c r="E76" s="278" t="s">
        <v>109</v>
      </c>
      <c r="F76" s="279" t="s">
        <v>108</v>
      </c>
      <c r="G76" s="280"/>
      <c r="H76" s="279" t="s">
        <v>107</v>
      </c>
      <c r="I76" s="280"/>
      <c r="J76" s="279" t="s">
        <v>106</v>
      </c>
      <c r="K76" s="280"/>
      <c r="L76" s="279" t="s">
        <v>105</v>
      </c>
      <c r="M76" s="280"/>
      <c r="N76" s="279" t="s">
        <v>96</v>
      </c>
      <c r="O76" s="280"/>
      <c r="P76" s="279" t="s">
        <v>104</v>
      </c>
      <c r="Q76" s="280"/>
      <c r="R76" s="281" t="s">
        <v>103</v>
      </c>
    </row>
    <row r="77" spans="2:18" s="1" customFormat="1" ht="16.5" customHeight="1">
      <c r="B77" s="274" t="s">
        <v>102</v>
      </c>
      <c r="C77" s="283">
        <v>283</v>
      </c>
      <c r="D77" s="260"/>
      <c r="E77" s="289"/>
      <c r="F77" s="285" t="s">
        <v>101</v>
      </c>
      <c r="G77" s="331" t="s">
        <v>100</v>
      </c>
      <c r="H77" s="285" t="s">
        <v>101</v>
      </c>
      <c r="I77" s="331" t="s">
        <v>100</v>
      </c>
      <c r="J77" s="285" t="s">
        <v>101</v>
      </c>
      <c r="K77" s="331" t="s">
        <v>100</v>
      </c>
      <c r="L77" s="285" t="s">
        <v>101</v>
      </c>
      <c r="M77" s="331" t="s">
        <v>100</v>
      </c>
      <c r="N77" s="285" t="s">
        <v>101</v>
      </c>
      <c r="O77" s="331" t="s">
        <v>100</v>
      </c>
      <c r="P77" s="287" t="s">
        <v>101</v>
      </c>
      <c r="Q77" s="331" t="s">
        <v>100</v>
      </c>
      <c r="R77" s="289"/>
    </row>
    <row r="78" spans="2:18" s="1" customFormat="1" ht="16.5" customHeight="1">
      <c r="B78" s="274" t="s">
        <v>107</v>
      </c>
      <c r="C78" s="288">
        <v>6867</v>
      </c>
      <c r="D78" s="260"/>
      <c r="E78" s="289" t="s">
        <v>87</v>
      </c>
      <c r="F78" s="290">
        <v>4</v>
      </c>
      <c r="G78" s="291">
        <f t="shared" ref="G78:G89" si="3">SUM($B$6*F78)*C90</f>
        <v>0</v>
      </c>
      <c r="H78" s="292"/>
      <c r="I78" s="291">
        <f t="shared" ref="I78:I89" si="4">IF(H78&gt;0,($B$7*C90),0)</f>
        <v>0</v>
      </c>
      <c r="J78" s="293"/>
      <c r="K78" s="291">
        <f t="shared" ref="K78:K89" si="5">IF(J78&gt;0,($B$8*C90),0)</f>
        <v>0</v>
      </c>
      <c r="L78" s="332">
        <v>1</v>
      </c>
      <c r="M78" s="291">
        <f t="shared" ref="M78:M89" si="6">IF(L78&gt;0,($B$9*L78),0)</f>
        <v>0</v>
      </c>
      <c r="N78" s="290"/>
      <c r="O78" s="291">
        <f t="shared" ref="O78:O89" si="7">IF(N78&gt;0,($B$10*N78),0)</f>
        <v>0</v>
      </c>
      <c r="P78" s="295"/>
      <c r="Q78" s="291">
        <f t="shared" ref="Q78:Q89" si="8">SUM(P78*$B$17)*C90</f>
        <v>0</v>
      </c>
      <c r="R78" s="296">
        <f t="shared" ref="R78:R89" si="9">SUM(Q78+O78+M78+K78+I78+G78)</f>
        <v>0</v>
      </c>
    </row>
    <row r="79" spans="2:18" s="1" customFormat="1" ht="16.5" customHeight="1">
      <c r="B79" s="274" t="s">
        <v>121</v>
      </c>
      <c r="C79" s="288">
        <v>5460</v>
      </c>
      <c r="D79" s="260"/>
      <c r="E79" s="289" t="s">
        <v>86</v>
      </c>
      <c r="F79" s="290">
        <v>6</v>
      </c>
      <c r="G79" s="291">
        <f t="shared" si="3"/>
        <v>0</v>
      </c>
      <c r="H79" s="292"/>
      <c r="I79" s="291">
        <f t="shared" si="4"/>
        <v>0</v>
      </c>
      <c r="J79" s="293"/>
      <c r="K79" s="291">
        <f t="shared" si="5"/>
        <v>0</v>
      </c>
      <c r="L79" s="332">
        <v>3</v>
      </c>
      <c r="M79" s="291">
        <f t="shared" si="6"/>
        <v>0</v>
      </c>
      <c r="N79" s="294">
        <v>1.3</v>
      </c>
      <c r="O79" s="291">
        <f t="shared" si="7"/>
        <v>0</v>
      </c>
      <c r="P79" s="295"/>
      <c r="Q79" s="291">
        <f t="shared" si="8"/>
        <v>0</v>
      </c>
      <c r="R79" s="296">
        <f t="shared" si="9"/>
        <v>0</v>
      </c>
    </row>
    <row r="80" spans="2:18" s="1" customFormat="1" ht="16.5" customHeight="1">
      <c r="B80" s="274" t="s">
        <v>122</v>
      </c>
      <c r="C80" s="288">
        <v>324</v>
      </c>
      <c r="D80" s="260"/>
      <c r="E80" s="289" t="s">
        <v>84</v>
      </c>
      <c r="F80" s="290">
        <v>5</v>
      </c>
      <c r="G80" s="291">
        <f t="shared" si="3"/>
        <v>0</v>
      </c>
      <c r="H80" s="292"/>
      <c r="I80" s="291">
        <f t="shared" si="4"/>
        <v>0</v>
      </c>
      <c r="J80" s="293"/>
      <c r="K80" s="291">
        <f t="shared" si="5"/>
        <v>0</v>
      </c>
      <c r="L80" s="332"/>
      <c r="M80" s="291">
        <f t="shared" si="6"/>
        <v>0</v>
      </c>
      <c r="N80" s="290">
        <v>0.75</v>
      </c>
      <c r="O80" s="291">
        <f t="shared" si="7"/>
        <v>0</v>
      </c>
      <c r="P80" s="295"/>
      <c r="Q80" s="291">
        <f t="shared" si="8"/>
        <v>0</v>
      </c>
      <c r="R80" s="296">
        <f t="shared" si="9"/>
        <v>0</v>
      </c>
    </row>
    <row r="81" spans="2:18" s="1" customFormat="1" ht="16.5" customHeight="1">
      <c r="B81" s="274" t="s">
        <v>123</v>
      </c>
      <c r="C81" s="288">
        <v>1050</v>
      </c>
      <c r="D81" s="260"/>
      <c r="E81" s="289" t="s">
        <v>83</v>
      </c>
      <c r="F81" s="290">
        <v>4</v>
      </c>
      <c r="G81" s="291">
        <f t="shared" si="3"/>
        <v>0</v>
      </c>
      <c r="H81" s="292"/>
      <c r="I81" s="291">
        <f t="shared" si="4"/>
        <v>0</v>
      </c>
      <c r="J81" s="293"/>
      <c r="K81" s="291">
        <f t="shared" si="5"/>
        <v>0</v>
      </c>
      <c r="L81" s="332">
        <v>1.5</v>
      </c>
      <c r="M81" s="291">
        <f t="shared" si="6"/>
        <v>0</v>
      </c>
      <c r="N81" s="333">
        <v>0.33</v>
      </c>
      <c r="O81" s="291">
        <f t="shared" si="7"/>
        <v>0</v>
      </c>
      <c r="P81" s="295"/>
      <c r="Q81" s="291">
        <f t="shared" si="8"/>
        <v>0</v>
      </c>
      <c r="R81" s="296">
        <f t="shared" si="9"/>
        <v>0</v>
      </c>
    </row>
    <row r="82" spans="2:18" s="1" customFormat="1" ht="16.5" customHeight="1">
      <c r="B82" s="274" t="s">
        <v>95</v>
      </c>
      <c r="C82" s="141">
        <v>16000</v>
      </c>
      <c r="D82" s="260"/>
      <c r="E82" s="289" t="s">
        <v>82</v>
      </c>
      <c r="F82" s="290">
        <v>5</v>
      </c>
      <c r="G82" s="291">
        <f t="shared" si="3"/>
        <v>0</v>
      </c>
      <c r="H82" s="292"/>
      <c r="I82" s="291">
        <f t="shared" si="4"/>
        <v>0</v>
      </c>
      <c r="J82" s="293"/>
      <c r="K82" s="291">
        <f t="shared" si="5"/>
        <v>0</v>
      </c>
      <c r="L82" s="332">
        <v>2.5</v>
      </c>
      <c r="M82" s="291">
        <f t="shared" si="6"/>
        <v>0</v>
      </c>
      <c r="N82" s="290">
        <v>1.5</v>
      </c>
      <c r="O82" s="291">
        <f t="shared" si="7"/>
        <v>0</v>
      </c>
      <c r="P82" s="295"/>
      <c r="Q82" s="291">
        <f t="shared" si="8"/>
        <v>0</v>
      </c>
      <c r="R82" s="296">
        <f t="shared" si="9"/>
        <v>0</v>
      </c>
    </row>
    <row r="83" spans="2:18" s="1" customFormat="1" ht="16.5" customHeight="1">
      <c r="B83" s="274" t="s">
        <v>94</v>
      </c>
      <c r="C83" s="141">
        <v>5000</v>
      </c>
      <c r="D83" s="260"/>
      <c r="E83" s="289" t="s">
        <v>80</v>
      </c>
      <c r="F83" s="290">
        <v>4</v>
      </c>
      <c r="G83" s="291">
        <f t="shared" si="3"/>
        <v>0</v>
      </c>
      <c r="H83" s="292"/>
      <c r="I83" s="291">
        <f t="shared" si="4"/>
        <v>0</v>
      </c>
      <c r="J83" s="293"/>
      <c r="K83" s="291">
        <f t="shared" si="5"/>
        <v>0</v>
      </c>
      <c r="L83" s="332">
        <v>1.5</v>
      </c>
      <c r="M83" s="291">
        <f t="shared" si="6"/>
        <v>0</v>
      </c>
      <c r="N83" s="334"/>
      <c r="O83" s="291">
        <f t="shared" si="7"/>
        <v>0</v>
      </c>
      <c r="P83" s="295"/>
      <c r="Q83" s="291">
        <f t="shared" si="8"/>
        <v>0</v>
      </c>
      <c r="R83" s="296">
        <f t="shared" si="9"/>
        <v>0</v>
      </c>
    </row>
    <row r="84" spans="2:18" s="1" customFormat="1" ht="16.5" customHeight="1">
      <c r="B84" s="274" t="s">
        <v>93</v>
      </c>
      <c r="C84" s="141">
        <v>175000</v>
      </c>
      <c r="D84" s="260"/>
      <c r="E84" s="289" t="s">
        <v>79</v>
      </c>
      <c r="F84" s="290"/>
      <c r="G84" s="291">
        <f t="shared" si="3"/>
        <v>0</v>
      </c>
      <c r="H84" s="292"/>
      <c r="I84" s="291">
        <f t="shared" si="4"/>
        <v>0</v>
      </c>
      <c r="J84" s="293"/>
      <c r="K84" s="291">
        <f t="shared" si="5"/>
        <v>0</v>
      </c>
      <c r="L84" s="332"/>
      <c r="M84" s="291">
        <f t="shared" si="6"/>
        <v>0</v>
      </c>
      <c r="N84" s="334"/>
      <c r="O84" s="291">
        <f t="shared" si="7"/>
        <v>0</v>
      </c>
      <c r="P84" s="295"/>
      <c r="Q84" s="291">
        <f t="shared" si="8"/>
        <v>0</v>
      </c>
      <c r="R84" s="296">
        <f t="shared" si="9"/>
        <v>0</v>
      </c>
    </row>
    <row r="85" spans="2:18" s="1" customFormat="1" ht="16.5" customHeight="1">
      <c r="B85" s="274" t="s">
        <v>92</v>
      </c>
      <c r="C85" s="141">
        <v>175000</v>
      </c>
      <c r="D85" s="260"/>
      <c r="E85" s="289" t="s">
        <v>78</v>
      </c>
      <c r="F85" s="290"/>
      <c r="G85" s="291">
        <f t="shared" si="3"/>
        <v>0</v>
      </c>
      <c r="H85" s="292"/>
      <c r="I85" s="291">
        <f t="shared" si="4"/>
        <v>0</v>
      </c>
      <c r="J85" s="293"/>
      <c r="K85" s="291">
        <f t="shared" si="5"/>
        <v>0</v>
      </c>
      <c r="L85" s="332"/>
      <c r="M85" s="291">
        <f t="shared" si="6"/>
        <v>0</v>
      </c>
      <c r="N85" s="334"/>
      <c r="O85" s="291">
        <f t="shared" si="7"/>
        <v>0</v>
      </c>
      <c r="P85" s="295"/>
      <c r="Q85" s="291">
        <f t="shared" si="8"/>
        <v>0</v>
      </c>
      <c r="R85" s="296">
        <f t="shared" si="9"/>
        <v>0</v>
      </c>
    </row>
    <row r="86" spans="2:18" s="1" customFormat="1" ht="16.5" customHeight="1">
      <c r="B86" s="274" t="s">
        <v>91</v>
      </c>
      <c r="C86" s="141">
        <v>12000</v>
      </c>
      <c r="D86" s="260"/>
      <c r="E86" s="289" t="s">
        <v>77</v>
      </c>
      <c r="F86" s="290"/>
      <c r="G86" s="291">
        <f t="shared" si="3"/>
        <v>0</v>
      </c>
      <c r="H86" s="292"/>
      <c r="I86" s="291">
        <f t="shared" si="4"/>
        <v>0</v>
      </c>
      <c r="J86" s="293"/>
      <c r="K86" s="291">
        <f t="shared" si="5"/>
        <v>0</v>
      </c>
      <c r="L86" s="332"/>
      <c r="M86" s="291">
        <f t="shared" si="6"/>
        <v>0</v>
      </c>
      <c r="N86" s="290"/>
      <c r="O86" s="291">
        <f t="shared" si="7"/>
        <v>0</v>
      </c>
      <c r="P86" s="295"/>
      <c r="Q86" s="291">
        <f t="shared" si="8"/>
        <v>0</v>
      </c>
      <c r="R86" s="296">
        <f t="shared" si="9"/>
        <v>0</v>
      </c>
    </row>
    <row r="87" spans="2:18" s="1" customFormat="1" ht="16.5" customHeight="1">
      <c r="B87" s="274" t="s">
        <v>90</v>
      </c>
      <c r="C87" s="141">
        <v>25000</v>
      </c>
      <c r="D87" s="260"/>
      <c r="E87" s="289" t="s">
        <v>76</v>
      </c>
      <c r="F87" s="290"/>
      <c r="G87" s="291">
        <f t="shared" si="3"/>
        <v>0</v>
      </c>
      <c r="H87" s="292"/>
      <c r="I87" s="291">
        <f t="shared" si="4"/>
        <v>0</v>
      </c>
      <c r="J87" s="293"/>
      <c r="K87" s="291">
        <f t="shared" si="5"/>
        <v>0</v>
      </c>
      <c r="L87" s="332"/>
      <c r="M87" s="291">
        <f t="shared" si="6"/>
        <v>0</v>
      </c>
      <c r="N87" s="334"/>
      <c r="O87" s="291">
        <f t="shared" si="7"/>
        <v>0</v>
      </c>
      <c r="P87" s="295"/>
      <c r="Q87" s="291">
        <f t="shared" si="8"/>
        <v>0</v>
      </c>
      <c r="R87" s="296">
        <f t="shared" si="9"/>
        <v>0</v>
      </c>
    </row>
    <row r="88" spans="2:18" s="1" customFormat="1" ht="16.5" customHeight="1">
      <c r="B88" s="297" t="s">
        <v>89</v>
      </c>
      <c r="C88" s="298">
        <v>92</v>
      </c>
      <c r="D88" s="260"/>
      <c r="E88" s="289" t="s">
        <v>75</v>
      </c>
      <c r="F88" s="290"/>
      <c r="G88" s="291">
        <f t="shared" si="3"/>
        <v>0</v>
      </c>
      <c r="H88" s="292"/>
      <c r="I88" s="291">
        <f t="shared" si="4"/>
        <v>0</v>
      </c>
      <c r="J88" s="293"/>
      <c r="K88" s="291">
        <f t="shared" si="5"/>
        <v>0</v>
      </c>
      <c r="L88" s="332"/>
      <c r="M88" s="291">
        <f t="shared" si="6"/>
        <v>0</v>
      </c>
      <c r="N88" s="334"/>
      <c r="O88" s="291">
        <f t="shared" si="7"/>
        <v>0</v>
      </c>
      <c r="P88" s="295"/>
      <c r="Q88" s="291">
        <f t="shared" si="8"/>
        <v>0</v>
      </c>
      <c r="R88" s="296">
        <f t="shared" si="9"/>
        <v>0</v>
      </c>
    </row>
    <row r="89" spans="2:18" s="1" customFormat="1" ht="16.5" customHeight="1">
      <c r="B89" s="299" t="s">
        <v>88</v>
      </c>
      <c r="C89" s="300"/>
      <c r="D89" s="260"/>
      <c r="E89" s="289" t="s">
        <v>74</v>
      </c>
      <c r="F89" s="290"/>
      <c r="G89" s="291">
        <f t="shared" si="3"/>
        <v>0</v>
      </c>
      <c r="H89" s="292"/>
      <c r="I89" s="291">
        <f t="shared" si="4"/>
        <v>0</v>
      </c>
      <c r="J89" s="293"/>
      <c r="K89" s="291">
        <f t="shared" si="5"/>
        <v>0</v>
      </c>
      <c r="L89" s="332"/>
      <c r="M89" s="291">
        <f t="shared" si="6"/>
        <v>0</v>
      </c>
      <c r="N89" s="334"/>
      <c r="O89" s="291">
        <f t="shared" si="7"/>
        <v>0</v>
      </c>
      <c r="P89" s="295"/>
      <c r="Q89" s="291">
        <f t="shared" si="8"/>
        <v>0</v>
      </c>
      <c r="R89" s="296">
        <f t="shared" si="9"/>
        <v>0</v>
      </c>
    </row>
    <row r="90" spans="2:18" s="1" customFormat="1" ht="16.5" customHeight="1">
      <c r="B90" s="301" t="s">
        <v>87</v>
      </c>
      <c r="C90" s="302">
        <v>1</v>
      </c>
      <c r="D90" s="260"/>
      <c r="E90" s="303"/>
      <c r="F90" s="304"/>
      <c r="G90" s="305"/>
      <c r="H90" s="306"/>
      <c r="I90" s="307"/>
      <c r="J90" s="308"/>
      <c r="K90" s="307"/>
      <c r="L90" s="306"/>
      <c r="M90" s="307"/>
      <c r="N90" s="304"/>
      <c r="O90" s="307"/>
      <c r="P90" s="306"/>
      <c r="Q90" s="307"/>
      <c r="R90" s="309"/>
    </row>
    <row r="91" spans="2:18" s="1" customFormat="1" ht="16.5" customHeight="1" thickBot="1">
      <c r="B91" s="301" t="s">
        <v>86</v>
      </c>
      <c r="C91" s="301">
        <f t="shared" ref="C91:C101" si="10">SUM(C90+(C90*$B$5))</f>
        <v>1</v>
      </c>
      <c r="D91" s="260"/>
      <c r="E91" s="310" t="s">
        <v>85</v>
      </c>
      <c r="F91" s="311"/>
      <c r="G91" s="312">
        <f>SUM(G78:G89)</f>
        <v>0</v>
      </c>
      <c r="H91" s="313"/>
      <c r="I91" s="312">
        <f>SUM(I78:I89)</f>
        <v>0</v>
      </c>
      <c r="J91" s="314"/>
      <c r="K91" s="312">
        <f>SUM(K78:K89)</f>
        <v>0</v>
      </c>
      <c r="L91" s="313"/>
      <c r="M91" s="312">
        <f>SUM(M78:M89)</f>
        <v>0</v>
      </c>
      <c r="N91" s="315"/>
      <c r="O91" s="312">
        <f>SUM(O78:O89)</f>
        <v>0</v>
      </c>
      <c r="P91" s="313"/>
      <c r="Q91" s="312">
        <f>SUM(Q78:Q89)</f>
        <v>0</v>
      </c>
      <c r="R91" s="316">
        <f>SUM(R78:R89)</f>
        <v>0</v>
      </c>
    </row>
    <row r="92" spans="2:18" s="1" customFormat="1" ht="16.5" customHeight="1" thickTop="1" thickBot="1">
      <c r="B92" s="301" t="s">
        <v>84</v>
      </c>
      <c r="C92" s="301">
        <f t="shared" si="10"/>
        <v>1</v>
      </c>
      <c r="D92" s="269"/>
      <c r="E92" s="317"/>
      <c r="F92" s="318"/>
      <c r="G92" s="319"/>
      <c r="H92" s="320"/>
      <c r="I92" s="319"/>
      <c r="J92" s="321"/>
      <c r="K92" s="319"/>
      <c r="L92" s="320"/>
      <c r="M92" s="319"/>
      <c r="N92" s="318"/>
      <c r="O92" s="319"/>
      <c r="P92" s="320"/>
      <c r="Q92" s="319"/>
      <c r="R92" s="323"/>
    </row>
    <row r="93" spans="2:18" s="1" customFormat="1" ht="16.5" customHeight="1">
      <c r="B93" s="301" t="s">
        <v>83</v>
      </c>
      <c r="C93" s="324">
        <f t="shared" si="10"/>
        <v>1</v>
      </c>
      <c r="D93" s="269"/>
      <c r="E93" s="269"/>
      <c r="F93" s="335"/>
      <c r="G93" s="269"/>
      <c r="H93" s="326"/>
      <c r="I93" s="269"/>
      <c r="J93" s="326"/>
      <c r="K93" s="269"/>
      <c r="L93" s="326"/>
      <c r="M93" s="269"/>
      <c r="N93" s="326"/>
      <c r="O93" s="269"/>
      <c r="P93" s="326"/>
      <c r="Q93" s="269"/>
      <c r="R93" s="269"/>
    </row>
    <row r="94" spans="2:18" s="1" customFormat="1" ht="16.5" customHeight="1">
      <c r="B94" s="301" t="s">
        <v>82</v>
      </c>
      <c r="C94" s="324">
        <f t="shared" si="10"/>
        <v>1</v>
      </c>
      <c r="D94" s="269"/>
      <c r="E94" s="269" t="s">
        <v>124</v>
      </c>
      <c r="F94" s="335"/>
      <c r="G94" s="269"/>
      <c r="H94" s="326"/>
      <c r="I94" s="269"/>
      <c r="J94" s="326"/>
      <c r="K94" s="269"/>
      <c r="L94" s="326"/>
      <c r="M94" s="269"/>
      <c r="N94" s="326"/>
      <c r="O94" s="269"/>
      <c r="P94" s="326"/>
      <c r="Q94" s="269"/>
      <c r="R94" s="269"/>
    </row>
    <row r="95" spans="2:18" s="1" customFormat="1" ht="16.5" customHeight="1">
      <c r="B95" s="301" t="s">
        <v>80</v>
      </c>
      <c r="C95" s="324">
        <f t="shared" si="10"/>
        <v>1</v>
      </c>
      <c r="D95" s="269"/>
      <c r="E95" s="269"/>
      <c r="F95" s="335"/>
      <c r="G95" s="269"/>
      <c r="H95" s="326"/>
      <c r="I95" s="269"/>
      <c r="J95" s="326"/>
      <c r="K95" s="269"/>
      <c r="L95" s="326"/>
      <c r="M95" s="269"/>
      <c r="N95" s="326"/>
      <c r="O95" s="269"/>
      <c r="P95" s="326"/>
      <c r="Q95" s="269"/>
      <c r="R95" s="269"/>
    </row>
    <row r="96" spans="2:18" s="1" customFormat="1" ht="16.5" customHeight="1">
      <c r="B96" s="301" t="s">
        <v>79</v>
      </c>
      <c r="C96" s="324">
        <f t="shared" si="10"/>
        <v>1</v>
      </c>
      <c r="D96" s="269"/>
      <c r="E96" s="269"/>
      <c r="F96" s="335"/>
      <c r="G96" s="328"/>
      <c r="H96" s="329"/>
      <c r="I96" s="269"/>
      <c r="J96" s="326"/>
      <c r="K96" s="269"/>
      <c r="L96" s="326"/>
      <c r="M96" s="269"/>
      <c r="N96" s="326"/>
      <c r="O96" s="269"/>
      <c r="P96" s="326"/>
      <c r="Q96" s="269"/>
      <c r="R96" s="269"/>
    </row>
    <row r="97" spans="2:18" s="1" customFormat="1" ht="16.5" customHeight="1">
      <c r="B97" s="301" t="s">
        <v>78</v>
      </c>
      <c r="C97" s="324">
        <f t="shared" si="10"/>
        <v>1</v>
      </c>
      <c r="D97" s="269"/>
      <c r="E97" s="269"/>
      <c r="F97" s="335"/>
      <c r="G97" s="269"/>
      <c r="H97" s="326"/>
      <c r="I97" s="269"/>
      <c r="J97" s="326"/>
      <c r="K97" s="269"/>
      <c r="L97" s="326"/>
      <c r="M97" s="269"/>
      <c r="N97" s="326"/>
      <c r="O97" s="269"/>
      <c r="P97" s="326"/>
      <c r="Q97" s="269"/>
      <c r="R97" s="269"/>
    </row>
    <row r="98" spans="2:18" s="1" customFormat="1" ht="16.5" customHeight="1">
      <c r="B98" s="301" t="s">
        <v>77</v>
      </c>
      <c r="C98" s="324">
        <f t="shared" si="10"/>
        <v>1</v>
      </c>
      <c r="D98" s="269"/>
      <c r="E98" s="269"/>
      <c r="F98" s="335"/>
      <c r="G98" s="269"/>
      <c r="H98" s="326"/>
      <c r="I98" s="269"/>
      <c r="J98" s="326"/>
      <c r="K98" s="269"/>
      <c r="L98" s="326"/>
      <c r="M98" s="269"/>
      <c r="N98" s="326"/>
      <c r="O98" s="269"/>
      <c r="P98" s="326"/>
      <c r="Q98" s="269"/>
      <c r="R98" s="269"/>
    </row>
    <row r="99" spans="2:18" s="1" customFormat="1" ht="16.5" customHeight="1">
      <c r="B99" s="301" t="s">
        <v>76</v>
      </c>
      <c r="C99" s="324">
        <f t="shared" si="10"/>
        <v>1</v>
      </c>
      <c r="D99" s="269"/>
      <c r="E99" s="269"/>
      <c r="F99" s="335"/>
      <c r="G99" s="269"/>
      <c r="H99" s="326"/>
      <c r="I99" s="269"/>
      <c r="J99" s="326"/>
      <c r="K99" s="269"/>
      <c r="L99" s="326"/>
      <c r="M99" s="269"/>
      <c r="N99" s="326"/>
      <c r="O99" s="269"/>
      <c r="P99" s="326"/>
      <c r="Q99" s="269"/>
      <c r="R99" s="269"/>
    </row>
    <row r="100" spans="2:18" s="1" customFormat="1" ht="16.5" customHeight="1">
      <c r="B100" s="301" t="s">
        <v>75</v>
      </c>
      <c r="C100" s="324">
        <f t="shared" si="10"/>
        <v>1</v>
      </c>
      <c r="D100" s="269"/>
      <c r="E100" s="269"/>
      <c r="F100" s="335"/>
      <c r="G100" s="269"/>
      <c r="H100" s="326"/>
      <c r="I100" s="269"/>
      <c r="J100" s="326"/>
      <c r="K100" s="269"/>
      <c r="L100" s="326"/>
      <c r="M100" s="269"/>
      <c r="N100" s="326"/>
      <c r="O100" s="269"/>
      <c r="P100" s="326"/>
      <c r="Q100" s="269"/>
      <c r="R100" s="269"/>
    </row>
    <row r="101" spans="2:18" s="1" customFormat="1" ht="16.5" customHeight="1">
      <c r="B101" s="301" t="s">
        <v>74</v>
      </c>
      <c r="C101" s="324">
        <f t="shared" si="10"/>
        <v>1</v>
      </c>
      <c r="D101" s="269"/>
      <c r="E101" s="269"/>
      <c r="F101" s="335"/>
      <c r="G101" s="269"/>
      <c r="H101" s="326"/>
      <c r="I101" s="269"/>
      <c r="J101" s="326"/>
      <c r="K101" s="269"/>
      <c r="L101" s="326"/>
      <c r="M101" s="269"/>
      <c r="N101" s="326"/>
      <c r="O101" s="269"/>
      <c r="P101" s="326"/>
      <c r="Q101" s="269"/>
      <c r="R101" s="269"/>
    </row>
  </sheetData>
  <mergeCells count="20">
    <mergeCell ref="E41:R41"/>
    <mergeCell ref="E42:R42"/>
    <mergeCell ref="E43:R43"/>
    <mergeCell ref="E44:R44"/>
    <mergeCell ref="F45:G45"/>
    <mergeCell ref="H45:I45"/>
    <mergeCell ref="J45:K45"/>
    <mergeCell ref="L45:M45"/>
    <mergeCell ref="N45:O45"/>
    <mergeCell ref="P45:Q45"/>
    <mergeCell ref="E72:R72"/>
    <mergeCell ref="E73:R73"/>
    <mergeCell ref="E74:R74"/>
    <mergeCell ref="E75:R75"/>
    <mergeCell ref="F76:G76"/>
    <mergeCell ref="H76:I76"/>
    <mergeCell ref="J76:K76"/>
    <mergeCell ref="L76:M76"/>
    <mergeCell ref="N76:O76"/>
    <mergeCell ref="P76:Q76"/>
  </mergeCells>
  <printOptions horizontalCentered="1"/>
  <pageMargins left="0.25" right="0.25" top="0.75" bottom="0.75" header="0.3" footer="0.3"/>
  <pageSetup scale="31"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manualMax="0" manualMin="0"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'202 summary'!C39:N39</xm:f>
              <xm:sqref>P39</xm:sqref>
            </x14:sparkline>
          </x14:sparklines>
        </x14:sparklineGroup>
        <x14:sparklineGroup manualMax="0" manualMin="0" displayEmptyCellsAs="gap" markers="1" last="1">
          <x14:colorSeries rgb="FF323232"/>
          <x14:colorNegative rgb="FFD00000"/>
          <x14:colorAxis rgb="FF000000"/>
          <x14:colorMarkers rgb="FFD00000"/>
          <x14:colorFirst rgb="FFD00000"/>
          <x14:colorLast rgb="FFD00000"/>
          <x14:colorHigh rgb="FFD00000"/>
          <x14:colorLow rgb="FFD00000"/>
          <x14:sparklines>
            <x14:sparkline>
              <xm:f>'202 summary'!C19:N19</xm:f>
              <xm:sqref>P19</xm:sqref>
            </x14:sparkline>
            <x14:sparkline>
              <xm:f>'202 summary'!C20:N20</xm:f>
              <xm:sqref>P20</xm:sqref>
            </x14:sparkline>
            <x14:sparkline>
              <xm:f>'202 summary'!C21:N21</xm:f>
              <xm:sqref>P21</xm:sqref>
            </x14:sparkline>
            <x14:sparkline>
              <xm:f>'202 summary'!C22:N22</xm:f>
              <xm:sqref>P22</xm:sqref>
            </x14:sparkline>
            <x14:sparkline>
              <xm:f>'202 summary'!C23:N23</xm:f>
              <xm:sqref>P23</xm:sqref>
            </x14:sparkline>
            <x14:sparkline>
              <xm:f>'202 summary'!C24:N24</xm:f>
              <xm:sqref>P24</xm:sqref>
            </x14:sparkline>
            <x14:sparkline>
              <xm:f>'202 summary'!C25:N25</xm:f>
              <xm:sqref>P25</xm:sqref>
            </x14:sparkline>
            <x14:sparkline>
              <xm:f>'202 summary'!C26:N26</xm:f>
              <xm:sqref>P26</xm:sqref>
            </x14:sparkline>
            <x14:sparkline>
              <xm:f>'202 summary'!C27:N27</xm:f>
              <xm:sqref>P27</xm:sqref>
            </x14:sparkline>
            <x14:sparkline>
              <xm:f>'202 summary'!C28:N28</xm:f>
              <xm:sqref>P28</xm:sqref>
            </x14:sparkline>
            <x14:sparkline>
              <xm:f>'202 summary'!C29:N29</xm:f>
              <xm:sqref>P29</xm:sqref>
            </x14:sparkline>
            <x14:sparkline>
              <xm:f>'202 summary'!C30:N30</xm:f>
              <xm:sqref>P30</xm:sqref>
            </x14:sparkline>
            <x14:sparkline>
              <xm:f>'202 summary'!C31:N31</xm:f>
              <xm:sqref>P31</xm:sqref>
            </x14:sparkline>
            <x14:sparkline>
              <xm:f>'202 summary'!C32:N32</xm:f>
              <xm:sqref>P32</xm:sqref>
            </x14:sparkline>
            <x14:sparkline>
              <xm:f>'202 summary'!C33:N33</xm:f>
              <xm:sqref>P33</xm:sqref>
            </x14:sparkline>
            <x14:sparkline>
              <xm:f>'202 summary'!C34:N34</xm:f>
              <xm:sqref>P34</xm:sqref>
            </x14:sparkline>
            <x14:sparkline>
              <xm:f>'202 summary'!C35:N35</xm:f>
              <xm:sqref>P35</xm:sqref>
            </x14:sparkline>
            <x14:sparkline>
              <xm:f>'202 summary'!C36:N36</xm:f>
              <xm:sqref>P36</xm:sqref>
            </x14:sparkline>
            <x14:sparkline>
              <xm:f>'202 summary'!C37:N37</xm:f>
              <xm:sqref>P37</xm:sqref>
            </x14:sparkline>
            <x14:sparkline>
              <xm:f>'202 summary'!C38:N38</xm:f>
              <xm:sqref>P38</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R20"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'[21]Projected Maint Practices'!Q7</f>
        <v>4913</v>
      </c>
      <c r="D6" s="264">
        <f>'[21]True Maint Practices'!Q7</f>
        <v>2175</v>
      </c>
    </row>
    <row r="7" spans="1:6" ht="15">
      <c r="B7" s="263">
        <v>2</v>
      </c>
      <c r="C7" s="264">
        <f>'[21]Projected Maint Practices'!Q8</f>
        <v>4913</v>
      </c>
      <c r="D7" s="264">
        <f>'[21]True Maint Practices'!Q8</f>
        <v>2298</v>
      </c>
    </row>
    <row r="8" spans="1:6" ht="15">
      <c r="B8" s="263">
        <v>3</v>
      </c>
      <c r="C8" s="264">
        <f>'[21]Projected Maint Practices'!Q9</f>
        <v>4913</v>
      </c>
      <c r="D8" s="264">
        <f>'[21]True Maint Practices'!Q9</f>
        <v>0</v>
      </c>
    </row>
    <row r="9" spans="1:6" ht="15">
      <c r="B9" s="263">
        <v>4</v>
      </c>
      <c r="C9" s="264">
        <f>'[21]Projected Maint Practices'!Q10</f>
        <v>4913</v>
      </c>
      <c r="D9" s="264">
        <f>'[21]True Maint Practices'!Q10</f>
        <v>0</v>
      </c>
    </row>
    <row r="10" spans="1:6" ht="15">
      <c r="B10" s="263">
        <v>5</v>
      </c>
      <c r="C10" s="264">
        <f>'[21]Projected Maint Practices'!Q11</f>
        <v>17239.669999999998</v>
      </c>
      <c r="D10" s="264">
        <f>'[21]True Maint Practices'!Q11</f>
        <v>0</v>
      </c>
    </row>
    <row r="11" spans="1:6" ht="15">
      <c r="B11" s="263">
        <v>6</v>
      </c>
      <c r="C11" s="264">
        <f>'[21]Projected Maint Practices'!Q12</f>
        <v>4913</v>
      </c>
      <c r="D11" s="264">
        <f>'[21]True Maint Practices'!Q12</f>
        <v>0</v>
      </c>
    </row>
    <row r="12" spans="1:6" ht="15">
      <c r="B12" s="263">
        <v>7</v>
      </c>
      <c r="C12" s="264">
        <f>'[21]Projected Maint Practices'!Q13</f>
        <v>4913</v>
      </c>
      <c r="D12" s="264">
        <f>'[21]True Maint Practices'!Q13</f>
        <v>0</v>
      </c>
    </row>
    <row r="13" spans="1:6" ht="15">
      <c r="B13" s="263">
        <v>8</v>
      </c>
      <c r="C13" s="264">
        <f>'[21]Projected Maint Practices'!Q14</f>
        <v>4913</v>
      </c>
      <c r="D13" s="264">
        <f>'[21]True Maint Practices'!Q14</f>
        <v>0</v>
      </c>
    </row>
    <row r="14" spans="1:6" ht="15">
      <c r="B14" s="263">
        <v>9</v>
      </c>
      <c r="C14" s="264">
        <f>'[21]Projected Maint Practices'!Q15</f>
        <v>4913</v>
      </c>
      <c r="D14" s="264">
        <f>'[21]True Maint Practices'!Q15</f>
        <v>0</v>
      </c>
    </row>
    <row r="15" spans="1:6" ht="15">
      <c r="B15" s="263">
        <v>10</v>
      </c>
      <c r="C15" s="264">
        <f>'[21]Projected Maint Practices'!Q16</f>
        <v>4913</v>
      </c>
      <c r="D15" s="264">
        <f>'[21]True Maint Practices'!Q16</f>
        <v>0</v>
      </c>
    </row>
    <row r="16" spans="1:6" ht="15">
      <c r="B16" s="263">
        <v>11</v>
      </c>
      <c r="C16" s="264">
        <f>'[21]Projected Maint Practices'!Q17</f>
        <v>4913</v>
      </c>
      <c r="D16" s="264">
        <f>'[21]True Maint Practices'!Q17</f>
        <v>0</v>
      </c>
    </row>
    <row r="17" spans="2:4" ht="15">
      <c r="B17" s="263">
        <v>12</v>
      </c>
      <c r="C17" s="264">
        <f>'[21]Projected Maint Practices'!Q18</f>
        <v>4913</v>
      </c>
      <c r="D17" s="264">
        <f>'[21]True Maint Practices'!Q18</f>
        <v>0</v>
      </c>
    </row>
    <row r="18" spans="2:4" ht="15">
      <c r="B18" s="260" t="s">
        <v>1</v>
      </c>
      <c r="C18" s="264">
        <f>SUM(C6:C17)</f>
        <v>71282.67</v>
      </c>
      <c r="D18" s="264">
        <f>SUM(D6:D17)</f>
        <v>4473</v>
      </c>
    </row>
  </sheetData>
  <printOptions horizontalCentered="1" verticalCentered="1"/>
  <pageMargins left="0.5" right="0.5" top="0.75" bottom="0.75" header="0.5" footer="0.5"/>
  <pageSetup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5"/>
  <sheetViews>
    <sheetView showGridLines="0" topLeftCell="A50" zoomScaleNormal="100" workbookViewId="0">
      <selection activeCell="P67" sqref="A1:XFD1048576"/>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s="1" customFormat="1" ht="16.5" customHeight="1">
      <c r="C1" s="43"/>
      <c r="D1" s="43"/>
      <c r="E1" s="43"/>
      <c r="F1" s="43"/>
      <c r="G1" s="43"/>
      <c r="H1" s="43"/>
      <c r="I1" s="43"/>
      <c r="J1" s="43"/>
      <c r="K1" s="43"/>
      <c r="L1" s="43"/>
      <c r="M1" s="43"/>
      <c r="N1" s="43"/>
      <c r="O1" s="43"/>
      <c r="P1" s="43"/>
    </row>
    <row r="2" spans="2:22" s="1" customFormat="1" ht="31.5" customHeight="1">
      <c r="B2" s="184" t="s">
        <v>1529</v>
      </c>
      <c r="C2" s="43"/>
      <c r="D2" s="43"/>
      <c r="E2" s="43"/>
      <c r="F2" s="43"/>
      <c r="G2" s="43"/>
      <c r="H2" s="43"/>
      <c r="I2" s="43"/>
      <c r="J2" s="43"/>
      <c r="K2" s="43"/>
      <c r="L2" s="43"/>
      <c r="M2" s="43"/>
      <c r="N2" s="43"/>
      <c r="O2" s="43" t="s">
        <v>1528</v>
      </c>
      <c r="P2" s="43"/>
    </row>
    <row r="3" spans="2:22" s="1" customFormat="1" ht="16.5" customHeight="1">
      <c r="C3" s="43"/>
      <c r="D3" s="43"/>
      <c r="E3" s="43"/>
      <c r="F3" s="43"/>
      <c r="G3" s="43"/>
      <c r="H3" s="43"/>
      <c r="I3" s="43"/>
      <c r="J3" s="43"/>
      <c r="K3" s="43"/>
      <c r="L3" s="43"/>
      <c r="M3" s="43"/>
      <c r="N3" s="43"/>
      <c r="O3" s="43"/>
      <c r="P3" s="43"/>
    </row>
    <row r="12" spans="2:22" s="1" customFormat="1" ht="16.5" customHeight="1">
      <c r="V12" s="1" t="s">
        <v>32</v>
      </c>
    </row>
    <row r="18" spans="2:16" s="1" customFormat="1"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s="1" customFormat="1" ht="16.5" customHeight="1">
      <c r="B19" s="101" t="s">
        <v>17</v>
      </c>
      <c r="C19" s="8"/>
      <c r="D19" s="8"/>
      <c r="E19" s="8"/>
      <c r="F19" s="8"/>
      <c r="G19" s="8"/>
      <c r="H19" s="8"/>
      <c r="I19" s="8">
        <v>195.7</v>
      </c>
      <c r="J19" s="8">
        <v>1654.91</v>
      </c>
      <c r="K19" s="8"/>
      <c r="L19" s="8"/>
      <c r="M19" s="30"/>
      <c r="N19" s="8"/>
      <c r="O19" s="4">
        <f t="shared" ref="O19:O38" si="0">SUM(C19:N19)</f>
        <v>1850.6100000000001</v>
      </c>
      <c r="P19" s="102"/>
    </row>
    <row r="20" spans="2:16" s="1" customFormat="1" ht="16.5" customHeight="1">
      <c r="B20" s="101" t="s">
        <v>16</v>
      </c>
      <c r="C20" s="8"/>
      <c r="D20" s="8"/>
      <c r="E20" s="8"/>
      <c r="F20" s="8"/>
      <c r="G20" s="8"/>
      <c r="H20" s="8"/>
      <c r="I20" s="8"/>
      <c r="J20" s="8"/>
      <c r="K20" s="8"/>
      <c r="L20" s="8"/>
      <c r="M20" s="30"/>
      <c r="N20" s="8"/>
      <c r="O20" s="4">
        <f t="shared" si="0"/>
        <v>0</v>
      </c>
      <c r="P20" s="102"/>
    </row>
    <row r="21" spans="2:16" s="1" customFormat="1" ht="16.5" customHeight="1">
      <c r="B21" s="101" t="s">
        <v>15</v>
      </c>
      <c r="C21" s="8"/>
      <c r="D21" s="8"/>
      <c r="E21" s="8"/>
      <c r="F21" s="8"/>
      <c r="G21" s="8"/>
      <c r="H21" s="8"/>
      <c r="I21" s="8"/>
      <c r="J21" s="8"/>
      <c r="K21" s="8"/>
      <c r="L21" s="8"/>
      <c r="M21" s="30"/>
      <c r="N21" s="8"/>
      <c r="O21" s="4">
        <f t="shared" si="0"/>
        <v>0</v>
      </c>
      <c r="P21" s="102"/>
    </row>
    <row r="22" spans="2:16" s="1" customFormat="1" ht="16.5" customHeight="1">
      <c r="B22" s="101" t="s">
        <v>14</v>
      </c>
      <c r="C22" s="8"/>
      <c r="D22" s="8"/>
      <c r="E22" s="8"/>
      <c r="F22" s="8"/>
      <c r="G22" s="8"/>
      <c r="H22" s="8"/>
      <c r="I22" s="8"/>
      <c r="J22" s="8"/>
      <c r="K22" s="8"/>
      <c r="L22" s="8"/>
      <c r="M22" s="30"/>
      <c r="N22" s="8"/>
      <c r="O22" s="4">
        <f t="shared" si="0"/>
        <v>0</v>
      </c>
      <c r="P22" s="102"/>
    </row>
    <row r="23" spans="2:16" s="1" customFormat="1" ht="16.5" customHeight="1">
      <c r="B23" s="101" t="s">
        <v>13</v>
      </c>
      <c r="C23" s="8"/>
      <c r="D23" s="8"/>
      <c r="E23" s="8"/>
      <c r="F23" s="8"/>
      <c r="G23" s="8"/>
      <c r="H23" s="8"/>
      <c r="I23" s="8"/>
      <c r="J23" s="8"/>
      <c r="K23" s="8"/>
      <c r="L23" s="8"/>
      <c r="M23" s="30"/>
      <c r="N23" s="8"/>
      <c r="O23" s="4">
        <f t="shared" si="0"/>
        <v>0</v>
      </c>
      <c r="P23" s="102"/>
    </row>
    <row r="24" spans="2:16" s="1" customFormat="1" ht="16.5" customHeight="1">
      <c r="B24" s="103" t="s">
        <v>12</v>
      </c>
      <c r="C24" s="17"/>
      <c r="D24" s="17"/>
      <c r="E24" s="17"/>
      <c r="F24" s="17"/>
      <c r="G24" s="17"/>
      <c r="H24" s="17"/>
      <c r="I24" s="17"/>
      <c r="J24" s="17"/>
      <c r="K24" s="17"/>
      <c r="L24" s="17"/>
      <c r="M24" s="35"/>
      <c r="N24" s="17"/>
      <c r="O24" s="4">
        <f t="shared" si="0"/>
        <v>0</v>
      </c>
      <c r="P24" s="102"/>
    </row>
    <row r="25" spans="2:16" s="1" customFormat="1" ht="16.5" customHeight="1">
      <c r="B25" s="103" t="s">
        <v>11</v>
      </c>
      <c r="C25" s="17"/>
      <c r="D25" s="17"/>
      <c r="E25" s="17"/>
      <c r="F25" s="17"/>
      <c r="G25" s="17"/>
      <c r="H25" s="17"/>
      <c r="I25" s="17"/>
      <c r="J25" s="17"/>
      <c r="K25" s="17"/>
      <c r="L25" s="17"/>
      <c r="M25" s="35"/>
      <c r="N25" s="17"/>
      <c r="O25" s="4">
        <f t="shared" si="0"/>
        <v>0</v>
      </c>
      <c r="P25" s="102"/>
    </row>
    <row r="26" spans="2:16" s="1" customFormat="1" ht="16.5" customHeight="1">
      <c r="B26" s="103" t="s">
        <v>10</v>
      </c>
      <c r="C26" s="17"/>
      <c r="D26" s="17"/>
      <c r="E26" s="17"/>
      <c r="F26" s="17"/>
      <c r="G26" s="17"/>
      <c r="H26" s="17"/>
      <c r="I26" s="17"/>
      <c r="J26" s="17"/>
      <c r="K26" s="17"/>
      <c r="L26" s="17"/>
      <c r="M26" s="35"/>
      <c r="N26" s="17"/>
      <c r="O26" s="4">
        <f t="shared" si="0"/>
        <v>0</v>
      </c>
      <c r="P26" s="102"/>
    </row>
    <row r="27" spans="2:16" s="1" customFormat="1" ht="16.5" customHeight="1">
      <c r="B27" s="103" t="s">
        <v>9</v>
      </c>
      <c r="C27" s="17"/>
      <c r="D27" s="17"/>
      <c r="E27" s="17"/>
      <c r="F27" s="17"/>
      <c r="G27" s="17"/>
      <c r="H27" s="17"/>
      <c r="I27" s="17"/>
      <c r="J27" s="17"/>
      <c r="K27" s="17"/>
      <c r="L27" s="17"/>
      <c r="M27" s="35"/>
      <c r="N27" s="17"/>
      <c r="O27" s="4">
        <f t="shared" si="0"/>
        <v>0</v>
      </c>
      <c r="P27" s="102"/>
    </row>
    <row r="28" spans="2:16" s="1" customFormat="1" ht="16.5" hidden="1" customHeight="1">
      <c r="B28" s="103"/>
      <c r="C28" s="15"/>
      <c r="D28" s="15"/>
      <c r="E28" s="15"/>
      <c r="F28" s="15"/>
      <c r="G28" s="15"/>
      <c r="H28" s="15"/>
      <c r="I28" s="15"/>
      <c r="J28" s="15"/>
      <c r="K28" s="15"/>
      <c r="L28" s="15"/>
      <c r="M28" s="16"/>
      <c r="N28" s="15"/>
      <c r="O28" s="4">
        <f t="shared" si="0"/>
        <v>0</v>
      </c>
      <c r="P28" s="102"/>
    </row>
    <row r="29" spans="2:16" s="1" customFormat="1" ht="16.5" hidden="1" customHeight="1">
      <c r="B29" s="103"/>
      <c r="C29" s="15"/>
      <c r="D29" s="15"/>
      <c r="E29" s="15"/>
      <c r="F29" s="15"/>
      <c r="G29" s="15"/>
      <c r="H29" s="15"/>
      <c r="I29" s="15"/>
      <c r="J29" s="15"/>
      <c r="K29" s="15"/>
      <c r="L29" s="15"/>
      <c r="M29" s="16"/>
      <c r="N29" s="15"/>
      <c r="O29" s="4">
        <f t="shared" si="0"/>
        <v>0</v>
      </c>
      <c r="P29" s="102"/>
    </row>
    <row r="30" spans="2:16" s="1" customFormat="1" ht="16.5" hidden="1" customHeight="1">
      <c r="B30" s="103"/>
      <c r="C30" s="15"/>
      <c r="D30" s="15"/>
      <c r="E30" s="15"/>
      <c r="F30" s="15"/>
      <c r="G30" s="15"/>
      <c r="H30" s="15"/>
      <c r="I30" s="15"/>
      <c r="J30" s="15"/>
      <c r="K30" s="15"/>
      <c r="L30" s="15"/>
      <c r="M30" s="16"/>
      <c r="N30" s="15"/>
      <c r="O30" s="4">
        <f t="shared" si="0"/>
        <v>0</v>
      </c>
      <c r="P30" s="102"/>
    </row>
    <row r="31" spans="2:16" s="1" customFormat="1" ht="16.5" hidden="1" customHeight="1">
      <c r="B31" s="103"/>
      <c r="C31" s="15"/>
      <c r="D31" s="15"/>
      <c r="E31" s="15"/>
      <c r="F31" s="15"/>
      <c r="G31" s="15"/>
      <c r="H31" s="15"/>
      <c r="I31" s="15"/>
      <c r="J31" s="15"/>
      <c r="K31" s="15"/>
      <c r="L31" s="15"/>
      <c r="M31" s="16"/>
      <c r="N31" s="15"/>
      <c r="O31" s="4">
        <f t="shared" si="0"/>
        <v>0</v>
      </c>
      <c r="P31" s="102"/>
    </row>
    <row r="32" spans="2:16" s="1" customFormat="1" ht="16.5" customHeight="1">
      <c r="B32" s="103" t="s">
        <v>8</v>
      </c>
      <c r="C32" s="4"/>
      <c r="D32" s="4"/>
      <c r="E32" s="4"/>
      <c r="F32" s="4"/>
      <c r="G32" s="4"/>
      <c r="H32" s="4"/>
      <c r="I32" s="4"/>
      <c r="J32" s="4"/>
      <c r="K32" s="4"/>
      <c r="L32" s="4"/>
      <c r="M32" s="33"/>
      <c r="N32" s="4"/>
      <c r="O32" s="4">
        <f t="shared" si="0"/>
        <v>0</v>
      </c>
      <c r="P32" s="102"/>
    </row>
    <row r="33" spans="2:18" s="1" customFormat="1" ht="16.5" customHeight="1">
      <c r="B33" s="103" t="s">
        <v>7</v>
      </c>
      <c r="C33" s="12"/>
      <c r="D33" s="12"/>
      <c r="E33" s="12"/>
      <c r="F33" s="12"/>
      <c r="G33" s="12"/>
      <c r="H33" s="12"/>
      <c r="I33" s="12"/>
      <c r="J33" s="12"/>
      <c r="K33" s="12"/>
      <c r="L33" s="12"/>
      <c r="M33" s="32"/>
      <c r="N33" s="12"/>
      <c r="O33" s="4">
        <f t="shared" si="0"/>
        <v>0</v>
      </c>
      <c r="P33" s="102"/>
    </row>
    <row r="34" spans="2:18" s="1" customFormat="1" ht="16.5" customHeight="1">
      <c r="B34" s="103" t="s">
        <v>6</v>
      </c>
      <c r="C34" s="41"/>
      <c r="D34" s="41"/>
      <c r="E34" s="41"/>
      <c r="F34" s="41"/>
      <c r="G34" s="41"/>
      <c r="H34" s="41"/>
      <c r="I34" s="41"/>
      <c r="J34" s="41">
        <v>115.94</v>
      </c>
      <c r="K34" s="41"/>
      <c r="L34" s="41"/>
      <c r="M34" s="42"/>
      <c r="N34" s="41"/>
      <c r="O34" s="4">
        <f t="shared" si="0"/>
        <v>115.94</v>
      </c>
      <c r="P34" s="102"/>
    </row>
    <row r="35" spans="2:18" s="1" customFormat="1" ht="16.5" customHeight="1">
      <c r="B35" s="103" t="s">
        <v>5</v>
      </c>
      <c r="C35" s="8"/>
      <c r="D35" s="8"/>
      <c r="E35" s="8"/>
      <c r="F35" s="8"/>
      <c r="G35" s="8"/>
      <c r="H35" s="8"/>
      <c r="I35" s="8"/>
      <c r="J35" s="8">
        <v>12.06</v>
      </c>
      <c r="K35" s="8"/>
      <c r="L35" s="8"/>
      <c r="M35" s="30"/>
      <c r="N35" s="8"/>
      <c r="O35" s="4">
        <f t="shared" si="0"/>
        <v>12.06</v>
      </c>
      <c r="P35" s="102"/>
    </row>
    <row r="36" spans="2:18" s="1" customFormat="1" ht="16.5" customHeight="1">
      <c r="B36" s="103" t="s">
        <v>230</v>
      </c>
      <c r="C36" s="8"/>
      <c r="D36" s="8"/>
      <c r="E36" s="8"/>
      <c r="F36" s="8"/>
      <c r="G36" s="8"/>
      <c r="H36" s="8"/>
      <c r="I36" s="8"/>
      <c r="J36" s="8"/>
      <c r="K36" s="8"/>
      <c r="L36" s="8"/>
      <c r="M36" s="30"/>
      <c r="N36" s="8"/>
      <c r="O36" s="4">
        <f t="shared" si="0"/>
        <v>0</v>
      </c>
      <c r="P36" s="102"/>
    </row>
    <row r="37" spans="2:18" s="1" customFormat="1" ht="16.5" customHeight="1">
      <c r="B37" s="103" t="s">
        <v>1527</v>
      </c>
      <c r="C37" s="41"/>
      <c r="D37" s="41"/>
      <c r="E37" s="41"/>
      <c r="F37" s="41"/>
      <c r="G37" s="41"/>
      <c r="H37" s="41"/>
      <c r="I37" s="41"/>
      <c r="J37" s="41"/>
      <c r="K37" s="41"/>
      <c r="L37" s="41"/>
      <c r="M37" s="42"/>
      <c r="N37" s="41"/>
      <c r="O37" s="4">
        <f t="shared" si="0"/>
        <v>0</v>
      </c>
      <c r="P37" s="102"/>
    </row>
    <row r="38" spans="2:18" s="1" customFormat="1" ht="16.5" customHeight="1">
      <c r="B38" s="103" t="s">
        <v>2</v>
      </c>
      <c r="C38" s="5"/>
      <c r="D38" s="5"/>
      <c r="E38" s="5"/>
      <c r="F38" s="5"/>
      <c r="G38" s="5"/>
      <c r="H38" s="5"/>
      <c r="I38" s="5"/>
      <c r="J38" s="5">
        <v>50</v>
      </c>
      <c r="K38" s="5">
        <v>10</v>
      </c>
      <c r="L38" s="5"/>
      <c r="M38" s="29"/>
      <c r="N38" s="5"/>
      <c r="O38" s="4">
        <f t="shared" si="0"/>
        <v>60</v>
      </c>
      <c r="P38" s="102"/>
    </row>
    <row r="39" spans="2:18" s="1" customFormat="1" ht="16.5" customHeight="1">
      <c r="B39" s="103" t="s">
        <v>3</v>
      </c>
      <c r="C39" s="8"/>
      <c r="D39" s="8">
        <v>81.89</v>
      </c>
      <c r="E39" s="8">
        <v>80</v>
      </c>
      <c r="F39" s="8">
        <v>30</v>
      </c>
      <c r="G39" s="8">
        <v>9.1</v>
      </c>
      <c r="H39" s="8"/>
      <c r="I39" s="8"/>
      <c r="J39" s="8">
        <v>75.31</v>
      </c>
      <c r="K39" s="8">
        <v>15.15</v>
      </c>
      <c r="L39" s="8"/>
      <c r="M39" s="30"/>
      <c r="N39" s="8"/>
      <c r="O39" s="4">
        <f>[20]summary!$R$18</f>
        <v>0</v>
      </c>
      <c r="P39" s="102"/>
    </row>
    <row r="40" spans="2:18" s="1" customFormat="1" ht="16.5" customHeight="1">
      <c r="B40" s="101" t="s">
        <v>1</v>
      </c>
      <c r="C40" s="104">
        <f>SUBTOTAL(109,ExpenseSummary214[Jan])</f>
        <v>0</v>
      </c>
      <c r="D40" s="105">
        <f>SUBTOTAL(109,ExpenseSummary214[Feb])</f>
        <v>81.89</v>
      </c>
      <c r="E40" s="104">
        <f>SUBTOTAL(109,ExpenseSummary214[Mar])</f>
        <v>80</v>
      </c>
      <c r="F40" s="105">
        <f>SUBTOTAL(109,ExpenseSummary214[Apr])</f>
        <v>30</v>
      </c>
      <c r="G40" s="104">
        <f>SUBTOTAL(109,ExpenseSummary214[May])</f>
        <v>9.1</v>
      </c>
      <c r="H40" s="105">
        <f>SUBTOTAL(109,ExpenseSummary214[Jun])</f>
        <v>0</v>
      </c>
      <c r="I40" s="104">
        <f>SUBTOTAL(109,ExpenseSummary214[Jul])</f>
        <v>195.7</v>
      </c>
      <c r="J40" s="105">
        <f>SUBTOTAL(109,ExpenseSummary214[Aug])</f>
        <v>1908.22</v>
      </c>
      <c r="K40" s="104">
        <f>SUBTOTAL(109,ExpenseSummary214[Sep])</f>
        <v>25.15</v>
      </c>
      <c r="L40" s="105">
        <f>SUBTOTAL(109,ExpenseSummary214[Oct])</f>
        <v>0</v>
      </c>
      <c r="M40" s="267">
        <f>SUBTOTAL(109,ExpenseSummary214[Nov])</f>
        <v>0</v>
      </c>
      <c r="N40" s="105">
        <f>SUBTOTAL(109,ExpenseSummary214[Dec])</f>
        <v>0</v>
      </c>
      <c r="O40" s="106">
        <f>SUBTOTAL(109,ExpenseSummary214[Total])</f>
        <v>2038.6100000000001</v>
      </c>
      <c r="P40" s="102"/>
    </row>
    <row r="41" spans="2:18" s="1" customFormat="1" ht="16.5" customHeight="1">
      <c r="B41" s="28"/>
      <c r="C41" s="28"/>
      <c r="E41" s="555" t="s">
        <v>1526</v>
      </c>
      <c r="F41" s="555"/>
      <c r="G41" s="47"/>
    </row>
    <row r="43" spans="2:18" s="1" customFormat="1" ht="16.5" customHeight="1">
      <c r="B43" s="47"/>
      <c r="C43" s="47"/>
    </row>
    <row r="44" spans="2:18" s="1" customFormat="1" ht="16.5" customHeight="1">
      <c r="B44" s="47"/>
      <c r="C44" s="47"/>
    </row>
    <row r="45" spans="2:18" s="1" customFormat="1" ht="16.5" customHeight="1">
      <c r="B45" s="268"/>
      <c r="C45" s="268"/>
      <c r="D45" s="269"/>
      <c r="E45" s="270" t="s">
        <v>118</v>
      </c>
      <c r="F45" s="270"/>
      <c r="G45" s="270"/>
      <c r="H45" s="270"/>
      <c r="I45" s="270"/>
      <c r="J45" s="270"/>
      <c r="K45" s="270"/>
      <c r="L45" s="270"/>
      <c r="M45" s="270"/>
      <c r="N45" s="270"/>
      <c r="O45" s="270"/>
      <c r="P45" s="270"/>
      <c r="Q45" s="270"/>
      <c r="R45" s="270"/>
    </row>
    <row r="46" spans="2:18" s="1" customFormat="1" ht="16.5" customHeight="1">
      <c r="B46" s="271" t="s">
        <v>1422</v>
      </c>
      <c r="C46" s="272" t="s">
        <v>1561</v>
      </c>
      <c r="D46" s="269"/>
      <c r="E46" s="273" t="s">
        <v>1813</v>
      </c>
      <c r="F46" s="273"/>
      <c r="G46" s="273"/>
      <c r="H46" s="273"/>
      <c r="I46" s="273"/>
      <c r="J46" s="273"/>
      <c r="K46" s="273"/>
      <c r="L46" s="273"/>
      <c r="M46" s="273"/>
      <c r="N46" s="273"/>
      <c r="O46" s="273"/>
      <c r="P46" s="273"/>
      <c r="Q46" s="273"/>
      <c r="R46" s="273"/>
    </row>
    <row r="47" spans="2:18" s="1" customFormat="1" ht="16.5" customHeight="1">
      <c r="B47" s="274" t="s">
        <v>115</v>
      </c>
      <c r="C47" s="275" t="s">
        <v>289</v>
      </c>
      <c r="D47" s="269"/>
      <c r="E47" s="270" t="s">
        <v>113</v>
      </c>
      <c r="F47" s="270"/>
      <c r="G47" s="270"/>
      <c r="H47" s="270"/>
      <c r="I47" s="270"/>
      <c r="J47" s="270"/>
      <c r="K47" s="270"/>
      <c r="L47" s="270"/>
      <c r="M47" s="270"/>
      <c r="N47" s="270"/>
      <c r="O47" s="270"/>
      <c r="P47" s="270"/>
      <c r="Q47" s="270"/>
      <c r="R47" s="270"/>
    </row>
    <row r="48" spans="2:18" s="1" customFormat="1" ht="16.5" customHeight="1" thickBot="1">
      <c r="B48" s="274" t="s">
        <v>112</v>
      </c>
      <c r="C48" s="276">
        <v>133494</v>
      </c>
      <c r="D48" s="268"/>
      <c r="E48" s="273" t="s">
        <v>1377</v>
      </c>
      <c r="F48" s="273"/>
      <c r="G48" s="273"/>
      <c r="H48" s="273"/>
      <c r="I48" s="273"/>
      <c r="J48" s="273"/>
      <c r="K48" s="273"/>
      <c r="L48" s="273"/>
      <c r="M48" s="273"/>
      <c r="N48" s="273"/>
      <c r="O48" s="273"/>
      <c r="P48" s="273"/>
      <c r="Q48" s="273"/>
      <c r="R48" s="273"/>
    </row>
    <row r="49" spans="2:18" s="1" customFormat="1" ht="16.5" customHeight="1">
      <c r="B49" s="274" t="s">
        <v>110</v>
      </c>
      <c r="C49" s="277"/>
      <c r="D49" s="260"/>
      <c r="E49" s="278" t="s">
        <v>109</v>
      </c>
      <c r="F49" s="279" t="s">
        <v>108</v>
      </c>
      <c r="G49" s="280"/>
      <c r="H49" s="279" t="s">
        <v>107</v>
      </c>
      <c r="I49" s="280"/>
      <c r="J49" s="279" t="s">
        <v>106</v>
      </c>
      <c r="K49" s="280"/>
      <c r="L49" s="279" t="s">
        <v>105</v>
      </c>
      <c r="M49" s="280"/>
      <c r="N49" s="279" t="s">
        <v>96</v>
      </c>
      <c r="O49" s="280"/>
      <c r="P49" s="279" t="s">
        <v>104</v>
      </c>
      <c r="Q49" s="280"/>
      <c r="R49" s="281" t="s">
        <v>103</v>
      </c>
    </row>
    <row r="50" spans="2:18" s="1" customFormat="1" ht="16.5" customHeight="1">
      <c r="B50" s="282" t="s">
        <v>102</v>
      </c>
      <c r="C50" s="283">
        <v>283</v>
      </c>
      <c r="D50" s="262"/>
      <c r="E50" s="284"/>
      <c r="F50" s="285" t="s">
        <v>101</v>
      </c>
      <c r="G50" s="286" t="s">
        <v>100</v>
      </c>
      <c r="H50" s="285" t="s">
        <v>101</v>
      </c>
      <c r="I50" s="286" t="s">
        <v>100</v>
      </c>
      <c r="J50" s="285" t="s">
        <v>101</v>
      </c>
      <c r="K50" s="286" t="s">
        <v>100</v>
      </c>
      <c r="L50" s="287" t="s">
        <v>101</v>
      </c>
      <c r="M50" s="405" t="s">
        <v>100</v>
      </c>
      <c r="N50" s="287" t="s">
        <v>101</v>
      </c>
      <c r="O50" s="286" t="s">
        <v>100</v>
      </c>
      <c r="P50" s="287" t="s">
        <v>101</v>
      </c>
      <c r="Q50" s="286" t="s">
        <v>100</v>
      </c>
      <c r="R50" s="284"/>
    </row>
    <row r="51" spans="2:18" s="1" customFormat="1" ht="16.5" customHeight="1">
      <c r="B51" s="274" t="s">
        <v>99</v>
      </c>
      <c r="C51" s="288">
        <v>6867</v>
      </c>
      <c r="D51" s="260"/>
      <c r="E51" s="289" t="s">
        <v>87</v>
      </c>
      <c r="F51" s="290">
        <v>7</v>
      </c>
      <c r="G51" s="291">
        <f t="shared" ref="G51:G62" si="1">SUM($B$6*F51)*C63</f>
        <v>0</v>
      </c>
      <c r="H51" s="292"/>
      <c r="I51" s="291">
        <f>IF(H51&gt;0,($B$7*C63),0)</f>
        <v>0</v>
      </c>
      <c r="J51" s="293"/>
      <c r="K51" s="291">
        <f>IF(J51&gt;0,($B$8*C63),0)</f>
        <v>0</v>
      </c>
      <c r="L51" s="292">
        <v>2</v>
      </c>
      <c r="M51" s="406">
        <f t="shared" ref="M51:M62" si="2">IF(L51&gt;0,($B$9*L51),0)</f>
        <v>0</v>
      </c>
      <c r="N51" s="294">
        <v>2</v>
      </c>
      <c r="O51" s="291">
        <f t="shared" ref="O51:O62" si="3">IF(N51&gt;0,($B$10*N51),0)</f>
        <v>0</v>
      </c>
      <c r="P51" s="295">
        <v>2</v>
      </c>
      <c r="Q51" s="291">
        <f t="shared" ref="Q51:Q62" si="4">SUM(P51*$B$17)*C63</f>
        <v>0</v>
      </c>
      <c r="R51" s="296">
        <f t="shared" ref="R51:R62" si="5">SUM(Q51+O51+M51+K51+I51+G51)</f>
        <v>0</v>
      </c>
    </row>
    <row r="52" spans="2:18" s="1" customFormat="1" ht="16.5" customHeight="1">
      <c r="B52" s="274" t="s">
        <v>98</v>
      </c>
      <c r="C52" s="288">
        <v>5460</v>
      </c>
      <c r="D52" s="260"/>
      <c r="E52" s="289" t="s">
        <v>86</v>
      </c>
      <c r="F52" s="290">
        <v>7</v>
      </c>
      <c r="G52" s="291">
        <f t="shared" si="1"/>
        <v>0</v>
      </c>
      <c r="H52" s="292"/>
      <c r="I52" s="291">
        <f>IF(H52&gt;0,($B$7*C64),0)</f>
        <v>0</v>
      </c>
      <c r="J52" s="293"/>
      <c r="K52" s="291">
        <f>IF(J52&gt;0,($B$8*C64),0)</f>
        <v>0</v>
      </c>
      <c r="L52" s="292">
        <v>2</v>
      </c>
      <c r="M52" s="406">
        <f t="shared" si="2"/>
        <v>0</v>
      </c>
      <c r="N52" s="294">
        <v>2</v>
      </c>
      <c r="O52" s="291">
        <f t="shared" si="3"/>
        <v>0</v>
      </c>
      <c r="P52" s="295">
        <v>2</v>
      </c>
      <c r="Q52" s="291">
        <f t="shared" si="4"/>
        <v>0</v>
      </c>
      <c r="R52" s="296">
        <f t="shared" si="5"/>
        <v>0</v>
      </c>
    </row>
    <row r="53" spans="2:18" s="1" customFormat="1" ht="16.5" customHeight="1">
      <c r="B53" s="407" t="s">
        <v>97</v>
      </c>
      <c r="C53" s="288">
        <v>324</v>
      </c>
      <c r="D53" s="260"/>
      <c r="E53" s="289" t="s">
        <v>84</v>
      </c>
      <c r="F53" s="290">
        <v>7</v>
      </c>
      <c r="G53" s="291">
        <f t="shared" si="1"/>
        <v>0</v>
      </c>
      <c r="H53" s="292"/>
      <c r="I53" s="291">
        <f>IF(H53&gt;0,($B$7*C65),0)</f>
        <v>0</v>
      </c>
      <c r="J53" s="293"/>
      <c r="K53" s="291">
        <f>IF(J53&gt;0,($B$8*C65),0)</f>
        <v>0</v>
      </c>
      <c r="L53" s="292">
        <v>2</v>
      </c>
      <c r="M53" s="406">
        <f t="shared" si="2"/>
        <v>0</v>
      </c>
      <c r="N53" s="294">
        <v>2</v>
      </c>
      <c r="O53" s="291">
        <f t="shared" si="3"/>
        <v>0</v>
      </c>
      <c r="P53" s="295">
        <v>2</v>
      </c>
      <c r="Q53" s="291">
        <f t="shared" si="4"/>
        <v>0</v>
      </c>
      <c r="R53" s="296">
        <f t="shared" si="5"/>
        <v>0</v>
      </c>
    </row>
    <row r="54" spans="2:18" s="1" customFormat="1" ht="16.5" customHeight="1">
      <c r="B54" s="408" t="s">
        <v>96</v>
      </c>
      <c r="C54" s="288">
        <v>1050</v>
      </c>
      <c r="D54" s="260"/>
      <c r="E54" s="289" t="s">
        <v>83</v>
      </c>
      <c r="F54" s="290">
        <v>7</v>
      </c>
      <c r="G54" s="291">
        <f t="shared" si="1"/>
        <v>0</v>
      </c>
      <c r="H54" s="292"/>
      <c r="I54" s="291">
        <f>IF(H54&gt;0,($B$7*C66),0)</f>
        <v>0</v>
      </c>
      <c r="J54" s="293"/>
      <c r="K54" s="291">
        <f>IF(J54&gt;0,($B$8*C66),0)</f>
        <v>0</v>
      </c>
      <c r="L54" s="292">
        <v>2</v>
      </c>
      <c r="M54" s="406">
        <f t="shared" si="2"/>
        <v>0</v>
      </c>
      <c r="N54" s="294">
        <v>2</v>
      </c>
      <c r="O54" s="291">
        <f t="shared" si="3"/>
        <v>0</v>
      </c>
      <c r="P54" s="295">
        <v>2</v>
      </c>
      <c r="Q54" s="291">
        <f t="shared" si="4"/>
        <v>0</v>
      </c>
      <c r="R54" s="296">
        <f t="shared" si="5"/>
        <v>0</v>
      </c>
    </row>
    <row r="55" spans="2:18" s="1" customFormat="1" ht="16.5" customHeight="1">
      <c r="B55" s="274" t="s">
        <v>95</v>
      </c>
      <c r="C55" s="141">
        <v>35000</v>
      </c>
      <c r="D55" s="260"/>
      <c r="E55" s="289" t="s">
        <v>82</v>
      </c>
      <c r="F55" s="290">
        <v>7</v>
      </c>
      <c r="G55" s="291">
        <f t="shared" si="1"/>
        <v>0</v>
      </c>
      <c r="H55" s="292"/>
      <c r="I55" s="291">
        <v>6866.67</v>
      </c>
      <c r="J55" s="293"/>
      <c r="K55" s="291">
        <v>5460</v>
      </c>
      <c r="L55" s="292">
        <v>2</v>
      </c>
      <c r="M55" s="406">
        <f t="shared" si="2"/>
        <v>0</v>
      </c>
      <c r="N55" s="294">
        <v>2</v>
      </c>
      <c r="O55" s="291">
        <f t="shared" si="3"/>
        <v>0</v>
      </c>
      <c r="P55" s="295">
        <v>2</v>
      </c>
      <c r="Q55" s="291">
        <f t="shared" si="4"/>
        <v>0</v>
      </c>
      <c r="R55" s="296">
        <f t="shared" si="5"/>
        <v>12326.67</v>
      </c>
    </row>
    <row r="56" spans="2:18" s="1" customFormat="1" ht="16.5" customHeight="1">
      <c r="B56" s="274" t="s">
        <v>94</v>
      </c>
      <c r="C56" s="141">
        <v>5000</v>
      </c>
      <c r="D56" s="260"/>
      <c r="E56" s="289" t="s">
        <v>80</v>
      </c>
      <c r="F56" s="290">
        <v>7</v>
      </c>
      <c r="G56" s="291">
        <f t="shared" si="1"/>
        <v>0</v>
      </c>
      <c r="H56" s="292"/>
      <c r="I56" s="291">
        <f t="shared" ref="I56:I62" si="6">IF(H56&gt;0,($B$7*C68),0)</f>
        <v>0</v>
      </c>
      <c r="J56" s="293"/>
      <c r="K56" s="291">
        <f t="shared" ref="K56:K62" si="7">IF(J56&gt;0,($B$8*C68),0)</f>
        <v>0</v>
      </c>
      <c r="L56" s="292">
        <v>2</v>
      </c>
      <c r="M56" s="406">
        <f t="shared" si="2"/>
        <v>0</v>
      </c>
      <c r="N56" s="294">
        <v>2</v>
      </c>
      <c r="O56" s="291">
        <f t="shared" si="3"/>
        <v>0</v>
      </c>
      <c r="P56" s="295">
        <v>2</v>
      </c>
      <c r="Q56" s="291">
        <f t="shared" si="4"/>
        <v>0</v>
      </c>
      <c r="R56" s="296">
        <f t="shared" si="5"/>
        <v>0</v>
      </c>
    </row>
    <row r="57" spans="2:18" s="1" customFormat="1" ht="16.5" customHeight="1">
      <c r="B57" s="274" t="s">
        <v>93</v>
      </c>
      <c r="C57" s="141">
        <v>175000</v>
      </c>
      <c r="D57" s="260"/>
      <c r="E57" s="289" t="s">
        <v>79</v>
      </c>
      <c r="F57" s="290">
        <v>7</v>
      </c>
      <c r="G57" s="291">
        <f t="shared" si="1"/>
        <v>0</v>
      </c>
      <c r="H57" s="292"/>
      <c r="I57" s="291">
        <f t="shared" si="6"/>
        <v>0</v>
      </c>
      <c r="J57" s="293"/>
      <c r="K57" s="291">
        <f t="shared" si="7"/>
        <v>0</v>
      </c>
      <c r="L57" s="292">
        <v>2</v>
      </c>
      <c r="M57" s="406">
        <f t="shared" si="2"/>
        <v>0</v>
      </c>
      <c r="N57" s="294">
        <v>2</v>
      </c>
      <c r="O57" s="291">
        <f t="shared" si="3"/>
        <v>0</v>
      </c>
      <c r="P57" s="295">
        <v>2</v>
      </c>
      <c r="Q57" s="291">
        <f t="shared" si="4"/>
        <v>0</v>
      </c>
      <c r="R57" s="296">
        <f t="shared" si="5"/>
        <v>0</v>
      </c>
    </row>
    <row r="58" spans="2:18" s="1" customFormat="1" ht="16.5" customHeight="1">
      <c r="B58" s="274" t="s">
        <v>92</v>
      </c>
      <c r="C58" s="141">
        <v>175000</v>
      </c>
      <c r="D58" s="260"/>
      <c r="E58" s="289" t="s">
        <v>78</v>
      </c>
      <c r="F58" s="290">
        <v>7</v>
      </c>
      <c r="G58" s="291">
        <f t="shared" si="1"/>
        <v>0</v>
      </c>
      <c r="H58" s="292"/>
      <c r="I58" s="291">
        <f t="shared" si="6"/>
        <v>0</v>
      </c>
      <c r="J58" s="293"/>
      <c r="K58" s="291">
        <f t="shared" si="7"/>
        <v>0</v>
      </c>
      <c r="L58" s="292">
        <v>2</v>
      </c>
      <c r="M58" s="406">
        <f t="shared" si="2"/>
        <v>0</v>
      </c>
      <c r="N58" s="294">
        <v>2</v>
      </c>
      <c r="O58" s="291">
        <f t="shared" si="3"/>
        <v>0</v>
      </c>
      <c r="P58" s="295">
        <v>2</v>
      </c>
      <c r="Q58" s="291">
        <f t="shared" si="4"/>
        <v>0</v>
      </c>
      <c r="R58" s="296">
        <f t="shared" si="5"/>
        <v>0</v>
      </c>
    </row>
    <row r="59" spans="2:18" s="1" customFormat="1" ht="16.5" customHeight="1">
      <c r="B59" s="274" t="s">
        <v>91</v>
      </c>
      <c r="C59" s="141">
        <v>12000</v>
      </c>
      <c r="D59" s="260"/>
      <c r="E59" s="289" t="s">
        <v>77</v>
      </c>
      <c r="F59" s="290">
        <v>7</v>
      </c>
      <c r="G59" s="291">
        <f t="shared" si="1"/>
        <v>0</v>
      </c>
      <c r="H59" s="292"/>
      <c r="I59" s="291">
        <f t="shared" si="6"/>
        <v>0</v>
      </c>
      <c r="J59" s="293"/>
      <c r="K59" s="291">
        <f t="shared" si="7"/>
        <v>0</v>
      </c>
      <c r="L59" s="292">
        <v>2</v>
      </c>
      <c r="M59" s="406">
        <f t="shared" si="2"/>
        <v>0</v>
      </c>
      <c r="N59" s="294">
        <v>2</v>
      </c>
      <c r="O59" s="291">
        <f t="shared" si="3"/>
        <v>0</v>
      </c>
      <c r="P59" s="295">
        <v>2</v>
      </c>
      <c r="Q59" s="291">
        <f t="shared" si="4"/>
        <v>0</v>
      </c>
      <c r="R59" s="296">
        <f t="shared" si="5"/>
        <v>0</v>
      </c>
    </row>
    <row r="60" spans="2:18" s="1" customFormat="1" ht="16.5" customHeight="1">
      <c r="B60" s="274" t="s">
        <v>90</v>
      </c>
      <c r="C60" s="141">
        <v>25000</v>
      </c>
      <c r="D60" s="260"/>
      <c r="E60" s="289" t="s">
        <v>76</v>
      </c>
      <c r="F60" s="290">
        <v>7</v>
      </c>
      <c r="G60" s="291">
        <f t="shared" si="1"/>
        <v>0</v>
      </c>
      <c r="H60" s="292"/>
      <c r="I60" s="291">
        <f t="shared" si="6"/>
        <v>0</v>
      </c>
      <c r="J60" s="293"/>
      <c r="K60" s="291">
        <f t="shared" si="7"/>
        <v>0</v>
      </c>
      <c r="L60" s="292">
        <v>2</v>
      </c>
      <c r="M60" s="406">
        <f t="shared" si="2"/>
        <v>0</v>
      </c>
      <c r="N60" s="294">
        <v>2</v>
      </c>
      <c r="O60" s="291">
        <f t="shared" si="3"/>
        <v>0</v>
      </c>
      <c r="P60" s="295">
        <v>2</v>
      </c>
      <c r="Q60" s="291">
        <f t="shared" si="4"/>
        <v>0</v>
      </c>
      <c r="R60" s="296">
        <f t="shared" si="5"/>
        <v>0</v>
      </c>
    </row>
    <row r="61" spans="2:18" s="1" customFormat="1" ht="16.5" customHeight="1">
      <c r="B61" s="297" t="s">
        <v>89</v>
      </c>
      <c r="C61" s="298">
        <v>92</v>
      </c>
      <c r="D61" s="260"/>
      <c r="E61" s="289" t="s">
        <v>75</v>
      </c>
      <c r="F61" s="290">
        <v>7</v>
      </c>
      <c r="G61" s="291">
        <f t="shared" si="1"/>
        <v>0</v>
      </c>
      <c r="H61" s="292"/>
      <c r="I61" s="291">
        <f t="shared" si="6"/>
        <v>0</v>
      </c>
      <c r="J61" s="293"/>
      <c r="K61" s="291">
        <f t="shared" si="7"/>
        <v>0</v>
      </c>
      <c r="L61" s="292">
        <v>2</v>
      </c>
      <c r="M61" s="406">
        <f t="shared" si="2"/>
        <v>0</v>
      </c>
      <c r="N61" s="294">
        <v>2</v>
      </c>
      <c r="O61" s="291">
        <f t="shared" si="3"/>
        <v>0</v>
      </c>
      <c r="P61" s="295">
        <v>2</v>
      </c>
      <c r="Q61" s="291">
        <f t="shared" si="4"/>
        <v>0</v>
      </c>
      <c r="R61" s="296">
        <f t="shared" si="5"/>
        <v>0</v>
      </c>
    </row>
    <row r="62" spans="2:18" s="1" customFormat="1" ht="16.5" customHeight="1">
      <c r="B62" s="299" t="s">
        <v>88</v>
      </c>
      <c r="C62" s="300"/>
      <c r="D62" s="260"/>
      <c r="E62" s="289" t="s">
        <v>74</v>
      </c>
      <c r="F62" s="290">
        <v>7</v>
      </c>
      <c r="G62" s="291">
        <f t="shared" si="1"/>
        <v>0</v>
      </c>
      <c r="H62" s="292"/>
      <c r="I62" s="291">
        <f t="shared" si="6"/>
        <v>0</v>
      </c>
      <c r="J62" s="293"/>
      <c r="K62" s="291">
        <f t="shared" si="7"/>
        <v>0</v>
      </c>
      <c r="L62" s="292">
        <v>2</v>
      </c>
      <c r="M62" s="406">
        <f t="shared" si="2"/>
        <v>0</v>
      </c>
      <c r="N62" s="294">
        <v>2</v>
      </c>
      <c r="O62" s="291">
        <f t="shared" si="3"/>
        <v>0</v>
      </c>
      <c r="P62" s="295">
        <v>2</v>
      </c>
      <c r="Q62" s="291">
        <f t="shared" si="4"/>
        <v>0</v>
      </c>
      <c r="R62" s="296">
        <f t="shared" si="5"/>
        <v>0</v>
      </c>
    </row>
    <row r="63" spans="2:18" s="1" customFormat="1" ht="16.5" customHeight="1">
      <c r="B63" s="513" t="s">
        <v>87</v>
      </c>
      <c r="C63" s="514">
        <v>1</v>
      </c>
      <c r="D63" s="260"/>
      <c r="E63" s="303"/>
      <c r="F63" s="304"/>
      <c r="G63" s="305"/>
      <c r="H63" s="306"/>
      <c r="I63" s="307"/>
      <c r="J63" s="308"/>
      <c r="K63" s="307"/>
      <c r="L63" s="306"/>
      <c r="M63" s="409"/>
      <c r="N63" s="304"/>
      <c r="O63" s="305"/>
      <c r="P63" s="306"/>
      <c r="Q63" s="307"/>
      <c r="R63" s="309"/>
    </row>
    <row r="64" spans="2:18" s="1" customFormat="1" ht="16.5" customHeight="1" thickBot="1">
      <c r="B64" s="513" t="s">
        <v>86</v>
      </c>
      <c r="C64" s="513">
        <f t="shared" ref="C64:C74" si="8">SUM(C63+(C63*$B$5))</f>
        <v>1</v>
      </c>
      <c r="D64" s="260"/>
      <c r="E64" s="310" t="s">
        <v>85</v>
      </c>
      <c r="F64" s="311"/>
      <c r="G64" s="312">
        <f>SUM(G51:G62)</f>
        <v>0</v>
      </c>
      <c r="H64" s="313"/>
      <c r="I64" s="312">
        <f>SUM(I51:I62)</f>
        <v>6866.67</v>
      </c>
      <c r="J64" s="314"/>
      <c r="K64" s="312">
        <f>SUM(K51:K62)</f>
        <v>5460</v>
      </c>
      <c r="L64" s="313"/>
      <c r="M64" s="410">
        <f>SUM(M51:M62)</f>
        <v>0</v>
      </c>
      <c r="N64" s="315"/>
      <c r="O64" s="312">
        <f>SUM(O51:O62)</f>
        <v>0</v>
      </c>
      <c r="P64" s="313"/>
      <c r="Q64" s="312">
        <f>SUM(Q51:Q62)</f>
        <v>0</v>
      </c>
      <c r="R64" s="316">
        <f>SUM(R51:R62)</f>
        <v>12326.67</v>
      </c>
    </row>
    <row r="65" spans="2:18" s="1" customFormat="1" ht="16.5" customHeight="1" thickTop="1" thickBot="1">
      <c r="B65" s="513" t="s">
        <v>84</v>
      </c>
      <c r="C65" s="513">
        <f t="shared" si="8"/>
        <v>1</v>
      </c>
      <c r="D65" s="269"/>
      <c r="E65" s="317"/>
      <c r="F65" s="318"/>
      <c r="G65" s="319"/>
      <c r="H65" s="320"/>
      <c r="I65" s="319"/>
      <c r="J65" s="321"/>
      <c r="K65" s="319"/>
      <c r="L65" s="320"/>
      <c r="M65" s="411"/>
      <c r="N65" s="318"/>
      <c r="O65" s="322"/>
      <c r="P65" s="320"/>
      <c r="Q65" s="319"/>
      <c r="R65" s="323"/>
    </row>
    <row r="66" spans="2:18" s="1" customFormat="1" ht="16.5" customHeight="1">
      <c r="B66" s="513" t="s">
        <v>83</v>
      </c>
      <c r="C66" s="515">
        <f t="shared" si="8"/>
        <v>1</v>
      </c>
      <c r="D66" s="269"/>
      <c r="E66" s="269"/>
      <c r="F66" s="325"/>
      <c r="G66" s="269"/>
      <c r="H66" s="326"/>
      <c r="I66" s="269"/>
      <c r="J66" s="327"/>
      <c r="K66" s="269"/>
      <c r="L66" s="326"/>
      <c r="M66" s="412"/>
      <c r="N66" s="325"/>
      <c r="O66" s="269"/>
      <c r="P66" s="326"/>
      <c r="Q66" s="269"/>
      <c r="R66" s="269"/>
    </row>
    <row r="67" spans="2:18" s="1" customFormat="1" ht="16.5" customHeight="1">
      <c r="B67" s="513" t="s">
        <v>82</v>
      </c>
      <c r="C67" s="515">
        <f t="shared" si="8"/>
        <v>1</v>
      </c>
      <c r="D67" s="269"/>
      <c r="E67" s="269" t="s">
        <v>81</v>
      </c>
      <c r="F67" s="325"/>
      <c r="G67" s="269"/>
      <c r="H67" s="326"/>
      <c r="I67" s="269"/>
      <c r="J67" s="327"/>
      <c r="K67" s="269"/>
      <c r="L67" s="326"/>
      <c r="M67" s="412"/>
      <c r="N67" s="325"/>
      <c r="O67" s="269"/>
      <c r="P67" s="326"/>
      <c r="Q67" s="269"/>
      <c r="R67" s="269"/>
    </row>
    <row r="68" spans="2:18" s="1" customFormat="1" ht="16.5" customHeight="1">
      <c r="B68" s="513" t="s">
        <v>80</v>
      </c>
      <c r="C68" s="515">
        <f t="shared" si="8"/>
        <v>1</v>
      </c>
      <c r="D68" s="269"/>
      <c r="E68" s="269"/>
      <c r="F68" s="325"/>
      <c r="G68" s="269"/>
      <c r="H68" s="326"/>
      <c r="I68" s="269"/>
      <c r="J68" s="327"/>
      <c r="K68" s="269"/>
      <c r="L68" s="326"/>
      <c r="M68" s="412"/>
      <c r="N68" s="325"/>
      <c r="O68" s="269"/>
      <c r="P68" s="326"/>
      <c r="Q68" s="269"/>
      <c r="R68" s="269"/>
    </row>
    <row r="69" spans="2:18" s="1" customFormat="1" ht="16.5" customHeight="1">
      <c r="B69" s="513" t="s">
        <v>79</v>
      </c>
      <c r="C69" s="515">
        <f t="shared" si="8"/>
        <v>1</v>
      </c>
      <c r="D69" s="269"/>
      <c r="E69" s="413" t="s">
        <v>291</v>
      </c>
      <c r="F69" s="414"/>
      <c r="G69" s="415"/>
      <c r="H69" s="416"/>
      <c r="I69" s="413"/>
      <c r="J69" s="417"/>
      <c r="K69" s="413"/>
      <c r="L69" s="417"/>
      <c r="M69" s="413"/>
      <c r="N69" s="417"/>
      <c r="O69" s="413"/>
      <c r="P69" s="326"/>
      <c r="Q69" s="269"/>
      <c r="R69" s="269"/>
    </row>
    <row r="70" spans="2:18" s="1" customFormat="1" ht="16.5" customHeight="1">
      <c r="B70" s="513" t="s">
        <v>78</v>
      </c>
      <c r="C70" s="515">
        <f t="shared" si="8"/>
        <v>1</v>
      </c>
      <c r="D70" s="269"/>
      <c r="E70" s="418" t="s">
        <v>292</v>
      </c>
      <c r="F70" s="419"/>
      <c r="G70" s="418"/>
      <c r="H70" s="420"/>
      <c r="I70" s="269"/>
      <c r="J70" s="326"/>
      <c r="K70" s="269"/>
      <c r="L70" s="326"/>
      <c r="M70" s="269"/>
      <c r="N70" s="326"/>
      <c r="O70" s="269"/>
      <c r="P70" s="326"/>
      <c r="Q70" s="269"/>
      <c r="R70" s="269"/>
    </row>
    <row r="71" spans="2:18" s="1" customFormat="1" ht="16.5" customHeight="1">
      <c r="B71" s="513" t="s">
        <v>77</v>
      </c>
      <c r="C71" s="515">
        <f t="shared" si="8"/>
        <v>1</v>
      </c>
      <c r="D71" s="269"/>
      <c r="E71" s="269"/>
      <c r="F71" s="325"/>
      <c r="G71" s="269"/>
      <c r="H71" s="326"/>
      <c r="I71" s="269"/>
      <c r="J71" s="327"/>
      <c r="K71" s="269"/>
      <c r="L71" s="326"/>
      <c r="M71" s="412"/>
      <c r="N71" s="325"/>
      <c r="O71" s="269"/>
      <c r="P71" s="326"/>
      <c r="Q71" s="269"/>
      <c r="R71" s="269"/>
    </row>
    <row r="72" spans="2:18" s="1" customFormat="1" ht="16.5" customHeight="1">
      <c r="B72" s="513" t="s">
        <v>76</v>
      </c>
      <c r="C72" s="515">
        <f t="shared" si="8"/>
        <v>1</v>
      </c>
      <c r="D72" s="269"/>
      <c r="E72" s="269"/>
      <c r="F72" s="325"/>
      <c r="G72" s="269"/>
      <c r="H72" s="326"/>
      <c r="I72" s="269"/>
      <c r="J72" s="327"/>
      <c r="K72" s="269"/>
      <c r="L72" s="326"/>
      <c r="M72" s="412"/>
      <c r="N72" s="325"/>
      <c r="O72" s="269"/>
      <c r="P72" s="326"/>
      <c r="Q72" s="269"/>
      <c r="R72" s="269"/>
    </row>
    <row r="73" spans="2:18" s="1" customFormat="1" ht="16.5" customHeight="1">
      <c r="B73" s="513" t="s">
        <v>75</v>
      </c>
      <c r="C73" s="515">
        <f t="shared" si="8"/>
        <v>1</v>
      </c>
      <c r="D73" s="269"/>
      <c r="E73" s="269"/>
      <c r="F73" s="325"/>
      <c r="G73" s="269"/>
      <c r="H73" s="326"/>
      <c r="I73" s="269"/>
      <c r="J73" s="327"/>
      <c r="K73" s="269"/>
      <c r="L73" s="326"/>
      <c r="M73" s="412"/>
      <c r="N73" s="325"/>
      <c r="O73" s="269"/>
      <c r="P73" s="326"/>
      <c r="Q73" s="269"/>
      <c r="R73" s="269"/>
    </row>
    <row r="74" spans="2:18" s="1" customFormat="1" ht="16.5" customHeight="1">
      <c r="B74" s="513" t="s">
        <v>74</v>
      </c>
      <c r="C74" s="515">
        <f t="shared" si="8"/>
        <v>1</v>
      </c>
      <c r="D74" s="269"/>
      <c r="E74" s="269"/>
      <c r="F74" s="325"/>
      <c r="G74" s="269"/>
      <c r="H74" s="326"/>
      <c r="I74" s="269"/>
      <c r="J74" s="327"/>
      <c r="K74" s="269"/>
      <c r="L74" s="326"/>
      <c r="M74" s="412"/>
      <c r="N74" s="325"/>
      <c r="O74" s="269"/>
      <c r="P74" s="326"/>
      <c r="Q74" s="269"/>
      <c r="R74" s="269"/>
    </row>
    <row r="76" spans="2:18" s="1" customFormat="1" ht="16.5" customHeight="1">
      <c r="B76" s="268"/>
      <c r="C76" s="268"/>
      <c r="D76" s="269"/>
      <c r="E76" s="270" t="s">
        <v>118</v>
      </c>
      <c r="F76" s="270"/>
      <c r="G76" s="270"/>
      <c r="H76" s="270"/>
      <c r="I76" s="270"/>
      <c r="J76" s="270"/>
      <c r="K76" s="270"/>
      <c r="L76" s="270"/>
      <c r="M76" s="270"/>
      <c r="N76" s="270"/>
      <c r="O76" s="270"/>
      <c r="P76" s="270"/>
      <c r="Q76" s="270"/>
      <c r="R76" s="270"/>
    </row>
    <row r="77" spans="2:18" s="1" customFormat="1" ht="16.5" customHeight="1">
      <c r="B77" s="271" t="s">
        <v>1378</v>
      </c>
      <c r="C77" s="272" t="s">
        <v>1379</v>
      </c>
      <c r="D77" s="269"/>
      <c r="E77" s="273" t="s">
        <v>1814</v>
      </c>
      <c r="F77" s="273"/>
      <c r="G77" s="273"/>
      <c r="H77" s="273"/>
      <c r="I77" s="273"/>
      <c r="J77" s="273"/>
      <c r="K77" s="273"/>
      <c r="L77" s="273"/>
      <c r="M77" s="273"/>
      <c r="N77" s="273"/>
      <c r="O77" s="273"/>
      <c r="P77" s="273"/>
      <c r="Q77" s="273"/>
      <c r="R77" s="273"/>
    </row>
    <row r="78" spans="2:18" s="1" customFormat="1" ht="16.5" customHeight="1">
      <c r="B78" s="274" t="s">
        <v>115</v>
      </c>
      <c r="C78" s="275" t="s">
        <v>289</v>
      </c>
      <c r="D78" s="269"/>
      <c r="E78" s="270" t="s">
        <v>119</v>
      </c>
      <c r="F78" s="270"/>
      <c r="G78" s="270"/>
      <c r="H78" s="270"/>
      <c r="I78" s="270"/>
      <c r="J78" s="270"/>
      <c r="K78" s="270"/>
      <c r="L78" s="270"/>
      <c r="M78" s="270"/>
      <c r="N78" s="270"/>
      <c r="O78" s="270"/>
      <c r="P78" s="270"/>
      <c r="Q78" s="270"/>
      <c r="R78" s="270"/>
    </row>
    <row r="79" spans="2:18" s="1" customFormat="1" ht="16.5" customHeight="1" thickBot="1">
      <c r="B79" s="274" t="s">
        <v>112</v>
      </c>
      <c r="C79" s="276">
        <v>133494</v>
      </c>
      <c r="D79" s="268"/>
      <c r="E79" s="330" t="s">
        <v>1562</v>
      </c>
      <c r="F79" s="330"/>
      <c r="G79" s="330"/>
      <c r="H79" s="330"/>
      <c r="I79" s="330"/>
      <c r="J79" s="330"/>
      <c r="K79" s="330"/>
      <c r="L79" s="330"/>
      <c r="M79" s="330"/>
      <c r="N79" s="330"/>
      <c r="O79" s="330"/>
      <c r="P79" s="330"/>
      <c r="Q79" s="330"/>
      <c r="R79" s="330"/>
    </row>
    <row r="80" spans="2:18" s="1" customFormat="1" ht="16.5" customHeight="1">
      <c r="B80" s="274" t="s">
        <v>110</v>
      </c>
      <c r="C80" s="277"/>
      <c r="D80" s="260"/>
      <c r="E80" s="278" t="s">
        <v>109</v>
      </c>
      <c r="F80" s="279" t="s">
        <v>108</v>
      </c>
      <c r="G80" s="280"/>
      <c r="H80" s="279" t="s">
        <v>107</v>
      </c>
      <c r="I80" s="280"/>
      <c r="J80" s="279" t="s">
        <v>106</v>
      </c>
      <c r="K80" s="280"/>
      <c r="L80" s="279" t="s">
        <v>105</v>
      </c>
      <c r="M80" s="280"/>
      <c r="N80" s="279" t="s">
        <v>96</v>
      </c>
      <c r="O80" s="280"/>
      <c r="P80" s="279" t="s">
        <v>104</v>
      </c>
      <c r="Q80" s="280"/>
      <c r="R80" s="281" t="s">
        <v>103</v>
      </c>
    </row>
    <row r="81" spans="2:18" s="1" customFormat="1" ht="16.5" customHeight="1">
      <c r="B81" s="274" t="s">
        <v>102</v>
      </c>
      <c r="C81" s="549">
        <v>160</v>
      </c>
      <c r="D81" s="260"/>
      <c r="E81" s="289"/>
      <c r="F81" s="285" t="s">
        <v>101</v>
      </c>
      <c r="G81" s="331" t="s">
        <v>100</v>
      </c>
      <c r="H81" s="285" t="s">
        <v>101</v>
      </c>
      <c r="I81" s="331" t="s">
        <v>100</v>
      </c>
      <c r="J81" s="285" t="s">
        <v>101</v>
      </c>
      <c r="K81" s="331" t="s">
        <v>100</v>
      </c>
      <c r="L81" s="285" t="s">
        <v>101</v>
      </c>
      <c r="M81" s="331" t="s">
        <v>100</v>
      </c>
      <c r="N81" s="285" t="s">
        <v>101</v>
      </c>
      <c r="O81" s="331" t="s">
        <v>100</v>
      </c>
      <c r="P81" s="287" t="s">
        <v>101</v>
      </c>
      <c r="Q81" s="331" t="s">
        <v>100</v>
      </c>
      <c r="R81" s="289"/>
    </row>
    <row r="82" spans="2:18" s="1" customFormat="1" ht="16.5" customHeight="1">
      <c r="B82" s="274" t="s">
        <v>107</v>
      </c>
      <c r="C82" s="288">
        <v>6867</v>
      </c>
      <c r="D82" s="260"/>
      <c r="E82" s="289" t="s">
        <v>87</v>
      </c>
      <c r="F82" s="290">
        <v>8</v>
      </c>
      <c r="G82" s="291">
        <f t="shared" ref="G82:G93" si="9">SUM($B$6*F82)*C94</f>
        <v>0</v>
      </c>
      <c r="H82" s="292"/>
      <c r="I82" s="291"/>
      <c r="J82" s="293"/>
      <c r="K82" s="291"/>
      <c r="L82" s="292">
        <v>1</v>
      </c>
      <c r="M82" s="406">
        <f t="shared" ref="M82:M93" si="10">IF(L82&gt;0,($B$9*L82),0)</f>
        <v>0</v>
      </c>
      <c r="N82" s="290">
        <v>1</v>
      </c>
      <c r="O82" s="291">
        <f t="shared" ref="O82:O93" si="11">IF(N82&gt;0,($B$10*N82),0)</f>
        <v>0</v>
      </c>
      <c r="P82" s="295">
        <v>1</v>
      </c>
      <c r="Q82" s="291">
        <f t="shared" ref="Q82:Q93" si="12">SUM(P82*$B$17)*C94</f>
        <v>0</v>
      </c>
      <c r="R82" s="296">
        <f t="shared" ref="R82:R93" si="13">SUM(Q82+O82+M82+K82+I82+G82)</f>
        <v>0</v>
      </c>
    </row>
    <row r="83" spans="2:18" s="1" customFormat="1" ht="16.5" customHeight="1">
      <c r="B83" s="274" t="s">
        <v>121</v>
      </c>
      <c r="C83" s="288">
        <v>5460</v>
      </c>
      <c r="D83" s="260"/>
      <c r="E83" s="289" t="s">
        <v>86</v>
      </c>
      <c r="F83" s="290">
        <v>7</v>
      </c>
      <c r="G83" s="291">
        <f t="shared" si="9"/>
        <v>0</v>
      </c>
      <c r="H83" s="292"/>
      <c r="I83" s="291"/>
      <c r="J83" s="293"/>
      <c r="K83" s="291"/>
      <c r="L83" s="469">
        <v>2</v>
      </c>
      <c r="M83" s="406">
        <f t="shared" si="10"/>
        <v>0</v>
      </c>
      <c r="N83" s="294">
        <v>1</v>
      </c>
      <c r="O83" s="291">
        <f t="shared" si="11"/>
        <v>0</v>
      </c>
      <c r="P83" s="295">
        <v>2</v>
      </c>
      <c r="Q83" s="291">
        <f t="shared" si="12"/>
        <v>0</v>
      </c>
      <c r="R83" s="296">
        <f t="shared" si="13"/>
        <v>0</v>
      </c>
    </row>
    <row r="84" spans="2:18" s="1" customFormat="1" ht="16.5" customHeight="1">
      <c r="B84" s="407" t="s">
        <v>122</v>
      </c>
      <c r="C84" s="288">
        <v>324</v>
      </c>
      <c r="D84" s="260"/>
      <c r="E84" s="289" t="s">
        <v>84</v>
      </c>
      <c r="F84" s="290"/>
      <c r="G84" s="291">
        <f t="shared" si="9"/>
        <v>0</v>
      </c>
      <c r="H84" s="292"/>
      <c r="I84" s="291"/>
      <c r="J84" s="293"/>
      <c r="K84" s="291"/>
      <c r="L84" s="292"/>
      <c r="M84" s="406">
        <f t="shared" si="10"/>
        <v>0</v>
      </c>
      <c r="N84" s="294"/>
      <c r="O84" s="291">
        <f t="shared" si="11"/>
        <v>0</v>
      </c>
      <c r="P84" s="295"/>
      <c r="Q84" s="291">
        <f t="shared" si="12"/>
        <v>0</v>
      </c>
      <c r="R84" s="296">
        <f t="shared" si="13"/>
        <v>0</v>
      </c>
    </row>
    <row r="85" spans="2:18" s="1" customFormat="1" ht="16.5" customHeight="1">
      <c r="B85" s="408" t="s">
        <v>123</v>
      </c>
      <c r="C85" s="288">
        <v>1050</v>
      </c>
      <c r="D85" s="260"/>
      <c r="E85" s="289" t="s">
        <v>83</v>
      </c>
      <c r="F85" s="290"/>
      <c r="G85" s="291">
        <f t="shared" si="9"/>
        <v>0</v>
      </c>
      <c r="H85" s="292"/>
      <c r="I85" s="291"/>
      <c r="J85" s="293"/>
      <c r="K85" s="291"/>
      <c r="L85" s="292"/>
      <c r="M85" s="406">
        <f t="shared" si="10"/>
        <v>0</v>
      </c>
      <c r="N85" s="294"/>
      <c r="O85" s="291">
        <f t="shared" si="11"/>
        <v>0</v>
      </c>
      <c r="P85" s="295"/>
      <c r="Q85" s="291">
        <f t="shared" si="12"/>
        <v>0</v>
      </c>
      <c r="R85" s="296">
        <f t="shared" si="13"/>
        <v>0</v>
      </c>
    </row>
    <row r="86" spans="2:18" s="1" customFormat="1" ht="16.5" customHeight="1">
      <c r="B86" s="274" t="s">
        <v>95</v>
      </c>
      <c r="C86" s="563">
        <v>35000</v>
      </c>
      <c r="D86" s="260"/>
      <c r="E86" s="289" t="s">
        <v>82</v>
      </c>
      <c r="F86" s="290"/>
      <c r="G86" s="291">
        <f t="shared" si="9"/>
        <v>0</v>
      </c>
      <c r="H86" s="292"/>
      <c r="I86" s="291"/>
      <c r="J86" s="293"/>
      <c r="K86" s="291"/>
      <c r="L86" s="292"/>
      <c r="M86" s="406">
        <f t="shared" si="10"/>
        <v>0</v>
      </c>
      <c r="N86" s="294"/>
      <c r="O86" s="291">
        <f t="shared" si="11"/>
        <v>0</v>
      </c>
      <c r="P86" s="295"/>
      <c r="Q86" s="291">
        <f t="shared" si="12"/>
        <v>0</v>
      </c>
      <c r="R86" s="296">
        <f t="shared" si="13"/>
        <v>0</v>
      </c>
    </row>
    <row r="87" spans="2:18" s="1" customFormat="1" ht="16.5" customHeight="1">
      <c r="B87" s="274" t="s">
        <v>94</v>
      </c>
      <c r="C87" s="563">
        <v>5000</v>
      </c>
      <c r="D87" s="260"/>
      <c r="E87" s="289" t="s">
        <v>80</v>
      </c>
      <c r="F87" s="290"/>
      <c r="G87" s="291">
        <f t="shared" si="9"/>
        <v>0</v>
      </c>
      <c r="H87" s="292"/>
      <c r="I87" s="291"/>
      <c r="J87" s="293"/>
      <c r="K87" s="291"/>
      <c r="L87" s="292"/>
      <c r="M87" s="406">
        <f t="shared" si="10"/>
        <v>0</v>
      </c>
      <c r="N87" s="294"/>
      <c r="O87" s="291">
        <f t="shared" si="11"/>
        <v>0</v>
      </c>
      <c r="P87" s="295"/>
      <c r="Q87" s="291">
        <f t="shared" si="12"/>
        <v>0</v>
      </c>
      <c r="R87" s="296">
        <f t="shared" si="13"/>
        <v>0</v>
      </c>
    </row>
    <row r="88" spans="2:18" s="1" customFormat="1" ht="16.5" customHeight="1">
      <c r="B88" s="274" t="s">
        <v>93</v>
      </c>
      <c r="C88" s="563">
        <v>175000</v>
      </c>
      <c r="D88" s="260"/>
      <c r="E88" s="289" t="s">
        <v>79</v>
      </c>
      <c r="F88" s="290"/>
      <c r="G88" s="291">
        <f t="shared" si="9"/>
        <v>0</v>
      </c>
      <c r="H88" s="292"/>
      <c r="I88" s="291"/>
      <c r="J88" s="293"/>
      <c r="K88" s="291"/>
      <c r="L88" s="292"/>
      <c r="M88" s="406">
        <f t="shared" si="10"/>
        <v>0</v>
      </c>
      <c r="N88" s="294"/>
      <c r="O88" s="291">
        <f t="shared" si="11"/>
        <v>0</v>
      </c>
      <c r="P88" s="295"/>
      <c r="Q88" s="291">
        <f t="shared" si="12"/>
        <v>0</v>
      </c>
      <c r="R88" s="296">
        <f t="shared" si="13"/>
        <v>0</v>
      </c>
    </row>
    <row r="89" spans="2:18" s="1" customFormat="1" ht="16.5" customHeight="1">
      <c r="B89" s="274" t="s">
        <v>92</v>
      </c>
      <c r="C89" s="563">
        <v>175000</v>
      </c>
      <c r="D89" s="260"/>
      <c r="E89" s="289" t="s">
        <v>78</v>
      </c>
      <c r="F89" s="290"/>
      <c r="G89" s="291">
        <f t="shared" si="9"/>
        <v>0</v>
      </c>
      <c r="H89" s="292"/>
      <c r="I89" s="291"/>
      <c r="J89" s="293"/>
      <c r="K89" s="291"/>
      <c r="L89" s="292"/>
      <c r="M89" s="406">
        <f t="shared" si="10"/>
        <v>0</v>
      </c>
      <c r="N89" s="294"/>
      <c r="O89" s="291">
        <f t="shared" si="11"/>
        <v>0</v>
      </c>
      <c r="P89" s="295"/>
      <c r="Q89" s="291">
        <f t="shared" si="12"/>
        <v>0</v>
      </c>
      <c r="R89" s="296">
        <f t="shared" si="13"/>
        <v>0</v>
      </c>
    </row>
    <row r="90" spans="2:18" s="1" customFormat="1" ht="16.5" customHeight="1">
      <c r="B90" s="274" t="s">
        <v>91</v>
      </c>
      <c r="C90" s="563">
        <v>12000</v>
      </c>
      <c r="D90" s="260"/>
      <c r="E90" s="289" t="s">
        <v>77</v>
      </c>
      <c r="F90" s="290"/>
      <c r="G90" s="291">
        <f t="shared" si="9"/>
        <v>0</v>
      </c>
      <c r="H90" s="292"/>
      <c r="I90" s="291"/>
      <c r="J90" s="293"/>
      <c r="K90" s="291"/>
      <c r="L90" s="292"/>
      <c r="M90" s="406">
        <f t="shared" si="10"/>
        <v>0</v>
      </c>
      <c r="N90" s="294"/>
      <c r="O90" s="291">
        <f t="shared" si="11"/>
        <v>0</v>
      </c>
      <c r="P90" s="295"/>
      <c r="Q90" s="291">
        <f t="shared" si="12"/>
        <v>0</v>
      </c>
      <c r="R90" s="296">
        <f t="shared" si="13"/>
        <v>0</v>
      </c>
    </row>
    <row r="91" spans="2:18" s="1" customFormat="1" ht="16.5" customHeight="1">
      <c r="B91" s="274" t="s">
        <v>90</v>
      </c>
      <c r="C91" s="563">
        <v>25000</v>
      </c>
      <c r="D91" s="260"/>
      <c r="E91" s="289" t="s">
        <v>76</v>
      </c>
      <c r="F91" s="290"/>
      <c r="G91" s="291">
        <f t="shared" si="9"/>
        <v>0</v>
      </c>
      <c r="H91" s="292"/>
      <c r="I91" s="291"/>
      <c r="J91" s="293"/>
      <c r="K91" s="291"/>
      <c r="L91" s="292"/>
      <c r="M91" s="406">
        <f t="shared" si="10"/>
        <v>0</v>
      </c>
      <c r="N91" s="294"/>
      <c r="O91" s="291">
        <f t="shared" si="11"/>
        <v>0</v>
      </c>
      <c r="P91" s="295"/>
      <c r="Q91" s="291">
        <f t="shared" si="12"/>
        <v>0</v>
      </c>
      <c r="R91" s="296">
        <f t="shared" si="13"/>
        <v>0</v>
      </c>
    </row>
    <row r="92" spans="2:18" s="1" customFormat="1" ht="16.5" customHeight="1">
      <c r="B92" s="297" t="s">
        <v>89</v>
      </c>
      <c r="C92" s="298">
        <v>92</v>
      </c>
      <c r="D92" s="260"/>
      <c r="E92" s="289" t="s">
        <v>75</v>
      </c>
      <c r="F92" s="290"/>
      <c r="G92" s="291">
        <f t="shared" si="9"/>
        <v>0</v>
      </c>
      <c r="H92" s="292"/>
      <c r="I92" s="291"/>
      <c r="J92" s="293"/>
      <c r="K92" s="291"/>
      <c r="L92" s="292"/>
      <c r="M92" s="406">
        <f t="shared" si="10"/>
        <v>0</v>
      </c>
      <c r="N92" s="294"/>
      <c r="O92" s="291">
        <f t="shared" si="11"/>
        <v>0</v>
      </c>
      <c r="P92" s="295"/>
      <c r="Q92" s="291">
        <f t="shared" si="12"/>
        <v>0</v>
      </c>
      <c r="R92" s="296">
        <f t="shared" si="13"/>
        <v>0</v>
      </c>
    </row>
    <row r="93" spans="2:18" s="1" customFormat="1" ht="16.5" customHeight="1">
      <c r="B93" s="299" t="s">
        <v>88</v>
      </c>
      <c r="C93" s="300"/>
      <c r="D93" s="260"/>
      <c r="E93" s="289" t="s">
        <v>74</v>
      </c>
      <c r="F93" s="290"/>
      <c r="G93" s="291">
        <f t="shared" si="9"/>
        <v>0</v>
      </c>
      <c r="H93" s="292"/>
      <c r="I93" s="291"/>
      <c r="J93" s="293"/>
      <c r="K93" s="291"/>
      <c r="L93" s="292"/>
      <c r="M93" s="406">
        <f t="shared" si="10"/>
        <v>0</v>
      </c>
      <c r="N93" s="294"/>
      <c r="O93" s="291">
        <f t="shared" si="11"/>
        <v>0</v>
      </c>
      <c r="P93" s="295"/>
      <c r="Q93" s="291">
        <f t="shared" si="12"/>
        <v>0</v>
      </c>
      <c r="R93" s="296">
        <f t="shared" si="13"/>
        <v>0</v>
      </c>
    </row>
    <row r="94" spans="2:18" s="1" customFormat="1" ht="16.5" customHeight="1">
      <c r="B94" s="421" t="s">
        <v>87</v>
      </c>
      <c r="C94" s="422">
        <v>1</v>
      </c>
      <c r="D94" s="260"/>
      <c r="E94" s="303"/>
      <c r="F94" s="304"/>
      <c r="G94" s="305"/>
      <c r="H94" s="306"/>
      <c r="I94" s="307"/>
      <c r="J94" s="308"/>
      <c r="K94" s="307"/>
      <c r="L94" s="306"/>
      <c r="M94" s="307"/>
      <c r="N94" s="304"/>
      <c r="O94" s="307"/>
      <c r="P94" s="306"/>
      <c r="Q94" s="307"/>
      <c r="R94" s="309"/>
    </row>
    <row r="95" spans="2:18" s="1" customFormat="1" ht="16.5" customHeight="1" thickBot="1">
      <c r="B95" s="421" t="s">
        <v>86</v>
      </c>
      <c r="C95" s="421">
        <f t="shared" ref="C95:C105" si="14">SUM(C94+(C94*$B$5))</f>
        <v>1</v>
      </c>
      <c r="D95" s="260"/>
      <c r="E95" s="310" t="s">
        <v>85</v>
      </c>
      <c r="F95" s="311"/>
      <c r="G95" s="312">
        <f>SUM(G82:G93)</f>
        <v>0</v>
      </c>
      <c r="H95" s="313"/>
      <c r="I95" s="312">
        <f>SUM(I82:I93)</f>
        <v>0</v>
      </c>
      <c r="J95" s="314"/>
      <c r="K95" s="312">
        <f>SUM(K82:K93)</f>
        <v>0</v>
      </c>
      <c r="L95" s="313"/>
      <c r="M95" s="312">
        <f>SUM(M82:M93)</f>
        <v>0</v>
      </c>
      <c r="N95" s="315"/>
      <c r="O95" s="312">
        <f>SUM(O82:O93)</f>
        <v>0</v>
      </c>
      <c r="P95" s="313"/>
      <c r="Q95" s="312">
        <f>SUM(Q82:Q93)</f>
        <v>0</v>
      </c>
      <c r="R95" s="316">
        <f>SUM(R82:R93)</f>
        <v>0</v>
      </c>
    </row>
    <row r="96" spans="2:18" s="1" customFormat="1" ht="16.5" customHeight="1" thickTop="1" thickBot="1">
      <c r="B96" s="421" t="s">
        <v>84</v>
      </c>
      <c r="C96" s="421">
        <f t="shared" si="14"/>
        <v>1</v>
      </c>
      <c r="D96" s="269"/>
      <c r="E96" s="317"/>
      <c r="F96" s="318"/>
      <c r="G96" s="319"/>
      <c r="H96" s="320"/>
      <c r="I96" s="319"/>
      <c r="J96" s="321"/>
      <c r="K96" s="319"/>
      <c r="L96" s="320"/>
      <c r="M96" s="319"/>
      <c r="N96" s="318"/>
      <c r="O96" s="319"/>
      <c r="P96" s="320"/>
      <c r="Q96" s="319"/>
      <c r="R96" s="323"/>
    </row>
    <row r="97" spans="2:18" s="1" customFormat="1" ht="16.5" customHeight="1">
      <c r="B97" s="421" t="s">
        <v>83</v>
      </c>
      <c r="C97" s="423">
        <f t="shared" si="14"/>
        <v>1</v>
      </c>
      <c r="D97" s="269"/>
      <c r="E97" s="269"/>
      <c r="F97" s="335"/>
      <c r="G97" s="269"/>
      <c r="H97" s="326"/>
      <c r="I97" s="269"/>
      <c r="J97" s="326"/>
      <c r="K97" s="269"/>
      <c r="L97" s="326"/>
      <c r="M97" s="269"/>
      <c r="N97" s="326"/>
      <c r="O97" s="269"/>
      <c r="P97" s="326"/>
      <c r="Q97" s="269"/>
      <c r="R97" s="269"/>
    </row>
    <row r="98" spans="2:18" s="1" customFormat="1" ht="16.5" customHeight="1">
      <c r="B98" s="421" t="s">
        <v>82</v>
      </c>
      <c r="C98" s="423">
        <f t="shared" si="14"/>
        <v>1</v>
      </c>
      <c r="D98" s="269"/>
      <c r="E98" s="269" t="s">
        <v>124</v>
      </c>
      <c r="F98" s="335"/>
      <c r="G98" s="269"/>
      <c r="H98" s="326"/>
      <c r="I98" s="269"/>
      <c r="J98" s="326"/>
      <c r="K98" s="269"/>
      <c r="L98" s="326"/>
      <c r="M98" s="269"/>
      <c r="N98" s="326"/>
      <c r="O98" s="269"/>
      <c r="P98" s="326"/>
      <c r="Q98" s="269"/>
      <c r="R98" s="269"/>
    </row>
    <row r="99" spans="2:18" s="1" customFormat="1" ht="16.5" customHeight="1">
      <c r="B99" s="421" t="s">
        <v>80</v>
      </c>
      <c r="C99" s="423">
        <f t="shared" si="14"/>
        <v>1</v>
      </c>
      <c r="D99" s="269"/>
      <c r="E99" s="269"/>
      <c r="F99" s="335"/>
      <c r="G99" s="269"/>
      <c r="H99" s="326"/>
      <c r="I99" s="269"/>
      <c r="J99" s="326"/>
      <c r="K99" s="269"/>
      <c r="L99" s="326"/>
      <c r="M99" s="269"/>
      <c r="N99" s="326"/>
      <c r="O99" s="269"/>
      <c r="P99" s="326"/>
      <c r="Q99" s="269"/>
      <c r="R99" s="269"/>
    </row>
    <row r="100" spans="2:18" s="1" customFormat="1" ht="16.5" customHeight="1">
      <c r="B100" s="421" t="s">
        <v>79</v>
      </c>
      <c r="C100" s="423">
        <f t="shared" si="14"/>
        <v>1</v>
      </c>
      <c r="D100" s="269"/>
      <c r="E100" s="413" t="s">
        <v>291</v>
      </c>
      <c r="F100" s="414"/>
      <c r="G100" s="415"/>
      <c r="H100" s="416"/>
      <c r="I100" s="413"/>
      <c r="J100" s="417"/>
      <c r="K100" s="413"/>
      <c r="L100" s="417"/>
      <c r="M100" s="413"/>
      <c r="N100" s="417"/>
      <c r="O100" s="413"/>
      <c r="P100" s="326"/>
      <c r="Q100" s="269"/>
      <c r="R100" s="269"/>
    </row>
    <row r="101" spans="2:18" s="1" customFormat="1" ht="16.5" customHeight="1">
      <c r="B101" s="421" t="s">
        <v>78</v>
      </c>
      <c r="C101" s="423">
        <f t="shared" si="14"/>
        <v>1</v>
      </c>
      <c r="D101" s="269"/>
      <c r="E101" s="418" t="s">
        <v>292</v>
      </c>
      <c r="F101" s="419"/>
      <c r="G101" s="418"/>
      <c r="H101" s="420"/>
      <c r="I101" s="269"/>
      <c r="J101" s="326"/>
      <c r="K101" s="269"/>
      <c r="L101" s="326"/>
      <c r="M101" s="269"/>
      <c r="N101" s="326"/>
      <c r="O101" s="269"/>
      <c r="P101" s="326"/>
      <c r="Q101" s="269"/>
      <c r="R101" s="269"/>
    </row>
    <row r="102" spans="2:18" s="1" customFormat="1" ht="16.5" customHeight="1">
      <c r="B102" s="421" t="s">
        <v>77</v>
      </c>
      <c r="C102" s="423">
        <f t="shared" si="14"/>
        <v>1</v>
      </c>
      <c r="D102" s="269"/>
      <c r="E102" s="269"/>
      <c r="F102" s="335"/>
      <c r="G102" s="269"/>
      <c r="H102" s="326"/>
      <c r="I102" s="269"/>
      <c r="J102" s="326"/>
      <c r="K102" s="269"/>
      <c r="L102" s="326"/>
      <c r="M102" s="269"/>
      <c r="N102" s="326"/>
      <c r="O102" s="269"/>
      <c r="P102" s="326"/>
      <c r="Q102" s="269"/>
      <c r="R102" s="269"/>
    </row>
    <row r="103" spans="2:18" s="1" customFormat="1" ht="16.5" customHeight="1">
      <c r="B103" s="421" t="s">
        <v>76</v>
      </c>
      <c r="C103" s="423">
        <f t="shared" si="14"/>
        <v>1</v>
      </c>
      <c r="D103" s="269"/>
      <c r="E103" s="492" t="s">
        <v>1381</v>
      </c>
      <c r="F103" s="551"/>
      <c r="G103" s="552"/>
      <c r="H103" s="495"/>
      <c r="I103" s="55" t="s">
        <v>1563</v>
      </c>
      <c r="J103" s="495"/>
      <c r="K103" s="552"/>
      <c r="L103" s="495"/>
      <c r="M103" s="552"/>
      <c r="N103" s="495"/>
      <c r="O103" s="552"/>
      <c r="P103" s="495"/>
      <c r="Q103" s="552"/>
      <c r="R103" s="552"/>
    </row>
    <row r="104" spans="2:18" s="1" customFormat="1" ht="16.5" customHeight="1">
      <c r="B104" s="421" t="s">
        <v>75</v>
      </c>
      <c r="C104" s="423">
        <f t="shared" si="14"/>
        <v>1</v>
      </c>
      <c r="D104" s="269"/>
      <c r="E104" s="492"/>
      <c r="F104" s="493" t="s">
        <v>1382</v>
      </c>
      <c r="G104" s="492"/>
      <c r="H104" s="494"/>
      <c r="I104" s="269"/>
      <c r="J104" s="326"/>
      <c r="K104" s="269"/>
      <c r="L104" s="326"/>
      <c r="M104" s="269"/>
      <c r="N104" s="326"/>
      <c r="O104" s="269"/>
      <c r="P104" s="326"/>
      <c r="Q104" s="269"/>
      <c r="R104" s="269"/>
    </row>
    <row r="105" spans="2:18" s="1" customFormat="1" ht="16.5" customHeight="1">
      <c r="B105" s="421" t="s">
        <v>74</v>
      </c>
      <c r="C105" s="423">
        <f t="shared" si="14"/>
        <v>1</v>
      </c>
      <c r="D105" s="269"/>
      <c r="E105" s="552"/>
      <c r="F105" s="551"/>
      <c r="G105" s="552"/>
      <c r="H105" s="495"/>
      <c r="I105" s="269"/>
      <c r="J105" s="326"/>
      <c r="K105" s="269"/>
      <c r="L105" s="326"/>
      <c r="M105" s="269"/>
      <c r="N105" s="326"/>
      <c r="O105" s="269"/>
      <c r="P105" s="326"/>
      <c r="Q105" s="269"/>
      <c r="R105" s="269"/>
    </row>
  </sheetData>
  <mergeCells count="20">
    <mergeCell ref="E45:R45"/>
    <mergeCell ref="E46:R46"/>
    <mergeCell ref="E47:R47"/>
    <mergeCell ref="E48:R48"/>
    <mergeCell ref="F49:G49"/>
    <mergeCell ref="H49:I49"/>
    <mergeCell ref="J49:K49"/>
    <mergeCell ref="L49:M49"/>
    <mergeCell ref="N49:O49"/>
    <mergeCell ref="P49:Q49"/>
    <mergeCell ref="E76:R76"/>
    <mergeCell ref="E77:R77"/>
    <mergeCell ref="E78:R78"/>
    <mergeCell ref="E79:R79"/>
    <mergeCell ref="F80:G80"/>
    <mergeCell ref="H80:I80"/>
    <mergeCell ref="J80:K80"/>
    <mergeCell ref="L80:M80"/>
    <mergeCell ref="N80:O80"/>
    <mergeCell ref="P80:Q80"/>
  </mergeCells>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404 summary'!C40:N40</xm:f>
              <xm:sqref>P40</xm:sqref>
            </x14:sparkline>
          </x14:sparklines>
        </x14:sparklineGroup>
        <x14:sparklineGroup displayEmptyCellsAs="gap" markers="1" last="1">
          <x14:colorSeries rgb="FF323232"/>
          <x14:colorNegative rgb="FFD00000"/>
          <x14:colorAxis rgb="FF000000"/>
          <x14:colorMarkers rgb="FFD00000"/>
          <x14:colorFirst rgb="FFD00000"/>
          <x14:colorLast rgb="FFD00000"/>
          <x14:colorHigh rgb="FFD00000"/>
          <x14:colorLow rgb="FFD00000"/>
          <x14:sparklines>
            <x14:sparkline>
              <xm:f>'Bus 404 summary'!C19:N19</xm:f>
              <xm:sqref>P19</xm:sqref>
            </x14:sparkline>
            <x14:sparkline>
              <xm:f>'Bus 404 summary'!C20:N20</xm:f>
              <xm:sqref>P20</xm:sqref>
            </x14:sparkline>
            <x14:sparkline>
              <xm:f>'Bus 404 summary'!C21:N21</xm:f>
              <xm:sqref>P21</xm:sqref>
            </x14:sparkline>
            <x14:sparkline>
              <xm:f>'Bus 404 summary'!C22:N22</xm:f>
              <xm:sqref>P22</xm:sqref>
            </x14:sparkline>
            <x14:sparkline>
              <xm:f>'Bus 404 summary'!C23:N23</xm:f>
              <xm:sqref>P23</xm:sqref>
            </x14:sparkline>
            <x14:sparkline>
              <xm:f>'Bus 404 summary'!C24:N24</xm:f>
              <xm:sqref>P24</xm:sqref>
            </x14:sparkline>
            <x14:sparkline>
              <xm:f>'Bus 404 summary'!C25:N25</xm:f>
              <xm:sqref>P25</xm:sqref>
            </x14:sparkline>
            <x14:sparkline>
              <xm:f>'Bus 404 summary'!C26:N26</xm:f>
              <xm:sqref>P26</xm:sqref>
            </x14:sparkline>
            <x14:sparkline>
              <xm:f>'Bus 404 summary'!C27:N27</xm:f>
              <xm:sqref>P27</xm:sqref>
            </x14:sparkline>
            <x14:sparkline>
              <xm:f>'Bus 404 summary'!C28:N28</xm:f>
              <xm:sqref>P28</xm:sqref>
            </x14:sparkline>
            <x14:sparkline>
              <xm:f>'Bus 404 summary'!C29:N29</xm:f>
              <xm:sqref>P29</xm:sqref>
            </x14:sparkline>
            <x14:sparkline>
              <xm:f>'Bus 404 summary'!C30:N30</xm:f>
              <xm:sqref>P30</xm:sqref>
            </x14:sparkline>
            <x14:sparkline>
              <xm:f>'Bus 404 summary'!C31:N31</xm:f>
              <xm:sqref>P31</xm:sqref>
            </x14:sparkline>
            <x14:sparkline>
              <xm:f>'Bus 404 summary'!C32:N32</xm:f>
              <xm:sqref>P32</xm:sqref>
            </x14:sparkline>
            <x14:sparkline>
              <xm:f>'Bus 404 summary'!C33:N33</xm:f>
              <xm:sqref>P33</xm:sqref>
            </x14:sparkline>
            <x14:sparkline>
              <xm:f>'Bus 404 summary'!C34:N34</xm:f>
              <xm:sqref>P34</xm:sqref>
            </x14:sparkline>
            <x14:sparkline>
              <xm:f>'Bus 404 summary'!C35:N35</xm:f>
              <xm:sqref>P35</xm:sqref>
            </x14:sparkline>
            <x14:sparkline>
              <xm:f>'Bus 404 summary'!C36:N36</xm:f>
              <xm:sqref>P36</xm:sqref>
            </x14:sparkline>
            <x14:sparkline>
              <xm:f>'Bus 404 summary'!C37:N37</xm:f>
              <xm:sqref>P37</xm:sqref>
            </x14:sparkline>
            <x14:sparkline>
              <xm:f>'Bus 404 summary'!C38:N38</xm:f>
              <xm:sqref>P38</xm:sqref>
            </x14:sparkline>
            <x14:sparkline>
              <xm:f>'Bus 404 summary'!C39:N39</xm:f>
              <xm:sqref>P39</xm:sqref>
            </x14:sparkline>
          </x14:sparklines>
        </x14:sparklineGroup>
      </x14:sparklineGroup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194"/>
  <sheetViews>
    <sheetView showGridLines="0" topLeftCell="A160" zoomScale="115" zoomScaleNormal="115" workbookViewId="0">
      <selection activeCell="I170" sqref="A1:XFD1048576"/>
    </sheetView>
  </sheetViews>
  <sheetFormatPr defaultColWidth="9.140625" defaultRowHeight="16.5" customHeight="1"/>
  <cols>
    <col min="1" max="1" width="3.140625" style="1" customWidth="1"/>
    <col min="2" max="4" width="12.28515625" style="1" customWidth="1"/>
    <col min="5" max="5" width="15.7109375" style="1" customWidth="1"/>
    <col min="6" max="6" width="41.85546875"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660</v>
      </c>
      <c r="G4" s="185" t="s">
        <v>45</v>
      </c>
    </row>
    <row r="5" spans="2:8" s="1" customFormat="1" ht="16.5" customHeight="1">
      <c r="B5" s="189">
        <v>42930</v>
      </c>
      <c r="C5" s="190">
        <v>10635</v>
      </c>
      <c r="D5" s="52">
        <v>1.8</v>
      </c>
      <c r="E5" s="190" t="s">
        <v>12</v>
      </c>
      <c r="F5" s="190" t="s">
        <v>1547</v>
      </c>
      <c r="G5" s="191" t="s">
        <v>1546</v>
      </c>
    </row>
    <row r="6" spans="2:8" s="1" customFormat="1" ht="16.5" customHeight="1">
      <c r="B6" s="189">
        <v>42930</v>
      </c>
      <c r="C6" s="190">
        <v>10635</v>
      </c>
      <c r="D6" s="52">
        <v>40</v>
      </c>
      <c r="E6" s="190" t="s">
        <v>2</v>
      </c>
      <c r="F6" s="190" t="s">
        <v>1545</v>
      </c>
      <c r="G6" s="191"/>
    </row>
    <row r="7" spans="2:8" s="1" customFormat="1" ht="16.5" customHeight="1">
      <c r="B7" s="189">
        <v>42937</v>
      </c>
      <c r="C7" s="190">
        <v>10651</v>
      </c>
      <c r="D7" s="52">
        <v>7.83</v>
      </c>
      <c r="E7" s="190" t="s">
        <v>5</v>
      </c>
      <c r="F7" s="190" t="s">
        <v>1544</v>
      </c>
      <c r="G7" s="191" t="s">
        <v>1543</v>
      </c>
    </row>
    <row r="8" spans="2:8" s="1" customFormat="1" ht="16.5" customHeight="1">
      <c r="B8" s="189">
        <v>42937</v>
      </c>
      <c r="C8" s="190">
        <v>10651</v>
      </c>
      <c r="D8" s="52">
        <v>10</v>
      </c>
      <c r="E8" s="190" t="s">
        <v>2</v>
      </c>
      <c r="F8" s="190" t="s">
        <v>1542</v>
      </c>
      <c r="G8" s="191"/>
    </row>
    <row r="9" spans="2:8" s="1" customFormat="1" ht="16.5" customHeight="1">
      <c r="B9" s="187">
        <v>42938</v>
      </c>
      <c r="C9" s="188">
        <v>10653</v>
      </c>
      <c r="D9" s="8">
        <v>10.7</v>
      </c>
      <c r="E9" s="188" t="s">
        <v>17</v>
      </c>
      <c r="F9" s="188" t="s">
        <v>1541</v>
      </c>
      <c r="G9" s="188" t="s">
        <v>1540</v>
      </c>
    </row>
    <row r="10" spans="2:8" s="1" customFormat="1" ht="16.5" customHeight="1">
      <c r="B10" s="187">
        <v>42938</v>
      </c>
      <c r="C10" s="188">
        <v>10653</v>
      </c>
      <c r="D10" s="8">
        <v>3.99</v>
      </c>
      <c r="E10" s="188" t="s">
        <v>17</v>
      </c>
      <c r="F10" s="188" t="s">
        <v>1539</v>
      </c>
      <c r="G10" s="188" t="s">
        <v>1538</v>
      </c>
    </row>
    <row r="11" spans="2:8" s="1" customFormat="1" ht="16.5" customHeight="1">
      <c r="B11" s="187">
        <v>42938</v>
      </c>
      <c r="C11" s="188">
        <v>10653</v>
      </c>
      <c r="D11" s="8">
        <v>15.15</v>
      </c>
      <c r="E11" s="188" t="s">
        <v>17</v>
      </c>
      <c r="F11" s="188" t="s">
        <v>1537</v>
      </c>
      <c r="G11" s="188" t="s">
        <v>1536</v>
      </c>
    </row>
    <row r="12" spans="2:8" s="1" customFormat="1" ht="16.5" customHeight="1">
      <c r="B12" s="187">
        <v>42938</v>
      </c>
      <c r="C12" s="188">
        <v>10653</v>
      </c>
      <c r="D12" s="8">
        <v>3.49</v>
      </c>
      <c r="E12" s="188" t="s">
        <v>17</v>
      </c>
      <c r="F12" s="188" t="s">
        <v>1535</v>
      </c>
      <c r="G12" s="188" t="s">
        <v>1534</v>
      </c>
    </row>
    <row r="13" spans="2:8" s="1" customFormat="1" ht="16.5" customHeight="1">
      <c r="B13" s="187">
        <v>42938</v>
      </c>
      <c r="C13" s="188">
        <v>10653</v>
      </c>
      <c r="D13" s="8">
        <v>42.37</v>
      </c>
      <c r="E13" s="188" t="s">
        <v>17</v>
      </c>
      <c r="F13" s="188" t="s">
        <v>1533</v>
      </c>
      <c r="G13" s="188" t="s">
        <v>1532</v>
      </c>
    </row>
    <row r="14" spans="2:8" s="1" customFormat="1" ht="16.5" customHeight="1">
      <c r="B14" s="187">
        <v>42938</v>
      </c>
      <c r="C14" s="188">
        <v>10653</v>
      </c>
      <c r="D14" s="8">
        <v>120</v>
      </c>
      <c r="E14" s="188" t="s">
        <v>17</v>
      </c>
      <c r="F14" s="188" t="s">
        <v>198</v>
      </c>
      <c r="G14" s="188"/>
    </row>
    <row r="15" spans="2:8" s="1" customFormat="1" ht="16.5" customHeight="1">
      <c r="B15" s="189">
        <v>42945</v>
      </c>
      <c r="C15" s="190">
        <v>10668</v>
      </c>
      <c r="D15" s="52">
        <v>3.49</v>
      </c>
      <c r="E15" s="190" t="s">
        <v>5</v>
      </c>
      <c r="F15" s="190" t="s">
        <v>1531</v>
      </c>
      <c r="G15" s="191" t="s">
        <v>1530</v>
      </c>
    </row>
    <row r="16" spans="2:8" s="1" customFormat="1" ht="16.5" customHeight="1">
      <c r="B16" s="189">
        <v>42945</v>
      </c>
      <c r="C16" s="190">
        <v>10668</v>
      </c>
      <c r="D16" s="52">
        <v>10</v>
      </c>
      <c r="E16" s="190" t="s">
        <v>2</v>
      </c>
      <c r="F16" s="190" t="s">
        <v>33</v>
      </c>
      <c r="G16" s="191"/>
    </row>
    <row r="17" spans="2:7" s="1" customFormat="1" ht="16.5" customHeight="1">
      <c r="B17" s="189"/>
      <c r="C17" s="190"/>
      <c r="D17" s="52"/>
      <c r="E17" s="190"/>
      <c r="F17" s="190"/>
      <c r="G17" s="191"/>
    </row>
    <row r="18" spans="2:7" s="1" customFormat="1" ht="16.5" customHeight="1">
      <c r="B18" s="192" t="s">
        <v>1</v>
      </c>
      <c r="C18" s="193"/>
      <c r="D18" s="194">
        <f>SUBTOTAL(109,ExpJul215[Amount])</f>
        <v>268.82</v>
      </c>
      <c r="E18" s="193"/>
      <c r="F18" s="193"/>
      <c r="G18" s="192"/>
    </row>
    <row r="19" spans="2:7" s="1" customFormat="1" ht="16.5" customHeight="1">
      <c r="B19" s="195"/>
      <c r="C19" s="196"/>
      <c r="D19" s="197"/>
      <c r="E19" s="196"/>
      <c r="F19" s="196"/>
      <c r="G19" s="196"/>
    </row>
    <row r="20" spans="2:7" s="1" customFormat="1" ht="29.25" customHeight="1">
      <c r="B20" s="205" t="s">
        <v>52</v>
      </c>
      <c r="C20" s="36"/>
      <c r="D20" s="36"/>
      <c r="E20" s="36"/>
      <c r="F20" s="36"/>
      <c r="G20" s="36"/>
    </row>
    <row r="21" spans="2:7" s="1" customFormat="1" ht="16.5" customHeight="1">
      <c r="B21" s="36"/>
      <c r="C21" s="36"/>
      <c r="D21" s="36"/>
      <c r="E21" s="36"/>
      <c r="F21" s="36"/>
      <c r="G21" s="36"/>
    </row>
    <row r="22" spans="2:7" s="1" customFormat="1" ht="16.5" customHeight="1">
      <c r="B22" s="206" t="s">
        <v>50</v>
      </c>
      <c r="C22" s="207" t="s">
        <v>53</v>
      </c>
      <c r="D22" s="206" t="s">
        <v>48</v>
      </c>
      <c r="E22" s="207" t="s">
        <v>47</v>
      </c>
      <c r="F22" s="207" t="s">
        <v>660</v>
      </c>
      <c r="G22" s="206" t="s">
        <v>45</v>
      </c>
    </row>
    <row r="23" spans="2:7" s="1" customFormat="1" ht="16.5" customHeight="1">
      <c r="B23" s="478">
        <v>42950</v>
      </c>
      <c r="C23" s="479">
        <v>10680</v>
      </c>
      <c r="D23" s="480">
        <v>115.94</v>
      </c>
      <c r="E23" s="479" t="s">
        <v>6</v>
      </c>
      <c r="F23" s="479" t="s">
        <v>1564</v>
      </c>
      <c r="G23" s="479" t="s">
        <v>1565</v>
      </c>
    </row>
    <row r="24" spans="2:7" s="1" customFormat="1" ht="16.5" customHeight="1">
      <c r="B24" s="25">
        <v>42954</v>
      </c>
      <c r="C24" s="51">
        <v>10694</v>
      </c>
      <c r="D24" s="211">
        <v>10.37</v>
      </c>
      <c r="E24" s="51" t="s">
        <v>3</v>
      </c>
      <c r="F24" s="51" t="s">
        <v>1566</v>
      </c>
      <c r="G24" s="27" t="s">
        <v>1567</v>
      </c>
    </row>
    <row r="25" spans="2:7" s="1" customFormat="1" ht="16.5" customHeight="1">
      <c r="B25" s="25">
        <v>42954</v>
      </c>
      <c r="C25" s="51">
        <v>10694</v>
      </c>
      <c r="D25" s="211">
        <v>64.94</v>
      </c>
      <c r="E25" s="51" t="s">
        <v>3</v>
      </c>
      <c r="F25" s="51" t="s">
        <v>1568</v>
      </c>
      <c r="G25" s="27" t="s">
        <v>1569</v>
      </c>
    </row>
    <row r="26" spans="2:7" s="1" customFormat="1" ht="16.5" customHeight="1">
      <c r="B26" s="25">
        <v>42954</v>
      </c>
      <c r="C26" s="51">
        <v>10694</v>
      </c>
      <c r="D26" s="211">
        <v>20</v>
      </c>
      <c r="E26" s="51" t="s">
        <v>2</v>
      </c>
      <c r="F26" s="51" t="s">
        <v>399</v>
      </c>
      <c r="G26" s="27"/>
    </row>
    <row r="27" spans="2:7" s="1" customFormat="1" ht="16.5" customHeight="1">
      <c r="B27" s="25">
        <v>42966</v>
      </c>
      <c r="C27" s="51">
        <v>10721</v>
      </c>
      <c r="D27" s="211">
        <v>5.08</v>
      </c>
      <c r="E27" s="51" t="s">
        <v>5</v>
      </c>
      <c r="F27" s="51" t="s">
        <v>1570</v>
      </c>
      <c r="G27" s="27" t="s">
        <v>1571</v>
      </c>
    </row>
    <row r="28" spans="2:7" s="1" customFormat="1" ht="16.5" customHeight="1">
      <c r="B28" s="25">
        <v>42966</v>
      </c>
      <c r="C28" s="51">
        <v>10721</v>
      </c>
      <c r="D28" s="211">
        <v>3.49</v>
      </c>
      <c r="E28" s="51" t="s">
        <v>5</v>
      </c>
      <c r="F28" s="51" t="s">
        <v>1572</v>
      </c>
      <c r="G28" s="27" t="s">
        <v>1573</v>
      </c>
    </row>
    <row r="29" spans="2:7" s="1" customFormat="1" ht="16.5" customHeight="1">
      <c r="B29" s="25">
        <v>42966</v>
      </c>
      <c r="C29" s="51">
        <v>10721</v>
      </c>
      <c r="D29" s="211">
        <v>20</v>
      </c>
      <c r="E29" s="51" t="s">
        <v>2</v>
      </c>
      <c r="F29" s="51" t="s">
        <v>399</v>
      </c>
      <c r="G29" s="27"/>
    </row>
    <row r="30" spans="2:7" s="1" customFormat="1" ht="16.5" customHeight="1">
      <c r="B30" s="25">
        <v>42952</v>
      </c>
      <c r="C30" s="51">
        <v>10687</v>
      </c>
      <c r="D30" s="211">
        <v>3.49</v>
      </c>
      <c r="E30" s="51" t="s">
        <v>5</v>
      </c>
      <c r="F30" s="51" t="s">
        <v>1574</v>
      </c>
      <c r="G30" s="27" t="s">
        <v>1575</v>
      </c>
    </row>
    <row r="31" spans="2:7" s="1" customFormat="1" ht="16.5" customHeight="1">
      <c r="B31" s="25">
        <v>42952</v>
      </c>
      <c r="C31" s="51">
        <v>10687</v>
      </c>
      <c r="D31" s="211">
        <v>10</v>
      </c>
      <c r="E31" s="51" t="s">
        <v>2</v>
      </c>
      <c r="F31" s="51" t="s">
        <v>1576</v>
      </c>
      <c r="G31" s="27"/>
    </row>
    <row r="32" spans="2:7" s="1" customFormat="1" ht="16.5" customHeight="1">
      <c r="B32" s="208">
        <v>42971</v>
      </c>
      <c r="C32" s="209">
        <v>10738</v>
      </c>
      <c r="D32" s="210">
        <v>25.07</v>
      </c>
      <c r="E32" s="209" t="s">
        <v>17</v>
      </c>
      <c r="F32" s="479" t="s">
        <v>1577</v>
      </c>
      <c r="G32" s="479" t="s">
        <v>1578</v>
      </c>
    </row>
    <row r="33" spans="2:7" s="1" customFormat="1" ht="16.5" customHeight="1">
      <c r="B33" s="208">
        <v>42971</v>
      </c>
      <c r="C33" s="209">
        <v>10738</v>
      </c>
      <c r="D33" s="210">
        <v>217.32</v>
      </c>
      <c r="E33" s="209" t="s">
        <v>17</v>
      </c>
      <c r="F33" s="209" t="s">
        <v>1579</v>
      </c>
      <c r="G33" s="209" t="s">
        <v>1580</v>
      </c>
    </row>
    <row r="34" spans="2:7" s="1" customFormat="1" ht="16.5" customHeight="1">
      <c r="B34" s="341">
        <v>42971</v>
      </c>
      <c r="C34" s="342">
        <v>10738</v>
      </c>
      <c r="D34" s="343">
        <v>2.5</v>
      </c>
      <c r="E34" s="342" t="s">
        <v>17</v>
      </c>
      <c r="F34" s="342" t="s">
        <v>1581</v>
      </c>
      <c r="G34" s="342" t="s">
        <v>1582</v>
      </c>
    </row>
    <row r="35" spans="2:7" s="1" customFormat="1" ht="16.5" customHeight="1">
      <c r="B35" s="341">
        <v>42971</v>
      </c>
      <c r="C35" s="342">
        <v>10738</v>
      </c>
      <c r="D35" s="343">
        <v>10.7</v>
      </c>
      <c r="E35" s="342" t="s">
        <v>17</v>
      </c>
      <c r="F35" s="342" t="s">
        <v>1583</v>
      </c>
      <c r="G35" s="342" t="s">
        <v>1584</v>
      </c>
    </row>
    <row r="36" spans="2:7" s="1" customFormat="1" ht="16.5" customHeight="1">
      <c r="B36" s="341">
        <v>42971</v>
      </c>
      <c r="C36" s="342">
        <v>10738</v>
      </c>
      <c r="D36" s="343">
        <v>808.83</v>
      </c>
      <c r="E36" s="342" t="s">
        <v>17</v>
      </c>
      <c r="F36" s="342" t="s">
        <v>1815</v>
      </c>
      <c r="G36" s="342" t="s">
        <v>1585</v>
      </c>
    </row>
    <row r="37" spans="2:7" s="1" customFormat="1" ht="16.5" customHeight="1">
      <c r="B37" s="341">
        <v>42971</v>
      </c>
      <c r="C37" s="342">
        <v>10738</v>
      </c>
      <c r="D37" s="343">
        <v>428.12</v>
      </c>
      <c r="E37" s="342" t="s">
        <v>17</v>
      </c>
      <c r="F37" s="342" t="s">
        <v>1586</v>
      </c>
      <c r="G37" s="342" t="s">
        <v>1587</v>
      </c>
    </row>
    <row r="38" spans="2:7" s="1" customFormat="1" ht="16.5" customHeight="1">
      <c r="B38" s="341">
        <v>42971</v>
      </c>
      <c r="C38" s="342">
        <v>10738</v>
      </c>
      <c r="D38" s="343">
        <v>42.37</v>
      </c>
      <c r="E38" s="342" t="s">
        <v>17</v>
      </c>
      <c r="F38" s="342" t="s">
        <v>1588</v>
      </c>
      <c r="G38" s="342" t="s">
        <v>1589</v>
      </c>
    </row>
    <row r="39" spans="2:7" s="1" customFormat="1" ht="16.5" customHeight="1">
      <c r="B39" s="341">
        <v>42971</v>
      </c>
      <c r="C39" s="342">
        <v>10738</v>
      </c>
      <c r="D39" s="343">
        <v>120</v>
      </c>
      <c r="E39" s="342" t="s">
        <v>17</v>
      </c>
      <c r="F39" s="342" t="s">
        <v>1590</v>
      </c>
      <c r="G39" s="342"/>
    </row>
    <row r="40" spans="2:7" s="1" customFormat="1" ht="16.5" customHeight="1">
      <c r="B40" s="25"/>
      <c r="C40" s="51"/>
      <c r="D40" s="211"/>
      <c r="E40" s="51"/>
      <c r="F40" s="51"/>
      <c r="G40" s="27"/>
    </row>
    <row r="41" spans="2:7" s="1" customFormat="1" ht="16.5" customHeight="1">
      <c r="B41" s="212" t="s">
        <v>1</v>
      </c>
      <c r="C41" s="213"/>
      <c r="D41" s="214">
        <f>SUBTOTAL(109,ExpAug216[Amount])</f>
        <v>1908.2199999999998</v>
      </c>
      <c r="E41" s="213"/>
      <c r="F41" s="213"/>
      <c r="G41" s="212"/>
    </row>
    <row r="42" spans="2:7" s="1" customFormat="1" ht="16.5" customHeight="1">
      <c r="B42" s="36"/>
      <c r="C42" s="36"/>
      <c r="D42" s="36"/>
      <c r="E42" s="36"/>
      <c r="F42" s="56" t="s">
        <v>1591</v>
      </c>
      <c r="G42" s="36"/>
    </row>
    <row r="44" spans="2:7" s="1" customFormat="1" ht="25.5" customHeight="1">
      <c r="B44" s="205" t="s">
        <v>56</v>
      </c>
      <c r="C44" s="117"/>
      <c r="D44" s="117"/>
      <c r="E44" s="117"/>
      <c r="F44" s="117"/>
      <c r="G44" s="117"/>
    </row>
    <row r="45" spans="2:7" s="1" customFormat="1" ht="16.5" customHeight="1">
      <c r="B45" s="117"/>
      <c r="C45" s="117"/>
      <c r="D45" s="117"/>
      <c r="E45" s="117"/>
      <c r="F45" s="117"/>
      <c r="G45" s="117"/>
    </row>
    <row r="46" spans="2:7" s="1" customFormat="1" ht="16.5" customHeight="1">
      <c r="B46" s="206" t="s">
        <v>50</v>
      </c>
      <c r="C46" s="207" t="s">
        <v>53</v>
      </c>
      <c r="D46" s="206" t="s">
        <v>48</v>
      </c>
      <c r="E46" s="207" t="s">
        <v>47</v>
      </c>
      <c r="F46" s="207" t="s">
        <v>660</v>
      </c>
      <c r="G46" s="206" t="s">
        <v>45</v>
      </c>
    </row>
    <row r="47" spans="2:7" s="1" customFormat="1" ht="16.5" customHeight="1">
      <c r="B47" s="25">
        <v>42996</v>
      </c>
      <c r="C47" s="51">
        <v>10800</v>
      </c>
      <c r="D47" s="211">
        <v>15.15</v>
      </c>
      <c r="E47" s="51" t="s">
        <v>3</v>
      </c>
      <c r="F47" s="51" t="s">
        <v>1592</v>
      </c>
      <c r="G47" s="27" t="s">
        <v>1593</v>
      </c>
    </row>
    <row r="48" spans="2:7" s="1" customFormat="1" ht="16.5" customHeight="1">
      <c r="B48" s="25">
        <v>42996</v>
      </c>
      <c r="C48" s="51">
        <v>10800</v>
      </c>
      <c r="D48" s="211">
        <v>10</v>
      </c>
      <c r="E48" s="51" t="s">
        <v>2</v>
      </c>
      <c r="F48" s="51" t="s">
        <v>33</v>
      </c>
      <c r="G48" s="27"/>
    </row>
    <row r="49" spans="2:7" s="1" customFormat="1" ht="16.5" customHeight="1">
      <c r="B49" s="25"/>
      <c r="C49" s="51"/>
      <c r="D49" s="211"/>
      <c r="E49" s="51"/>
      <c r="F49" s="51"/>
      <c r="G49" s="27"/>
    </row>
    <row r="50" spans="2:7" s="1" customFormat="1" ht="16.5" customHeight="1">
      <c r="B50" s="25"/>
      <c r="C50" s="51"/>
      <c r="D50" s="211"/>
      <c r="E50" s="51"/>
      <c r="F50" s="51"/>
      <c r="G50" s="27"/>
    </row>
    <row r="51" spans="2:7" s="1" customFormat="1" ht="16.5" customHeight="1">
      <c r="B51" s="25"/>
      <c r="C51" s="51"/>
      <c r="D51" s="211"/>
      <c r="E51" s="51"/>
      <c r="F51" s="51"/>
      <c r="G51" s="27"/>
    </row>
    <row r="52" spans="2:7" s="1" customFormat="1" ht="16.5" customHeight="1">
      <c r="B52" s="25"/>
      <c r="C52" s="51"/>
      <c r="D52" s="211"/>
      <c r="E52" s="51"/>
      <c r="F52" s="51"/>
      <c r="G52" s="27"/>
    </row>
    <row r="53" spans="2:7" s="1" customFormat="1" ht="16.5" customHeight="1">
      <c r="B53" s="25"/>
      <c r="C53" s="51"/>
      <c r="D53" s="211"/>
      <c r="E53" s="51"/>
      <c r="F53" s="51"/>
      <c r="G53" s="27"/>
    </row>
    <row r="54" spans="2:7" s="1" customFormat="1" ht="16.5" customHeight="1">
      <c r="B54" s="25"/>
      <c r="C54" s="51"/>
      <c r="D54" s="211"/>
      <c r="E54" s="51"/>
      <c r="F54" s="51"/>
      <c r="G54" s="27"/>
    </row>
    <row r="55" spans="2:7" s="1" customFormat="1" ht="16.5" customHeight="1">
      <c r="B55" s="25"/>
      <c r="C55" s="51"/>
      <c r="D55" s="211"/>
      <c r="E55" s="51"/>
      <c r="F55" s="51"/>
      <c r="G55" s="27"/>
    </row>
    <row r="56" spans="2:7" s="1" customFormat="1" ht="16.5" customHeight="1">
      <c r="B56" s="212" t="s">
        <v>1</v>
      </c>
      <c r="C56" s="213"/>
      <c r="D56" s="214">
        <f>SUBTOTAL(109,ExpSep217[Amount])</f>
        <v>25.15</v>
      </c>
      <c r="E56" s="213"/>
      <c r="F56" s="213"/>
      <c r="G56" s="212"/>
    </row>
    <row r="57" spans="2:7" s="1" customFormat="1" ht="16.5" customHeight="1">
      <c r="B57" s="212"/>
      <c r="C57" s="213"/>
      <c r="D57" s="214"/>
      <c r="E57" s="213"/>
      <c r="F57" s="213"/>
      <c r="G57" s="212"/>
    </row>
    <row r="58" spans="2:7" s="1" customFormat="1" ht="27" customHeight="1">
      <c r="B58" s="205" t="s">
        <v>70</v>
      </c>
      <c r="C58" s="117"/>
      <c r="D58" s="117"/>
      <c r="E58" s="117"/>
      <c r="F58" s="117"/>
      <c r="G58" s="117"/>
    </row>
    <row r="59" spans="2:7" s="1" customFormat="1" ht="16.5" customHeight="1">
      <c r="B59" s="117"/>
      <c r="C59" s="117"/>
      <c r="D59" s="117"/>
      <c r="E59" s="117"/>
      <c r="F59" s="117"/>
      <c r="G59" s="117"/>
    </row>
    <row r="60" spans="2:7" s="1" customFormat="1" ht="16.5" customHeight="1">
      <c r="B60" s="206" t="s">
        <v>50</v>
      </c>
      <c r="C60" s="207" t="s">
        <v>71</v>
      </c>
      <c r="D60" s="206" t="s">
        <v>48</v>
      </c>
      <c r="E60" s="207" t="s">
        <v>47</v>
      </c>
      <c r="F60" s="207" t="s">
        <v>660</v>
      </c>
      <c r="G60" s="206" t="s">
        <v>45</v>
      </c>
    </row>
    <row r="61" spans="2:7" s="1" customFormat="1" ht="16.5" customHeight="1">
      <c r="B61" s="25">
        <v>43018</v>
      </c>
      <c r="C61" s="51">
        <v>10854</v>
      </c>
      <c r="D61" s="211">
        <v>6.06</v>
      </c>
      <c r="E61" s="51" t="s">
        <v>3</v>
      </c>
      <c r="F61" s="51" t="s">
        <v>1524</v>
      </c>
      <c r="G61" s="27" t="s">
        <v>1525</v>
      </c>
    </row>
    <row r="62" spans="2:7" s="1" customFormat="1" ht="16.5" customHeight="1">
      <c r="B62" s="25">
        <v>43018</v>
      </c>
      <c r="C62" s="51">
        <v>10854</v>
      </c>
      <c r="D62" s="211">
        <v>10</v>
      </c>
      <c r="E62" s="51" t="s">
        <v>2</v>
      </c>
      <c r="F62" s="51" t="s">
        <v>1083</v>
      </c>
      <c r="G62" s="27"/>
    </row>
    <row r="63" spans="2:7" s="1" customFormat="1" ht="16.5" customHeight="1">
      <c r="B63" s="25"/>
      <c r="C63" s="51"/>
      <c r="D63" s="211"/>
      <c r="E63" s="51"/>
      <c r="F63" s="51"/>
      <c r="G63" s="27"/>
    </row>
    <row r="64" spans="2:7" s="1" customFormat="1" ht="16.5" customHeight="1">
      <c r="B64" s="25"/>
      <c r="C64" s="51"/>
      <c r="D64" s="211"/>
      <c r="E64" s="51"/>
      <c r="F64" s="51"/>
      <c r="G64" s="27"/>
    </row>
    <row r="65" spans="2:7" s="1" customFormat="1" ht="16.5" customHeight="1">
      <c r="B65" s="25"/>
      <c r="C65" s="51"/>
      <c r="D65" s="211"/>
      <c r="E65" s="51"/>
      <c r="F65" s="51"/>
      <c r="G65" s="27"/>
    </row>
    <row r="66" spans="2:7" s="1" customFormat="1" ht="16.5" customHeight="1">
      <c r="B66" s="25"/>
      <c r="C66" s="51"/>
      <c r="D66" s="211"/>
      <c r="E66" s="51"/>
      <c r="F66" s="51"/>
      <c r="G66" s="27"/>
    </row>
    <row r="67" spans="2:7" s="1" customFormat="1" ht="16.5" customHeight="1">
      <c r="B67" s="25"/>
      <c r="C67" s="51"/>
      <c r="D67" s="211"/>
      <c r="E67" s="51"/>
      <c r="F67" s="51"/>
      <c r="G67" s="27"/>
    </row>
    <row r="68" spans="2:7" s="1" customFormat="1" ht="16.5" customHeight="1">
      <c r="B68" s="25"/>
      <c r="C68" s="51"/>
      <c r="D68" s="211"/>
      <c r="E68" s="51"/>
      <c r="F68" s="51"/>
      <c r="G68" s="27"/>
    </row>
    <row r="69" spans="2:7" s="1" customFormat="1" ht="16.5" customHeight="1">
      <c r="B69" s="25"/>
      <c r="C69" s="51"/>
      <c r="D69" s="211"/>
      <c r="E69" s="51"/>
      <c r="F69" s="51"/>
      <c r="G69" s="27"/>
    </row>
    <row r="70" spans="2:7" s="1" customFormat="1" ht="16.5" customHeight="1">
      <c r="B70" s="25"/>
      <c r="C70" s="51"/>
      <c r="D70" s="211"/>
      <c r="E70" s="51"/>
      <c r="F70" s="51"/>
      <c r="G70" s="27"/>
    </row>
    <row r="71" spans="2:7" s="1" customFormat="1" ht="16.5" customHeight="1">
      <c r="B71" s="25"/>
      <c r="C71" s="51"/>
      <c r="D71" s="211"/>
      <c r="E71" s="51"/>
      <c r="F71" s="51"/>
      <c r="G71" s="27"/>
    </row>
    <row r="72" spans="2:7" s="1" customFormat="1" ht="16.5" customHeight="1">
      <c r="B72" s="212" t="s">
        <v>1</v>
      </c>
      <c r="C72" s="213"/>
      <c r="D72" s="214">
        <f>SUBTOTAL(109,ExpOct205218[Amount])</f>
        <v>16.059999999999999</v>
      </c>
      <c r="E72" s="213"/>
      <c r="F72" s="213"/>
      <c r="G72" s="212"/>
    </row>
    <row r="73" spans="2:7" s="1" customFormat="1" ht="16.5" customHeight="1">
      <c r="B73" s="212"/>
      <c r="C73" s="213"/>
      <c r="D73" s="214"/>
      <c r="E73" s="213"/>
      <c r="F73" s="213"/>
      <c r="G73" s="212"/>
    </row>
    <row r="74" spans="2:7" s="1" customFormat="1" ht="26.25" customHeight="1">
      <c r="B74" s="205" t="s">
        <v>159</v>
      </c>
      <c r="C74" s="117"/>
      <c r="D74" s="117"/>
      <c r="E74" s="117"/>
      <c r="F74" s="117"/>
      <c r="G74" s="117"/>
    </row>
    <row r="75" spans="2:7" s="1" customFormat="1" ht="16.5" customHeight="1">
      <c r="B75" s="117"/>
      <c r="C75" s="117"/>
      <c r="D75" s="117"/>
      <c r="E75" s="117"/>
      <c r="F75" s="117"/>
      <c r="G75" s="117"/>
    </row>
    <row r="76" spans="2:7" s="1" customFormat="1" ht="16.5" customHeight="1">
      <c r="B76" s="206" t="s">
        <v>50</v>
      </c>
      <c r="C76" s="207" t="s">
        <v>71</v>
      </c>
      <c r="D76" s="206" t="s">
        <v>48</v>
      </c>
      <c r="E76" s="207" t="s">
        <v>47</v>
      </c>
      <c r="F76" s="207" t="s">
        <v>161</v>
      </c>
      <c r="G76" s="206" t="s">
        <v>160</v>
      </c>
    </row>
    <row r="77" spans="2:7" s="1" customFormat="1" ht="16.5" customHeight="1">
      <c r="B77" s="25"/>
      <c r="C77" s="51"/>
      <c r="D77" s="211"/>
      <c r="E77" s="51"/>
      <c r="F77" s="51"/>
      <c r="G77" s="27"/>
    </row>
    <row r="78" spans="2:7" s="1" customFormat="1" ht="16.5" customHeight="1">
      <c r="B78" s="25"/>
      <c r="C78" s="51"/>
      <c r="D78" s="211"/>
      <c r="E78" s="51"/>
      <c r="F78" s="51"/>
      <c r="G78" s="27"/>
    </row>
    <row r="79" spans="2:7" s="1" customFormat="1" ht="16.5" customHeight="1">
      <c r="B79" s="25"/>
      <c r="C79" s="51"/>
      <c r="D79" s="211"/>
      <c r="E79" s="51"/>
      <c r="F79" s="51"/>
      <c r="G79" s="27"/>
    </row>
    <row r="80" spans="2:7" s="1" customFormat="1" ht="16.5" customHeight="1">
      <c r="B80" s="25"/>
      <c r="C80" s="51"/>
      <c r="D80" s="211"/>
      <c r="E80" s="51"/>
      <c r="F80" s="51"/>
      <c r="G80" s="27"/>
    </row>
    <row r="81" spans="2:7" s="1" customFormat="1" ht="16.5" customHeight="1">
      <c r="B81" s="25"/>
      <c r="C81" s="51"/>
      <c r="D81" s="211"/>
      <c r="E81" s="51"/>
      <c r="F81" s="51"/>
      <c r="G81" s="27"/>
    </row>
    <row r="82" spans="2:7" s="1" customFormat="1" ht="16.5" customHeight="1">
      <c r="B82" s="25"/>
      <c r="C82" s="51"/>
      <c r="D82" s="211"/>
      <c r="E82" s="51"/>
      <c r="F82" s="51"/>
      <c r="G82" s="27"/>
    </row>
    <row r="83" spans="2:7" s="1" customFormat="1" ht="16.5" customHeight="1">
      <c r="B83" s="25"/>
      <c r="C83" s="51"/>
      <c r="D83" s="211"/>
      <c r="E83" s="51"/>
      <c r="F83" s="51"/>
      <c r="G83" s="27"/>
    </row>
    <row r="84" spans="2:7" s="1" customFormat="1" ht="16.5" customHeight="1">
      <c r="B84" s="25"/>
      <c r="C84" s="51"/>
      <c r="D84" s="211"/>
      <c r="E84" s="51"/>
      <c r="F84" s="51"/>
      <c r="G84" s="27"/>
    </row>
    <row r="85" spans="2:7" s="1" customFormat="1" ht="16.5" customHeight="1">
      <c r="B85" s="25"/>
      <c r="C85" s="51"/>
      <c r="D85" s="211"/>
      <c r="E85" s="51"/>
      <c r="F85" s="51"/>
      <c r="G85" s="27"/>
    </row>
    <row r="86" spans="2:7" s="1" customFormat="1" ht="16.5" customHeight="1">
      <c r="B86" s="25"/>
      <c r="C86" s="51"/>
      <c r="D86" s="211"/>
      <c r="E86" s="51"/>
      <c r="F86" s="51"/>
      <c r="G86" s="27"/>
    </row>
    <row r="87" spans="2:7" s="1" customFormat="1" ht="16.5" customHeight="1">
      <c r="B87" s="212" t="s">
        <v>1</v>
      </c>
      <c r="C87" s="213"/>
      <c r="D87" s="214">
        <f>SUBTOTAL(109,ExpNov128141154167180193206219[Amount])</f>
        <v>0</v>
      </c>
      <c r="E87" s="213"/>
      <c r="F87" s="213"/>
      <c r="G87" s="212"/>
    </row>
    <row r="89" spans="2:7" s="1" customFormat="1" ht="26.25" customHeight="1">
      <c r="B89" s="205" t="s">
        <v>162</v>
      </c>
      <c r="C89" s="117"/>
      <c r="D89" s="117"/>
      <c r="E89" s="117"/>
      <c r="F89" s="117"/>
      <c r="G89" s="117"/>
    </row>
    <row r="90" spans="2:7" s="1" customFormat="1" ht="16.5" customHeight="1">
      <c r="B90" s="117"/>
      <c r="C90" s="117"/>
      <c r="D90" s="117"/>
      <c r="E90" s="117"/>
      <c r="F90" s="117"/>
      <c r="G90" s="117"/>
    </row>
    <row r="91" spans="2:7" s="1" customFormat="1" ht="16.5" customHeight="1">
      <c r="B91" s="206" t="s">
        <v>50</v>
      </c>
      <c r="C91" s="207" t="s">
        <v>71</v>
      </c>
      <c r="D91" s="206" t="s">
        <v>48</v>
      </c>
      <c r="E91" s="207" t="s">
        <v>47</v>
      </c>
      <c r="F91" s="207" t="s">
        <v>161</v>
      </c>
      <c r="G91" s="206" t="s">
        <v>160</v>
      </c>
    </row>
    <row r="92" spans="2:7" s="1" customFormat="1" ht="16.5" customHeight="1">
      <c r="B92" s="25"/>
      <c r="C92" s="51"/>
      <c r="D92" s="211"/>
      <c r="E92" s="51"/>
      <c r="F92" s="51"/>
      <c r="G92" s="27"/>
    </row>
    <row r="93" spans="2:7" s="1" customFormat="1" ht="16.5" customHeight="1">
      <c r="B93" s="25"/>
      <c r="C93" s="51"/>
      <c r="D93" s="211"/>
      <c r="E93" s="51"/>
      <c r="F93" s="51"/>
      <c r="G93" s="27"/>
    </row>
    <row r="94" spans="2:7" s="1" customFormat="1" ht="16.5" customHeight="1">
      <c r="B94" s="25"/>
      <c r="C94" s="51"/>
      <c r="D94" s="211"/>
      <c r="E94" s="51"/>
      <c r="F94" s="51"/>
      <c r="G94" s="27"/>
    </row>
    <row r="95" spans="2:7" s="1" customFormat="1" ht="16.5" customHeight="1">
      <c r="B95" s="25"/>
      <c r="C95" s="51"/>
      <c r="D95" s="211"/>
      <c r="E95" s="51"/>
      <c r="F95" s="51"/>
      <c r="G95" s="27"/>
    </row>
    <row r="96" spans="2:7" s="1" customFormat="1" ht="16.5" customHeight="1">
      <c r="B96" s="25"/>
      <c r="C96" s="51"/>
      <c r="D96" s="211"/>
      <c r="E96" s="51"/>
      <c r="F96" s="51"/>
      <c r="G96" s="27"/>
    </row>
    <row r="97" spans="2:7" s="1" customFormat="1" ht="16.5" customHeight="1">
      <c r="B97" s="25"/>
      <c r="C97" s="51"/>
      <c r="D97" s="211"/>
      <c r="E97" s="51"/>
      <c r="F97" s="51"/>
      <c r="G97" s="27"/>
    </row>
    <row r="98" spans="2:7" s="1" customFormat="1" ht="16.5" customHeight="1">
      <c r="B98" s="212" t="s">
        <v>1</v>
      </c>
      <c r="C98" s="213"/>
      <c r="D98" s="214">
        <f>SUBTOTAL(109,ExpDec129142155168181194207220[Amount])</f>
        <v>0</v>
      </c>
      <c r="E98" s="213"/>
      <c r="F98" s="213"/>
      <c r="G98" s="212"/>
    </row>
    <row r="100" spans="2:7" s="1" customFormat="1" ht="27.75" customHeight="1">
      <c r="B100" s="205" t="s">
        <v>163</v>
      </c>
      <c r="C100" s="117"/>
      <c r="D100" s="117"/>
      <c r="E100" s="117"/>
      <c r="F100" s="117"/>
      <c r="G100" s="117"/>
    </row>
    <row r="101" spans="2:7" s="1" customFormat="1" ht="16.5" customHeight="1">
      <c r="B101" s="117"/>
      <c r="C101" s="117"/>
      <c r="D101" s="117"/>
      <c r="E101" s="117"/>
      <c r="F101" s="117"/>
      <c r="G101" s="117"/>
    </row>
    <row r="102" spans="2:7" s="1" customFormat="1" ht="16.5" customHeight="1">
      <c r="B102" s="206" t="s">
        <v>50</v>
      </c>
      <c r="C102" s="207" t="s">
        <v>164</v>
      </c>
      <c r="D102" s="206" t="s">
        <v>48</v>
      </c>
      <c r="E102" s="207" t="s">
        <v>47</v>
      </c>
      <c r="F102" s="207" t="s">
        <v>161</v>
      </c>
      <c r="G102" s="206" t="s">
        <v>160</v>
      </c>
    </row>
    <row r="103" spans="2:7" s="1" customFormat="1" ht="16.5" customHeight="1">
      <c r="B103" s="25"/>
      <c r="C103" s="51"/>
      <c r="D103" s="211"/>
      <c r="E103" s="51"/>
      <c r="F103" s="51"/>
      <c r="G103" s="27"/>
    </row>
    <row r="104" spans="2:7" s="1" customFormat="1" ht="16.5" customHeight="1">
      <c r="B104" s="25"/>
      <c r="C104" s="51"/>
      <c r="D104" s="211"/>
      <c r="E104" s="51"/>
      <c r="F104" s="51"/>
      <c r="G104" s="27"/>
    </row>
    <row r="105" spans="2:7" s="1" customFormat="1" ht="16.5" customHeight="1">
      <c r="B105" s="25"/>
      <c r="C105" s="51"/>
      <c r="D105" s="211"/>
      <c r="E105" s="51"/>
      <c r="F105" s="51"/>
      <c r="G105" s="27"/>
    </row>
    <row r="106" spans="2:7" s="1" customFormat="1" ht="16.5" customHeight="1">
      <c r="B106" s="27"/>
      <c r="C106" s="26"/>
      <c r="D106" s="211"/>
      <c r="E106" s="26"/>
      <c r="F106" s="26"/>
      <c r="G106" s="27"/>
    </row>
    <row r="107" spans="2:7" s="1" customFormat="1" ht="16.5" customHeight="1">
      <c r="B107" s="27"/>
      <c r="C107" s="26"/>
      <c r="D107" s="211"/>
      <c r="E107" s="26"/>
      <c r="F107" s="26"/>
      <c r="G107" s="27"/>
    </row>
    <row r="108" spans="2:7" s="1" customFormat="1" ht="16.5" customHeight="1">
      <c r="B108" s="27"/>
      <c r="C108" s="26"/>
      <c r="D108" s="211"/>
      <c r="E108" s="26"/>
      <c r="F108" s="26"/>
      <c r="G108" s="27"/>
    </row>
    <row r="109" spans="2:7" s="1" customFormat="1" ht="16.5" customHeight="1">
      <c r="B109" s="27"/>
      <c r="C109" s="26"/>
      <c r="D109" s="211"/>
      <c r="E109" s="26"/>
      <c r="F109" s="26"/>
      <c r="G109" s="27"/>
    </row>
    <row r="110" spans="2:7" s="1" customFormat="1" ht="16.5" customHeight="1">
      <c r="B110" s="27"/>
      <c r="C110" s="26"/>
      <c r="D110" s="211"/>
      <c r="E110" s="26"/>
      <c r="F110" s="26"/>
      <c r="G110" s="27"/>
    </row>
    <row r="111" spans="2:7" s="1" customFormat="1" ht="16.5" customHeight="1">
      <c r="B111" s="212" t="s">
        <v>1</v>
      </c>
      <c r="C111" s="213"/>
      <c r="D111" s="214">
        <f>SUBTOTAL(109,ExpJan130143156169182195208221[Amount])</f>
        <v>0</v>
      </c>
      <c r="E111" s="213"/>
      <c r="F111" s="213"/>
      <c r="G111" s="212"/>
    </row>
    <row r="113" spans="2:7" s="1" customFormat="1" ht="24.75" customHeight="1">
      <c r="B113" s="205" t="s">
        <v>165</v>
      </c>
      <c r="C113" s="117"/>
      <c r="D113" s="117"/>
      <c r="E113" s="117"/>
      <c r="F113" s="117"/>
      <c r="G113" s="117"/>
    </row>
    <row r="114" spans="2:7" s="1" customFormat="1" ht="16.5" customHeight="1">
      <c r="B114" s="117"/>
      <c r="C114" s="117"/>
      <c r="D114" s="117"/>
      <c r="E114" s="117"/>
      <c r="F114" s="117"/>
      <c r="G114" s="117"/>
    </row>
    <row r="115" spans="2:7" s="1" customFormat="1" ht="16.5" customHeight="1">
      <c r="B115" s="206" t="s">
        <v>50</v>
      </c>
      <c r="C115" s="207" t="s">
        <v>71</v>
      </c>
      <c r="D115" s="206" t="s">
        <v>48</v>
      </c>
      <c r="E115" s="207" t="s">
        <v>47</v>
      </c>
      <c r="F115" s="206" t="s">
        <v>660</v>
      </c>
      <c r="G115" s="206" t="s">
        <v>45</v>
      </c>
    </row>
    <row r="116" spans="2:7" s="1" customFormat="1" ht="16.5" customHeight="1">
      <c r="B116" s="25"/>
      <c r="C116" s="51"/>
      <c r="D116" s="211"/>
      <c r="E116" s="51"/>
      <c r="F116" s="27"/>
      <c r="G116" s="27"/>
    </row>
    <row r="117" spans="2:7" s="1" customFormat="1" ht="16.5" customHeight="1">
      <c r="B117" s="25"/>
      <c r="C117" s="51"/>
      <c r="D117" s="211"/>
      <c r="E117" s="51"/>
      <c r="F117" s="27"/>
      <c r="G117" s="27"/>
    </row>
    <row r="118" spans="2:7" s="1" customFormat="1" ht="16.5" customHeight="1">
      <c r="B118" s="25"/>
      <c r="C118" s="51"/>
      <c r="D118" s="211"/>
      <c r="E118" s="51"/>
      <c r="F118" s="27"/>
      <c r="G118" s="27"/>
    </row>
    <row r="119" spans="2:7" s="1" customFormat="1" ht="16.5" customHeight="1">
      <c r="B119" s="25"/>
      <c r="C119" s="51"/>
      <c r="D119" s="211"/>
      <c r="E119" s="51"/>
      <c r="F119" s="27"/>
      <c r="G119" s="27"/>
    </row>
    <row r="120" spans="2:7" s="1" customFormat="1" ht="16.5" customHeight="1">
      <c r="B120" s="25"/>
      <c r="C120" s="51"/>
      <c r="D120" s="211"/>
      <c r="E120" s="51"/>
      <c r="F120" s="27"/>
      <c r="G120" s="27"/>
    </row>
    <row r="121" spans="2:7" s="1" customFormat="1" ht="16.5" customHeight="1">
      <c r="B121" s="25"/>
      <c r="C121" s="51"/>
      <c r="D121" s="211"/>
      <c r="E121" s="51"/>
      <c r="F121" s="27"/>
      <c r="G121" s="27"/>
    </row>
    <row r="122" spans="2:7" s="1" customFormat="1" ht="16.5" customHeight="1">
      <c r="B122" s="337"/>
      <c r="C122" s="338"/>
      <c r="D122" s="339"/>
      <c r="E122" s="338"/>
      <c r="F122" s="340"/>
      <c r="G122" s="340"/>
    </row>
    <row r="123" spans="2:7" s="1" customFormat="1" ht="16.5" customHeight="1">
      <c r="B123" s="337"/>
      <c r="C123" s="338"/>
      <c r="D123" s="339"/>
      <c r="E123" s="338"/>
      <c r="F123" s="340"/>
      <c r="G123" s="340"/>
    </row>
    <row r="124" spans="2:7" s="1" customFormat="1" ht="16.5" customHeight="1">
      <c r="B124" s="337"/>
      <c r="C124" s="338"/>
      <c r="D124" s="339"/>
      <c r="E124" s="338"/>
      <c r="F124" s="340"/>
      <c r="G124" s="340"/>
    </row>
    <row r="125" spans="2:7" s="1" customFormat="1" ht="16.5" customHeight="1">
      <c r="B125" s="337"/>
      <c r="C125" s="338"/>
      <c r="D125" s="339"/>
      <c r="E125" s="338"/>
      <c r="F125" s="340"/>
      <c r="G125" s="340"/>
    </row>
    <row r="126" spans="2:7" s="1" customFormat="1" ht="16.5" customHeight="1">
      <c r="B126" s="337"/>
      <c r="C126" s="338"/>
      <c r="D126" s="339"/>
      <c r="E126" s="338"/>
      <c r="F126" s="340"/>
      <c r="G126" s="340"/>
    </row>
    <row r="127" spans="2:7" s="1" customFormat="1" ht="16.5" customHeight="1">
      <c r="B127" s="224" t="s">
        <v>1</v>
      </c>
      <c r="C127" s="225"/>
      <c r="D127" s="226">
        <f>SUBTOTAL(109,ExpFeb131144157170183196209222[Amount])</f>
        <v>0</v>
      </c>
      <c r="E127" s="225"/>
      <c r="F127" s="224"/>
      <c r="G127" s="395"/>
    </row>
    <row r="129" spans="2:7" s="1" customFormat="1" ht="24.75" customHeight="1">
      <c r="B129" s="205" t="s">
        <v>166</v>
      </c>
      <c r="C129" s="117"/>
      <c r="D129" s="117"/>
      <c r="E129" s="117"/>
      <c r="F129" s="117"/>
      <c r="G129" s="117"/>
    </row>
    <row r="130" spans="2:7" s="1" customFormat="1" ht="16.5" customHeight="1">
      <c r="B130" s="117"/>
      <c r="C130" s="117"/>
      <c r="D130" s="117"/>
      <c r="E130" s="117"/>
      <c r="F130" s="117"/>
      <c r="G130" s="117"/>
    </row>
    <row r="131" spans="2:7" s="1" customFormat="1" ht="16.5" customHeight="1">
      <c r="B131" s="206" t="s">
        <v>50</v>
      </c>
      <c r="C131" s="207" t="s">
        <v>71</v>
      </c>
      <c r="D131" s="206" t="s">
        <v>48</v>
      </c>
      <c r="E131" s="207" t="s">
        <v>47</v>
      </c>
      <c r="F131" s="207" t="s">
        <v>660</v>
      </c>
      <c r="G131" s="206" t="s">
        <v>45</v>
      </c>
    </row>
    <row r="132" spans="2:7" s="1" customFormat="1" ht="16.5" customHeight="1">
      <c r="B132" s="25"/>
      <c r="C132" s="51"/>
      <c r="D132" s="211"/>
      <c r="E132" s="51"/>
      <c r="F132" s="51"/>
      <c r="G132" s="27"/>
    </row>
    <row r="133" spans="2:7" s="1" customFormat="1" ht="16.5" customHeight="1">
      <c r="B133" s="25"/>
      <c r="C133" s="51"/>
      <c r="D133" s="211"/>
      <c r="E133" s="51"/>
      <c r="F133" s="51"/>
      <c r="G133" s="27"/>
    </row>
    <row r="134" spans="2:7" s="1" customFormat="1" ht="16.5" customHeight="1">
      <c r="B134" s="25"/>
      <c r="C134" s="51"/>
      <c r="D134" s="211"/>
      <c r="E134" s="51"/>
      <c r="F134" s="51"/>
      <c r="G134" s="27"/>
    </row>
    <row r="135" spans="2:7" s="1" customFormat="1" ht="16.5" customHeight="1">
      <c r="B135" s="25"/>
      <c r="C135" s="51"/>
      <c r="D135" s="211"/>
      <c r="E135" s="51"/>
      <c r="F135" s="51"/>
      <c r="G135" s="27"/>
    </row>
    <row r="136" spans="2:7" s="1" customFormat="1" ht="16.5" customHeight="1">
      <c r="B136" s="25"/>
      <c r="C136" s="51"/>
      <c r="D136" s="211"/>
      <c r="E136" s="51"/>
      <c r="F136" s="51"/>
      <c r="G136" s="27"/>
    </row>
    <row r="137" spans="2:7" s="1" customFormat="1" ht="16.5" customHeight="1">
      <c r="B137" s="25"/>
      <c r="C137" s="51"/>
      <c r="D137" s="211"/>
      <c r="E137" s="51"/>
      <c r="F137" s="51"/>
      <c r="G137" s="27"/>
    </row>
    <row r="138" spans="2:7" s="1" customFormat="1" ht="16.5" customHeight="1">
      <c r="B138" s="25"/>
      <c r="C138" s="51"/>
      <c r="D138" s="211"/>
      <c r="E138" s="51"/>
      <c r="F138" s="51"/>
      <c r="G138" s="27"/>
    </row>
    <row r="139" spans="2:7" s="1" customFormat="1" ht="16.5" customHeight="1">
      <c r="B139" s="25"/>
      <c r="C139" s="51"/>
      <c r="D139" s="211"/>
      <c r="E139" s="51"/>
      <c r="F139" s="51"/>
      <c r="G139" s="27"/>
    </row>
    <row r="140" spans="2:7" s="1" customFormat="1" ht="16.5" customHeight="1">
      <c r="B140" s="25"/>
      <c r="C140" s="51"/>
      <c r="D140" s="211"/>
      <c r="E140" s="51"/>
      <c r="F140" s="51"/>
      <c r="G140" s="27"/>
    </row>
    <row r="141" spans="2:7" s="1" customFormat="1" ht="16.5" customHeight="1">
      <c r="B141" s="25"/>
      <c r="C141" s="51"/>
      <c r="D141" s="211"/>
      <c r="E141" s="51"/>
      <c r="F141" s="51"/>
      <c r="G141" s="27"/>
    </row>
    <row r="142" spans="2:7" s="1" customFormat="1" ht="16.5" customHeight="1">
      <c r="B142" s="25"/>
      <c r="C142" s="51"/>
      <c r="D142" s="211"/>
      <c r="E142" s="51"/>
      <c r="F142" s="51"/>
      <c r="G142" s="27"/>
    </row>
    <row r="143" spans="2:7" s="1" customFormat="1" ht="16.5" customHeight="1">
      <c r="B143" s="25"/>
      <c r="C143" s="51"/>
      <c r="D143" s="211"/>
      <c r="E143" s="51"/>
      <c r="F143" s="51"/>
      <c r="G143" s="27"/>
    </row>
    <row r="144" spans="2:7" s="1" customFormat="1" ht="16.5" customHeight="1">
      <c r="B144" s="25"/>
      <c r="C144" s="51"/>
      <c r="D144" s="211"/>
      <c r="E144" s="51"/>
      <c r="F144" s="51"/>
      <c r="G144" s="27"/>
    </row>
    <row r="145" spans="2:7" s="1" customFormat="1" ht="16.5" customHeight="1">
      <c r="B145" s="212" t="s">
        <v>1</v>
      </c>
      <c r="C145" s="213"/>
      <c r="D145" s="214">
        <f>SUBTOTAL(109,ExpMar132145158171184197210223[Amount])</f>
        <v>0</v>
      </c>
      <c r="E145" s="213"/>
      <c r="F145" s="213"/>
      <c r="G145" s="212"/>
    </row>
    <row r="147" spans="2:7" s="1" customFormat="1" ht="24.75" customHeight="1">
      <c r="B147" s="205" t="s">
        <v>167</v>
      </c>
      <c r="C147" s="117"/>
      <c r="D147" s="117"/>
      <c r="E147" s="117"/>
      <c r="F147" s="117"/>
      <c r="G147" s="117"/>
    </row>
    <row r="148" spans="2:7" s="1" customFormat="1" ht="16.5" customHeight="1">
      <c r="B148" s="117"/>
      <c r="C148" s="117"/>
      <c r="D148" s="117"/>
      <c r="E148" s="117"/>
      <c r="F148" s="117"/>
      <c r="G148" s="117"/>
    </row>
    <row r="149" spans="2:7" s="1" customFormat="1" ht="16.5" customHeight="1">
      <c r="B149" s="206" t="s">
        <v>50</v>
      </c>
      <c r="C149" s="207" t="s">
        <v>168</v>
      </c>
      <c r="D149" s="206" t="s">
        <v>48</v>
      </c>
      <c r="E149" s="207" t="s">
        <v>47</v>
      </c>
      <c r="F149" s="207" t="s">
        <v>660</v>
      </c>
      <c r="G149" s="206" t="s">
        <v>45</v>
      </c>
    </row>
    <row r="150" spans="2:7" s="1" customFormat="1" ht="16.5" customHeight="1">
      <c r="B150" s="215"/>
      <c r="C150" s="51"/>
      <c r="D150" s="216"/>
      <c r="E150" s="51"/>
      <c r="F150" s="51"/>
      <c r="G150" s="51"/>
    </row>
    <row r="151" spans="2:7" s="1" customFormat="1" ht="16.5" customHeight="1">
      <c r="B151" s="215"/>
      <c r="C151" s="51"/>
      <c r="D151" s="216"/>
      <c r="E151" s="51"/>
      <c r="F151" s="51"/>
      <c r="G151" s="51"/>
    </row>
    <row r="152" spans="2:7" s="1" customFormat="1" ht="16.5" customHeight="1">
      <c r="B152" s="215"/>
      <c r="C152" s="51"/>
      <c r="D152" s="216"/>
      <c r="E152" s="51"/>
      <c r="F152" s="51"/>
      <c r="G152" s="51"/>
    </row>
    <row r="153" spans="2:7" s="1" customFormat="1" ht="16.5" customHeight="1">
      <c r="B153" s="215"/>
      <c r="C153" s="51"/>
      <c r="D153" s="216"/>
      <c r="E153" s="51"/>
      <c r="F153" s="51"/>
      <c r="G153" s="51"/>
    </row>
    <row r="154" spans="2:7" s="1" customFormat="1" ht="16.5" customHeight="1">
      <c r="B154" s="215"/>
      <c r="C154" s="51"/>
      <c r="D154" s="216"/>
      <c r="E154" s="51"/>
      <c r="F154" s="51"/>
      <c r="G154" s="51"/>
    </row>
    <row r="155" spans="2:7" s="1" customFormat="1" ht="16.5" customHeight="1">
      <c r="B155" s="215"/>
      <c r="C155" s="51"/>
      <c r="D155" s="216"/>
      <c r="E155" s="51"/>
      <c r="F155" s="51"/>
      <c r="G155" s="51"/>
    </row>
    <row r="156" spans="2:7" s="1" customFormat="1" ht="16.5" customHeight="1">
      <c r="B156" s="215"/>
      <c r="C156" s="51"/>
      <c r="D156" s="216"/>
      <c r="E156" s="51"/>
      <c r="F156" s="51"/>
      <c r="G156" s="51"/>
    </row>
    <row r="157" spans="2:7" s="1" customFormat="1" ht="16.5" customHeight="1">
      <c r="B157" s="215"/>
      <c r="C157" s="51"/>
      <c r="D157" s="216"/>
      <c r="E157" s="51"/>
      <c r="F157" s="51"/>
      <c r="G157" s="51"/>
    </row>
    <row r="158" spans="2:7" s="1" customFormat="1" ht="16.5" customHeight="1">
      <c r="B158" s="215"/>
      <c r="C158" s="51"/>
      <c r="D158" s="216"/>
      <c r="E158" s="51"/>
      <c r="F158" s="51"/>
      <c r="G158" s="51"/>
    </row>
    <row r="159" spans="2:7" s="1" customFormat="1" ht="16.5" customHeight="1">
      <c r="B159" s="215"/>
      <c r="C159" s="51"/>
      <c r="D159" s="216"/>
      <c r="E159" s="51"/>
      <c r="F159" s="51"/>
      <c r="G159" s="51"/>
    </row>
    <row r="160" spans="2:7" s="1" customFormat="1" ht="16.5" customHeight="1">
      <c r="B160" s="215"/>
      <c r="C160" s="51"/>
      <c r="D160" s="216"/>
      <c r="E160" s="51"/>
      <c r="F160" s="51"/>
      <c r="G160" s="51"/>
    </row>
    <row r="161" spans="2:7" s="1" customFormat="1" ht="16.5" customHeight="1">
      <c r="B161" s="212" t="s">
        <v>1</v>
      </c>
      <c r="C161" s="213"/>
      <c r="D161" s="214">
        <f>SUBTOTAL(109,ExpApr133146159172185198211224[Amount])</f>
        <v>0</v>
      </c>
      <c r="E161" s="213"/>
      <c r="F161" s="213"/>
      <c r="G161" s="212"/>
    </row>
    <row r="163" spans="2:7" s="1" customFormat="1" ht="26.25" customHeight="1">
      <c r="B163" s="205" t="s">
        <v>169</v>
      </c>
      <c r="C163" s="117"/>
      <c r="D163" s="117"/>
      <c r="E163" s="117"/>
      <c r="F163" s="117"/>
      <c r="G163" s="117"/>
    </row>
    <row r="164" spans="2:7" s="1" customFormat="1" ht="16.5" customHeight="1">
      <c r="B164" s="117"/>
      <c r="C164" s="117"/>
      <c r="D164" s="117"/>
      <c r="E164" s="117"/>
      <c r="F164" s="117"/>
      <c r="G164" s="117"/>
    </row>
    <row r="165" spans="2:7" s="1" customFormat="1" ht="16.5" customHeight="1">
      <c r="B165" s="206" t="s">
        <v>50</v>
      </c>
      <c r="C165" s="207" t="s">
        <v>71</v>
      </c>
      <c r="D165" s="206" t="s">
        <v>48</v>
      </c>
      <c r="E165" s="207" t="s">
        <v>47</v>
      </c>
      <c r="F165" s="207" t="s">
        <v>660</v>
      </c>
      <c r="G165" s="206" t="s">
        <v>45</v>
      </c>
    </row>
    <row r="166" spans="2:7" s="1" customFormat="1" ht="16.5" customHeight="1">
      <c r="B166" s="25"/>
      <c r="C166" s="51"/>
      <c r="D166" s="211"/>
      <c r="E166" s="51"/>
      <c r="F166" s="51"/>
      <c r="G166" s="27"/>
    </row>
    <row r="167" spans="2:7" s="1" customFormat="1" ht="16.5" customHeight="1">
      <c r="B167" s="25"/>
      <c r="C167" s="51"/>
      <c r="D167" s="211"/>
      <c r="E167" s="51"/>
      <c r="F167" s="51"/>
      <c r="G167" s="27"/>
    </row>
    <row r="168" spans="2:7" s="1" customFormat="1" ht="16.5" customHeight="1">
      <c r="B168" s="25"/>
      <c r="C168" s="51"/>
      <c r="D168" s="211"/>
      <c r="E168" s="51"/>
      <c r="F168" s="51"/>
      <c r="G168" s="27"/>
    </row>
    <row r="169" spans="2:7" s="1" customFormat="1" ht="16.5" customHeight="1">
      <c r="B169" s="25"/>
      <c r="C169" s="51"/>
      <c r="D169" s="211"/>
      <c r="E169" s="51"/>
      <c r="F169" s="51"/>
      <c r="G169" s="27"/>
    </row>
    <row r="170" spans="2:7" s="1" customFormat="1" ht="16.5" customHeight="1">
      <c r="B170" s="25"/>
      <c r="C170" s="51"/>
      <c r="D170" s="211"/>
      <c r="E170" s="51"/>
      <c r="F170" s="51"/>
      <c r="G170" s="27"/>
    </row>
    <row r="171" spans="2:7" s="1" customFormat="1" ht="16.5" customHeight="1">
      <c r="B171" s="25"/>
      <c r="C171" s="51"/>
      <c r="D171" s="211"/>
      <c r="E171" s="51"/>
      <c r="F171" s="51"/>
      <c r="G171" s="27"/>
    </row>
    <row r="172" spans="2:7" s="1" customFormat="1" ht="16.5" customHeight="1">
      <c r="B172" s="25"/>
      <c r="C172" s="51"/>
      <c r="D172" s="211"/>
      <c r="E172" s="51"/>
      <c r="F172" s="51"/>
      <c r="G172" s="27"/>
    </row>
    <row r="173" spans="2:7" s="1" customFormat="1" ht="16.5" customHeight="1">
      <c r="B173" s="25"/>
      <c r="C173" s="51"/>
      <c r="D173" s="211"/>
      <c r="E173" s="51"/>
      <c r="F173" s="51"/>
      <c r="G173" s="27"/>
    </row>
    <row r="174" spans="2:7" s="1" customFormat="1" ht="16.5" customHeight="1">
      <c r="B174" s="25"/>
      <c r="C174" s="51"/>
      <c r="D174" s="211"/>
      <c r="E174" s="51"/>
      <c r="F174" s="51"/>
      <c r="G174" s="27"/>
    </row>
    <row r="175" spans="2:7" s="1" customFormat="1" ht="16.5" customHeight="1">
      <c r="B175" s="25"/>
      <c r="C175" s="51"/>
      <c r="D175" s="211"/>
      <c r="E175" s="51"/>
      <c r="F175" s="51"/>
      <c r="G175" s="27"/>
    </row>
    <row r="176" spans="2:7" s="1" customFormat="1" ht="16.5" customHeight="1">
      <c r="B176" s="25"/>
      <c r="C176" s="51"/>
      <c r="D176" s="211"/>
      <c r="E176" s="51"/>
      <c r="F176" s="51"/>
      <c r="G176" s="27"/>
    </row>
    <row r="177" spans="2:7" s="1" customFormat="1" ht="16.5" customHeight="1">
      <c r="B177" s="25"/>
      <c r="C177" s="51"/>
      <c r="D177" s="211"/>
      <c r="E177" s="51"/>
      <c r="F177" s="51"/>
      <c r="G177" s="27"/>
    </row>
    <row r="178" spans="2:7" s="1" customFormat="1" ht="16.5" customHeight="1">
      <c r="B178" s="224" t="s">
        <v>1</v>
      </c>
      <c r="C178" s="225"/>
      <c r="D178" s="226">
        <f>SUBTOTAL(109,ExpMay134147160173186199212225[Amount])</f>
        <v>0</v>
      </c>
      <c r="E178" s="225"/>
      <c r="F178" s="225"/>
      <c r="G178" s="224"/>
    </row>
    <row r="180" spans="2:7" s="1" customFormat="1" ht="26.25" customHeight="1">
      <c r="B180" s="205" t="s">
        <v>170</v>
      </c>
      <c r="C180" s="117"/>
      <c r="D180" s="117"/>
      <c r="E180" s="117"/>
      <c r="F180" s="117"/>
      <c r="G180" s="117"/>
    </row>
    <row r="181" spans="2:7" s="1" customFormat="1" ht="16.5" customHeight="1">
      <c r="B181" s="117"/>
      <c r="C181" s="117"/>
      <c r="D181" s="117"/>
      <c r="E181" s="117"/>
      <c r="F181" s="117"/>
      <c r="G181" s="117"/>
    </row>
    <row r="182" spans="2:7" s="1" customFormat="1" ht="16.5" customHeight="1">
      <c r="B182" s="206" t="s">
        <v>50</v>
      </c>
      <c r="C182" s="207" t="s">
        <v>155</v>
      </c>
      <c r="D182" s="206" t="s">
        <v>48</v>
      </c>
      <c r="E182" s="207" t="s">
        <v>47</v>
      </c>
      <c r="F182" s="207" t="s">
        <v>660</v>
      </c>
      <c r="G182" s="206" t="s">
        <v>45</v>
      </c>
    </row>
    <row r="183" spans="2:7" s="1" customFormat="1" ht="16.5" customHeight="1">
      <c r="B183" s="215"/>
      <c r="C183" s="51"/>
      <c r="D183" s="216"/>
      <c r="E183" s="51"/>
      <c r="F183" s="51"/>
      <c r="G183" s="51"/>
    </row>
    <row r="184" spans="2:7" s="1" customFormat="1" ht="16.5" customHeight="1">
      <c r="B184" s="215"/>
      <c r="C184" s="51"/>
      <c r="D184" s="216"/>
      <c r="E184" s="51"/>
      <c r="F184" s="51"/>
      <c r="G184" s="51"/>
    </row>
    <row r="185" spans="2:7" s="1" customFormat="1" ht="16.5" customHeight="1">
      <c r="B185" s="215"/>
      <c r="C185" s="51"/>
      <c r="D185" s="216"/>
      <c r="E185" s="51"/>
      <c r="F185" s="51"/>
      <c r="G185" s="51"/>
    </row>
    <row r="186" spans="2:7" s="1" customFormat="1" ht="16.5" customHeight="1">
      <c r="B186" s="215"/>
      <c r="C186" s="51"/>
      <c r="D186" s="216"/>
      <c r="E186" s="51"/>
      <c r="F186" s="51"/>
      <c r="G186" s="51"/>
    </row>
    <row r="187" spans="2:7" s="1" customFormat="1" ht="16.5" customHeight="1">
      <c r="B187" s="215"/>
      <c r="C187" s="51"/>
      <c r="D187" s="216"/>
      <c r="E187" s="51"/>
      <c r="F187" s="51"/>
      <c r="G187" s="51"/>
    </row>
    <row r="188" spans="2:7" s="1" customFormat="1" ht="16.5" customHeight="1">
      <c r="B188" s="215"/>
      <c r="C188" s="51"/>
      <c r="D188" s="216"/>
      <c r="E188" s="51"/>
      <c r="F188" s="51"/>
      <c r="G188" s="51"/>
    </row>
    <row r="189" spans="2:7" s="1" customFormat="1" ht="16.5" customHeight="1">
      <c r="B189" s="215"/>
      <c r="C189" s="51"/>
      <c r="D189" s="216"/>
      <c r="E189" s="51"/>
      <c r="F189" s="51"/>
      <c r="G189" s="51"/>
    </row>
    <row r="190" spans="2:7" s="1" customFormat="1" ht="16.5" customHeight="1">
      <c r="B190" s="215"/>
      <c r="C190" s="51"/>
      <c r="D190" s="216"/>
      <c r="E190" s="51"/>
      <c r="F190" s="51"/>
      <c r="G190" s="51"/>
    </row>
    <row r="191" spans="2:7" s="1" customFormat="1" ht="16.5" customHeight="1">
      <c r="B191" s="215"/>
      <c r="C191" s="51"/>
      <c r="D191" s="216"/>
      <c r="E191" s="51"/>
      <c r="F191" s="51"/>
      <c r="G191" s="51"/>
    </row>
    <row r="192" spans="2:7" s="1" customFormat="1" ht="16.5" customHeight="1">
      <c r="B192" s="215"/>
      <c r="C192" s="51"/>
      <c r="D192" s="216"/>
      <c r="E192" s="51"/>
      <c r="F192" s="51"/>
      <c r="G192" s="51"/>
    </row>
    <row r="193" spans="2:7" s="1" customFormat="1" ht="16.5" customHeight="1">
      <c r="B193" s="215"/>
      <c r="C193" s="51"/>
      <c r="D193" s="216"/>
      <c r="E193" s="51"/>
      <c r="F193" s="51"/>
      <c r="G193" s="51"/>
    </row>
    <row r="194" spans="2:7" s="1" customFormat="1" ht="16.5" customHeight="1">
      <c r="B194" s="224" t="s">
        <v>1</v>
      </c>
      <c r="C194" s="225"/>
      <c r="D194" s="226">
        <f>SUBTOTAL(109,ExpJun135148161174187200213226[Amount])</f>
        <v>0</v>
      </c>
      <c r="E194" s="225"/>
      <c r="F194" s="225"/>
      <c r="G194" s="224"/>
    </row>
  </sheetData>
  <dataValidations count="14">
    <dataValidation type="custom" errorStyle="warning" allowBlank="1" showInputMessage="1" showErrorMessage="1" errorTitle="Amount Validation" error="Amount should be a number." sqref="D5:D17 D19 D23:D40 D47:D55 D61:D71 D77:D86 D92:D97 D103:D110 D116:D126 D132:D144 D150:D160 D166:D177 D183:D193">
      <formula1>ISNUMBER($D5)</formula1>
    </dataValidation>
    <dataValidation type="custom" errorStyle="warning" allowBlank="1" showInputMessage="1" showErrorMessage="1" errorTitle="Date Validation" error="A date in July needs be entered  in order for this expense to be added to the Summary sheet." sqref="B5:B17 B19">
      <formula1>MONTH($B5)=7</formula1>
    </dataValidation>
    <dataValidation type="list" errorStyle="warning" allowBlank="1" showInputMessage="1" showErrorMessage="1" errorTitle="Unknown Category" error="An expense from the drop down should be selected in order for it to be included on the Summary sheet." sqref="E5:F17 E19:F19 E23:F40 E47:F55 E61:F71 E77:F86 E92:F97 E103:F110 E116:E126 E132:F144 E150:F160 E166:F177 E183:F193">
      <formula1>ExpenseCategories</formula1>
    </dataValidation>
    <dataValidation type="custom" errorStyle="warning" allowBlank="1" showInputMessage="1" showErrorMessage="1" errorTitle="Date Validation" error="A date in August needs be entered  in order for this expense to be added to the Summary sheet." sqref="B23:B40">
      <formula1>MONTH($B23)=8</formula1>
    </dataValidation>
    <dataValidation type="custom" errorStyle="warning" allowBlank="1" showInputMessage="1" showErrorMessage="1" errorTitle="Date Validation" error="A date in September needs be entered  in order for this expense to be added to the Summary sheet." sqref="B47:B55">
      <formula1>MONTH($B47)=9</formula1>
    </dataValidation>
    <dataValidation type="custom" errorStyle="warning" allowBlank="1" showInputMessage="1" showErrorMessage="1" errorTitle="Date Validation" error="A date in June needs be entered  in order for this expense to be added to the Summary sheet." sqref="B183:B193">
      <formula1>MONTH($B183)=6</formula1>
    </dataValidation>
    <dataValidation type="custom" errorStyle="warning" allowBlank="1" showInputMessage="1" showErrorMessage="1" errorTitle="Date Validation" error="A date in May needs be entered  in order for this expense to be added to the Summary sheet." sqref="B166:B177">
      <formula1>MONTH($B166)=5</formula1>
    </dataValidation>
    <dataValidation type="custom" errorStyle="warning" allowBlank="1" showInputMessage="1" showErrorMessage="1" errorTitle="Date Validation" error="A date in April needs be entered  in order for this expense to be added to the Summary sheet." sqref="B150:B160">
      <formula1>MONTH($B150)=4</formula1>
    </dataValidation>
    <dataValidation type="custom" errorStyle="warning" allowBlank="1" showInputMessage="1" showErrorMessage="1" errorTitle="Date Validation" error="A date in March needs be entered in order for this expense to be added to the Summary sheet." sqref="B132:B144">
      <formula1>MONTH($B132)=3</formula1>
    </dataValidation>
    <dataValidation type="custom" errorStyle="warning" allowBlank="1" showInputMessage="1" showErrorMessage="1" errorTitle="Date Validation" error="A date in February needs be entered in order for this expense to be added to the Summary sheet." sqref="B116:B126">
      <formula1>MONTH($B116)=2</formula1>
    </dataValidation>
    <dataValidation type="custom" errorStyle="warning" allowBlank="1" showInputMessage="1" showErrorMessage="1" errorTitle="Date Validation" error="A date in January needs be entered in order for this expense to be added to the Summary sheet." sqref="B103:B110">
      <formula1>MONTH($B103)=1</formula1>
    </dataValidation>
    <dataValidation type="custom" errorStyle="warning" allowBlank="1" showInputMessage="1" showErrorMessage="1" errorTitle="Date Validation" error="A date in December needs be entered  in order for this expense to be added to the Summary sheet." sqref="B92:B97">
      <formula1>MONTH($B92)=12</formula1>
    </dataValidation>
    <dataValidation type="custom" errorStyle="warning" allowBlank="1" showInputMessage="1" showErrorMessage="1" errorTitle="Date Validation" error="A date in November needs be entered  in order for this expense to be added to the Summary sheet." sqref="B77:B86">
      <formula1>MONTH($B77)=11</formula1>
    </dataValidation>
    <dataValidation type="custom" errorStyle="warning" allowBlank="1" showInputMessage="1" showErrorMessage="1" errorTitle="Date Validation" error="A date in October needs be entered  in order for this expense to be added to the Summary sheet." sqref="B61:B71">
      <formula1>MONTH($B61)=10</formula1>
    </dataValidation>
  </dataValidations>
  <printOptions horizontalCentered="1"/>
  <pageMargins left="0.25" right="0.25" top="0.75" bottom="0.75" header="0.3" footer="0.3"/>
  <pageSetup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80"/>
  <sheetViews>
    <sheetView topLeftCell="A43" workbookViewId="0">
      <selection activeCell="J58" sqref="A1:XFD1048576"/>
    </sheetView>
  </sheetViews>
  <sheetFormatPr defaultColWidth="9.140625" defaultRowHeight="12.75"/>
  <cols>
    <col min="1" max="1" width="16.140625" style="260" customWidth="1"/>
    <col min="2" max="2" width="13.42578125" style="260" customWidth="1"/>
    <col min="3" max="3" width="11.42578125" style="260" customWidth="1"/>
    <col min="4" max="4" width="14" style="260" customWidth="1"/>
    <col min="5" max="5" width="14.140625" style="260" customWidth="1"/>
    <col min="6" max="6" width="12.7109375" style="260" customWidth="1"/>
    <col min="7" max="7" width="13.28515625" style="260" customWidth="1"/>
    <col min="8" max="16384" width="9.140625" style="260"/>
  </cols>
  <sheetData>
    <row r="1" spans="1:7" ht="13.5" customHeight="1">
      <c r="A1" s="278" t="s">
        <v>155</v>
      </c>
      <c r="B1" s="279" t="s">
        <v>154</v>
      </c>
      <c r="C1" s="280"/>
      <c r="D1" s="279" t="s">
        <v>153</v>
      </c>
      <c r="E1" s="280"/>
      <c r="F1" s="279" t="s">
        <v>152</v>
      </c>
      <c r="G1" s="280"/>
    </row>
    <row r="2" spans="1:7" ht="22.5">
      <c r="A2" s="516"/>
      <c r="B2" s="517" t="str">
        <f t="shared" ref="B2:B39" si="0">D1</f>
        <v>Current PM Date &amp; Mileage</v>
      </c>
      <c r="C2" s="361"/>
      <c r="D2" s="518"/>
      <c r="E2" s="352"/>
      <c r="F2" s="519">
        <f t="shared" ref="F2:F39" si="1">SUM(E2-E1)</f>
        <v>0</v>
      </c>
      <c r="G2" s="520"/>
    </row>
    <row r="3" spans="1:7">
      <c r="A3" s="516"/>
      <c r="B3" s="354">
        <f t="shared" si="0"/>
        <v>0</v>
      </c>
      <c r="C3" s="355"/>
      <c r="D3" s="521" t="s">
        <v>1558</v>
      </c>
      <c r="E3" s="357">
        <v>5113</v>
      </c>
      <c r="F3" s="358">
        <f t="shared" si="1"/>
        <v>5113</v>
      </c>
      <c r="G3" s="359" t="b">
        <f t="shared" ref="G3:G27" si="2">IF(F3&gt;5250,"OVER")</f>
        <v>0</v>
      </c>
    </row>
    <row r="4" spans="1:7">
      <c r="A4" s="516">
        <v>9769</v>
      </c>
      <c r="B4" s="354" t="str">
        <f t="shared" si="0"/>
        <v>4.19.16</v>
      </c>
      <c r="C4" s="355">
        <v>5113</v>
      </c>
      <c r="D4" s="521" t="s">
        <v>210</v>
      </c>
      <c r="E4" s="357">
        <v>10095</v>
      </c>
      <c r="F4" s="358">
        <f t="shared" si="1"/>
        <v>4982</v>
      </c>
      <c r="G4" s="359" t="b">
        <f t="shared" si="2"/>
        <v>0</v>
      </c>
    </row>
    <row r="5" spans="1:7">
      <c r="A5" s="516">
        <v>9830</v>
      </c>
      <c r="B5" s="354" t="str">
        <f t="shared" si="0"/>
        <v>5.27.16</v>
      </c>
      <c r="C5" s="355">
        <v>10095</v>
      </c>
      <c r="D5" s="521" t="s">
        <v>1557</v>
      </c>
      <c r="E5" s="357">
        <v>15063</v>
      </c>
      <c r="F5" s="358">
        <f t="shared" si="1"/>
        <v>4968</v>
      </c>
      <c r="G5" s="359" t="b">
        <f t="shared" si="2"/>
        <v>0</v>
      </c>
    </row>
    <row r="6" spans="1:7">
      <c r="A6" s="516">
        <v>9891</v>
      </c>
      <c r="B6" s="354" t="str">
        <f t="shared" si="0"/>
        <v>7.1.16</v>
      </c>
      <c r="C6" s="355">
        <v>15063</v>
      </c>
      <c r="D6" s="521" t="s">
        <v>1556</v>
      </c>
      <c r="E6" s="357">
        <v>20121</v>
      </c>
      <c r="F6" s="358">
        <f t="shared" si="1"/>
        <v>5058</v>
      </c>
      <c r="G6" s="359" t="b">
        <f t="shared" si="2"/>
        <v>0</v>
      </c>
    </row>
    <row r="7" spans="1:7">
      <c r="A7" s="516">
        <v>9952</v>
      </c>
      <c r="B7" s="354" t="str">
        <f t="shared" si="0"/>
        <v>8.4.16</v>
      </c>
      <c r="C7" s="355">
        <v>20121</v>
      </c>
      <c r="D7" s="521" t="s">
        <v>1555</v>
      </c>
      <c r="E7" s="357">
        <v>25103</v>
      </c>
      <c r="F7" s="358">
        <f t="shared" si="1"/>
        <v>4982</v>
      </c>
      <c r="G7" s="359" t="b">
        <f t="shared" si="2"/>
        <v>0</v>
      </c>
    </row>
    <row r="8" spans="1:7">
      <c r="A8" s="516">
        <v>10021</v>
      </c>
      <c r="B8" s="354" t="str">
        <f t="shared" si="0"/>
        <v>9.8.16</v>
      </c>
      <c r="C8" s="355">
        <v>25103</v>
      </c>
      <c r="D8" s="521" t="s">
        <v>1554</v>
      </c>
      <c r="E8" s="357">
        <v>30140</v>
      </c>
      <c r="F8" s="358">
        <f t="shared" si="1"/>
        <v>5037</v>
      </c>
      <c r="G8" s="359" t="b">
        <f t="shared" si="2"/>
        <v>0</v>
      </c>
    </row>
    <row r="9" spans="1:7">
      <c r="A9" s="516">
        <v>10118</v>
      </c>
      <c r="B9" s="354" t="str">
        <f t="shared" si="0"/>
        <v>10.28.16</v>
      </c>
      <c r="C9" s="355">
        <v>30140</v>
      </c>
      <c r="D9" s="521" t="s">
        <v>1553</v>
      </c>
      <c r="E9" s="357">
        <v>34955</v>
      </c>
      <c r="F9" s="358">
        <f t="shared" si="1"/>
        <v>4815</v>
      </c>
      <c r="G9" s="359" t="b">
        <f t="shared" si="2"/>
        <v>0</v>
      </c>
    </row>
    <row r="10" spans="1:7">
      <c r="A10" s="516">
        <v>10167</v>
      </c>
      <c r="B10" s="354" t="str">
        <f t="shared" si="0"/>
        <v>11.28.16</v>
      </c>
      <c r="C10" s="355">
        <v>34955</v>
      </c>
      <c r="D10" s="521" t="s">
        <v>1552</v>
      </c>
      <c r="E10" s="357">
        <v>39927</v>
      </c>
      <c r="F10" s="358">
        <f t="shared" si="1"/>
        <v>4972</v>
      </c>
      <c r="G10" s="359" t="b">
        <f t="shared" si="2"/>
        <v>0</v>
      </c>
    </row>
    <row r="11" spans="1:7">
      <c r="A11" s="516">
        <v>10214</v>
      </c>
      <c r="B11" s="354" t="str">
        <f t="shared" si="0"/>
        <v>12.30.16</v>
      </c>
      <c r="C11" s="355">
        <v>39927</v>
      </c>
      <c r="D11" s="521" t="s">
        <v>1551</v>
      </c>
      <c r="E11" s="357">
        <v>44789</v>
      </c>
      <c r="F11" s="358">
        <f t="shared" si="1"/>
        <v>4862</v>
      </c>
      <c r="G11" s="359" t="b">
        <f t="shared" si="2"/>
        <v>0</v>
      </c>
    </row>
    <row r="12" spans="1:7">
      <c r="A12" s="516">
        <v>10273</v>
      </c>
      <c r="B12" s="354" t="str">
        <f t="shared" si="0"/>
        <v>1.31.17</v>
      </c>
      <c r="C12" s="355">
        <v>44789</v>
      </c>
      <c r="D12" s="521" t="s">
        <v>1550</v>
      </c>
      <c r="E12" s="357">
        <v>49898</v>
      </c>
      <c r="F12" s="358">
        <f t="shared" si="1"/>
        <v>5109</v>
      </c>
      <c r="G12" s="359" t="b">
        <f t="shared" si="2"/>
        <v>0</v>
      </c>
    </row>
    <row r="13" spans="1:7">
      <c r="A13" s="516">
        <v>10338</v>
      </c>
      <c r="B13" s="354" t="str">
        <f t="shared" si="0"/>
        <v>3.4.17</v>
      </c>
      <c r="C13" s="355">
        <v>49898</v>
      </c>
      <c r="D13" s="521" t="s">
        <v>1549</v>
      </c>
      <c r="E13" s="357">
        <v>54864</v>
      </c>
      <c r="F13" s="358">
        <f t="shared" si="1"/>
        <v>4966</v>
      </c>
      <c r="G13" s="359" t="b">
        <f t="shared" si="2"/>
        <v>0</v>
      </c>
    </row>
    <row r="14" spans="1:7">
      <c r="A14" s="516">
        <v>10392</v>
      </c>
      <c r="B14" s="354" t="str">
        <f t="shared" si="0"/>
        <v>4.3.17</v>
      </c>
      <c r="C14" s="355">
        <v>54864</v>
      </c>
      <c r="D14" s="521" t="s">
        <v>1548</v>
      </c>
      <c r="E14" s="357">
        <v>59813</v>
      </c>
      <c r="F14" s="358">
        <f t="shared" si="1"/>
        <v>4949</v>
      </c>
      <c r="G14" s="359" t="b">
        <f t="shared" si="2"/>
        <v>0</v>
      </c>
    </row>
    <row r="15" spans="1:7">
      <c r="A15" s="516">
        <v>10458</v>
      </c>
      <c r="B15" s="354" t="str">
        <f t="shared" si="0"/>
        <v>5.5.17</v>
      </c>
      <c r="C15" s="355">
        <v>59813</v>
      </c>
      <c r="D15" s="521"/>
      <c r="E15" s="538"/>
      <c r="F15" s="358">
        <f t="shared" si="1"/>
        <v>-59813</v>
      </c>
      <c r="G15" s="359" t="b">
        <f t="shared" si="2"/>
        <v>0</v>
      </c>
    </row>
    <row r="16" spans="1:7">
      <c r="A16" s="516"/>
      <c r="B16" s="354">
        <f t="shared" si="0"/>
        <v>0</v>
      </c>
      <c r="C16" s="361"/>
      <c r="D16" s="522"/>
      <c r="E16" s="363"/>
      <c r="F16" s="358">
        <f t="shared" si="1"/>
        <v>0</v>
      </c>
      <c r="G16" s="359" t="b">
        <f t="shared" si="2"/>
        <v>0</v>
      </c>
    </row>
    <row r="17" spans="1:7" ht="13.5" thickBot="1">
      <c r="A17" s="523"/>
      <c r="B17" s="354">
        <f t="shared" si="0"/>
        <v>0</v>
      </c>
      <c r="C17" s="365"/>
      <c r="D17" s="524"/>
      <c r="E17" s="367"/>
      <c r="F17" s="358">
        <f t="shared" si="1"/>
        <v>0</v>
      </c>
      <c r="G17" s="359" t="b">
        <f t="shared" si="2"/>
        <v>0</v>
      </c>
    </row>
    <row r="18" spans="1:7" ht="13.5" thickBot="1">
      <c r="A18" s="525"/>
      <c r="B18" s="354">
        <f t="shared" si="0"/>
        <v>0</v>
      </c>
      <c r="C18" s="370"/>
      <c r="D18" s="526"/>
      <c r="E18" s="372"/>
      <c r="F18" s="358">
        <f t="shared" si="1"/>
        <v>0</v>
      </c>
      <c r="G18" s="359" t="b">
        <f t="shared" si="2"/>
        <v>0</v>
      </c>
    </row>
    <row r="19" spans="1:7">
      <c r="A19" s="527"/>
      <c r="B19" s="354">
        <f t="shared" si="0"/>
        <v>0</v>
      </c>
      <c r="C19" s="375"/>
      <c r="D19" s="528"/>
      <c r="E19" s="377"/>
      <c r="F19" s="358">
        <f t="shared" si="1"/>
        <v>0</v>
      </c>
      <c r="G19" s="359" t="b">
        <f t="shared" si="2"/>
        <v>0</v>
      </c>
    </row>
    <row r="20" spans="1:7">
      <c r="A20" s="516"/>
      <c r="B20" s="354">
        <f t="shared" si="0"/>
        <v>0</v>
      </c>
      <c r="C20" s="355"/>
      <c r="D20" s="521"/>
      <c r="E20" s="357"/>
      <c r="F20" s="358">
        <f t="shared" si="1"/>
        <v>0</v>
      </c>
      <c r="G20" s="359" t="b">
        <f t="shared" si="2"/>
        <v>0</v>
      </c>
    </row>
    <row r="21" spans="1:7">
      <c r="A21" s="516"/>
      <c r="B21" s="354">
        <f t="shared" si="0"/>
        <v>0</v>
      </c>
      <c r="C21" s="355"/>
      <c r="D21" s="521"/>
      <c r="E21" s="357"/>
      <c r="F21" s="358">
        <f t="shared" si="1"/>
        <v>0</v>
      </c>
      <c r="G21" s="359" t="b">
        <f t="shared" si="2"/>
        <v>0</v>
      </c>
    </row>
    <row r="22" spans="1:7">
      <c r="A22" s="516"/>
      <c r="B22" s="354">
        <f t="shared" si="0"/>
        <v>0</v>
      </c>
      <c r="C22" s="355"/>
      <c r="D22" s="521"/>
      <c r="E22" s="357"/>
      <c r="F22" s="358">
        <f t="shared" si="1"/>
        <v>0</v>
      </c>
      <c r="G22" s="359" t="b">
        <f t="shared" si="2"/>
        <v>0</v>
      </c>
    </row>
    <row r="23" spans="1:7">
      <c r="A23" s="516"/>
      <c r="B23" s="354">
        <f t="shared" si="0"/>
        <v>0</v>
      </c>
      <c r="C23" s="355"/>
      <c r="D23" s="521"/>
      <c r="E23" s="357"/>
      <c r="F23" s="358">
        <f t="shared" si="1"/>
        <v>0</v>
      </c>
      <c r="G23" s="359" t="b">
        <f t="shared" si="2"/>
        <v>0</v>
      </c>
    </row>
    <row r="24" spans="1:7">
      <c r="A24" s="516"/>
      <c r="B24" s="354">
        <f t="shared" si="0"/>
        <v>0</v>
      </c>
      <c r="C24" s="355"/>
      <c r="D24" s="521"/>
      <c r="E24" s="357"/>
      <c r="F24" s="358">
        <f t="shared" si="1"/>
        <v>0</v>
      </c>
      <c r="G24" s="359" t="b">
        <f t="shared" si="2"/>
        <v>0</v>
      </c>
    </row>
    <row r="25" spans="1:7">
      <c r="A25" s="516"/>
      <c r="B25" s="354">
        <f t="shared" si="0"/>
        <v>0</v>
      </c>
      <c r="C25" s="355"/>
      <c r="D25" s="521"/>
      <c r="E25" s="357"/>
      <c r="F25" s="358">
        <f t="shared" si="1"/>
        <v>0</v>
      </c>
      <c r="G25" s="359" t="b">
        <f t="shared" si="2"/>
        <v>0</v>
      </c>
    </row>
    <row r="26" spans="1:7">
      <c r="A26" s="516"/>
      <c r="B26" s="354">
        <f t="shared" si="0"/>
        <v>0</v>
      </c>
      <c r="C26" s="355"/>
      <c r="D26" s="521"/>
      <c r="E26" s="357"/>
      <c r="F26" s="358">
        <f t="shared" si="1"/>
        <v>0</v>
      </c>
      <c r="G26" s="359" t="b">
        <f t="shared" si="2"/>
        <v>0</v>
      </c>
    </row>
    <row r="27" spans="1:7">
      <c r="A27" s="516"/>
      <c r="B27" s="354">
        <f t="shared" si="0"/>
        <v>0</v>
      </c>
      <c r="C27" s="355"/>
      <c r="D27" s="521"/>
      <c r="E27" s="357"/>
      <c r="F27" s="358">
        <f t="shared" si="1"/>
        <v>0</v>
      </c>
      <c r="G27" s="359" t="b">
        <f t="shared" si="2"/>
        <v>0</v>
      </c>
    </row>
    <row r="28" spans="1:7">
      <c r="A28" s="516"/>
      <c r="B28" s="354">
        <f t="shared" si="0"/>
        <v>0</v>
      </c>
      <c r="C28" s="355"/>
      <c r="D28" s="521"/>
      <c r="E28" s="357"/>
      <c r="F28" s="358">
        <f t="shared" si="1"/>
        <v>0</v>
      </c>
      <c r="G28" s="359"/>
    </row>
    <row r="29" spans="1:7">
      <c r="A29" s="516"/>
      <c r="B29" s="354">
        <f t="shared" si="0"/>
        <v>0</v>
      </c>
      <c r="C29" s="355"/>
      <c r="D29" s="521"/>
      <c r="E29" s="357"/>
      <c r="F29" s="358">
        <f t="shared" si="1"/>
        <v>0</v>
      </c>
      <c r="G29" s="359"/>
    </row>
    <row r="30" spans="1:7">
      <c r="A30" s="516"/>
      <c r="B30" s="354">
        <f t="shared" si="0"/>
        <v>0</v>
      </c>
      <c r="C30" s="355"/>
      <c r="D30" s="521"/>
      <c r="E30" s="357"/>
      <c r="F30" s="358">
        <f t="shared" si="1"/>
        <v>0</v>
      </c>
      <c r="G30" s="359"/>
    </row>
    <row r="31" spans="1:7">
      <c r="A31" s="516"/>
      <c r="B31" s="354">
        <f t="shared" si="0"/>
        <v>0</v>
      </c>
      <c r="C31" s="355"/>
      <c r="D31" s="521"/>
      <c r="E31" s="357"/>
      <c r="F31" s="358">
        <f t="shared" si="1"/>
        <v>0</v>
      </c>
      <c r="G31" s="359"/>
    </row>
    <row r="32" spans="1:7">
      <c r="A32" s="516"/>
      <c r="B32" s="354">
        <f t="shared" si="0"/>
        <v>0</v>
      </c>
      <c r="C32" s="355"/>
      <c r="D32" s="521"/>
      <c r="E32" s="357"/>
      <c r="F32" s="358">
        <f t="shared" si="1"/>
        <v>0</v>
      </c>
      <c r="G32" s="359"/>
    </row>
    <row r="33" spans="1:7">
      <c r="A33" s="516"/>
      <c r="B33" s="354">
        <f t="shared" si="0"/>
        <v>0</v>
      </c>
      <c r="C33" s="355"/>
      <c r="D33" s="521"/>
      <c r="E33" s="357"/>
      <c r="F33" s="358">
        <f t="shared" si="1"/>
        <v>0</v>
      </c>
      <c r="G33" s="359"/>
    </row>
    <row r="34" spans="1:7">
      <c r="A34" s="516"/>
      <c r="B34" s="354">
        <f t="shared" si="0"/>
        <v>0</v>
      </c>
      <c r="C34" s="355"/>
      <c r="D34" s="521"/>
      <c r="E34" s="357"/>
      <c r="F34" s="358">
        <f t="shared" si="1"/>
        <v>0</v>
      </c>
      <c r="G34" s="359"/>
    </row>
    <row r="35" spans="1:7">
      <c r="A35" s="516"/>
      <c r="B35" s="354">
        <f t="shared" si="0"/>
        <v>0</v>
      </c>
      <c r="C35" s="355"/>
      <c r="D35" s="521"/>
      <c r="E35" s="357"/>
      <c r="F35" s="358">
        <f t="shared" si="1"/>
        <v>0</v>
      </c>
      <c r="G35" s="359"/>
    </row>
    <row r="36" spans="1:7">
      <c r="A36" s="516"/>
      <c r="B36" s="354">
        <f t="shared" si="0"/>
        <v>0</v>
      </c>
      <c r="C36" s="355"/>
      <c r="D36" s="521"/>
      <c r="E36" s="357"/>
      <c r="F36" s="358">
        <f t="shared" si="1"/>
        <v>0</v>
      </c>
      <c r="G36" s="359"/>
    </row>
    <row r="37" spans="1:7">
      <c r="A37" s="516"/>
      <c r="B37" s="354">
        <f t="shared" si="0"/>
        <v>0</v>
      </c>
      <c r="C37" s="355"/>
      <c r="D37" s="521"/>
      <c r="E37" s="357"/>
      <c r="F37" s="358">
        <f t="shared" si="1"/>
        <v>0</v>
      </c>
      <c r="G37" s="359"/>
    </row>
    <row r="38" spans="1:7">
      <c r="A38" s="516"/>
      <c r="B38" s="354">
        <f t="shared" si="0"/>
        <v>0</v>
      </c>
      <c r="C38" s="355"/>
      <c r="D38" s="521"/>
      <c r="E38" s="357"/>
      <c r="F38" s="358">
        <f t="shared" si="1"/>
        <v>0</v>
      </c>
      <c r="G38" s="359"/>
    </row>
    <row r="39" spans="1:7">
      <c r="A39" s="516"/>
      <c r="B39" s="354">
        <f t="shared" si="0"/>
        <v>0</v>
      </c>
      <c r="C39" s="355"/>
      <c r="D39" s="521"/>
      <c r="E39" s="357"/>
      <c r="F39" s="358">
        <f t="shared" si="1"/>
        <v>0</v>
      </c>
      <c r="G39" s="359"/>
    </row>
    <row r="41" spans="1:7" ht="13.5" thickBot="1">
      <c r="A41" s="504" t="s">
        <v>836</v>
      </c>
    </row>
    <row r="42" spans="1:7">
      <c r="A42" s="278" t="s">
        <v>155</v>
      </c>
      <c r="B42" s="279" t="s">
        <v>154</v>
      </c>
      <c r="C42" s="280"/>
      <c r="D42" s="279" t="s">
        <v>153</v>
      </c>
      <c r="E42" s="280"/>
      <c r="F42" s="279" t="s">
        <v>152</v>
      </c>
      <c r="G42" s="280"/>
    </row>
    <row r="43" spans="1:7" ht="22.5">
      <c r="A43" s="516"/>
      <c r="B43" s="517" t="str">
        <f t="shared" ref="B43" si="3">D42</f>
        <v>Current PM Date &amp; Mileage</v>
      </c>
      <c r="C43" s="361"/>
      <c r="D43" s="518"/>
      <c r="E43" s="352"/>
      <c r="F43" s="519">
        <f t="shared" ref="F43:F80" si="4">SUM(E43-E42)</f>
        <v>0</v>
      </c>
      <c r="G43" s="520"/>
    </row>
    <row r="44" spans="1:7">
      <c r="A44" s="516"/>
      <c r="B44" s="559" t="s">
        <v>1559</v>
      </c>
      <c r="C44" s="355">
        <v>8</v>
      </c>
      <c r="D44" s="521" t="s">
        <v>1366</v>
      </c>
      <c r="E44" s="357">
        <v>4169</v>
      </c>
      <c r="F44" s="358">
        <f t="shared" si="4"/>
        <v>4169</v>
      </c>
      <c r="G44" s="359" t="b">
        <f t="shared" ref="G44:G68" si="5">IF(F44&gt;5250,"OVER")</f>
        <v>0</v>
      </c>
    </row>
    <row r="45" spans="1:7">
      <c r="A45" s="516">
        <v>10542</v>
      </c>
      <c r="B45" s="559" t="s">
        <v>1366</v>
      </c>
      <c r="C45" s="355">
        <v>4169</v>
      </c>
      <c r="D45" s="521" t="s">
        <v>1560</v>
      </c>
      <c r="E45" s="357">
        <v>9009</v>
      </c>
      <c r="F45" s="358">
        <f t="shared" si="4"/>
        <v>4840</v>
      </c>
      <c r="G45" s="359" t="b">
        <f t="shared" si="5"/>
        <v>0</v>
      </c>
    </row>
    <row r="46" spans="1:7">
      <c r="A46" s="516">
        <v>10653</v>
      </c>
      <c r="B46" s="559" t="s">
        <v>1560</v>
      </c>
      <c r="C46" s="355">
        <v>9009</v>
      </c>
      <c r="D46" s="521" t="s">
        <v>204</v>
      </c>
      <c r="E46" s="357">
        <v>13747</v>
      </c>
      <c r="F46" s="358">
        <f t="shared" si="4"/>
        <v>4738</v>
      </c>
      <c r="G46" s="359" t="b">
        <f t="shared" si="5"/>
        <v>0</v>
      </c>
    </row>
    <row r="47" spans="1:7">
      <c r="A47" s="516">
        <v>10738</v>
      </c>
      <c r="B47" s="559" t="s">
        <v>204</v>
      </c>
      <c r="C47" s="355">
        <v>13747</v>
      </c>
      <c r="D47" s="521"/>
      <c r="E47" s="357"/>
      <c r="F47" s="358">
        <f t="shared" si="4"/>
        <v>-13747</v>
      </c>
      <c r="G47" s="359" t="b">
        <f t="shared" si="5"/>
        <v>0</v>
      </c>
    </row>
    <row r="48" spans="1:7">
      <c r="A48" s="516"/>
      <c r="B48" s="559"/>
      <c r="C48" s="355"/>
      <c r="D48" s="521"/>
      <c r="E48" s="357"/>
      <c r="F48" s="358">
        <f t="shared" si="4"/>
        <v>0</v>
      </c>
      <c r="G48" s="359" t="b">
        <f t="shared" si="5"/>
        <v>0</v>
      </c>
    </row>
    <row r="49" spans="1:7">
      <c r="A49" s="516"/>
      <c r="B49" s="559"/>
      <c r="C49" s="355"/>
      <c r="D49" s="521"/>
      <c r="E49" s="357"/>
      <c r="F49" s="358">
        <f t="shared" si="4"/>
        <v>0</v>
      </c>
      <c r="G49" s="359" t="b">
        <f t="shared" si="5"/>
        <v>0</v>
      </c>
    </row>
    <row r="50" spans="1:7">
      <c r="A50" s="516"/>
      <c r="B50" s="559"/>
      <c r="C50" s="355"/>
      <c r="D50" s="521"/>
      <c r="E50" s="357"/>
      <c r="F50" s="358">
        <f t="shared" si="4"/>
        <v>0</v>
      </c>
      <c r="G50" s="359" t="b">
        <f t="shared" si="5"/>
        <v>0</v>
      </c>
    </row>
    <row r="51" spans="1:7">
      <c r="A51" s="516"/>
      <c r="B51" s="559"/>
      <c r="C51" s="355"/>
      <c r="D51" s="521"/>
      <c r="E51" s="357"/>
      <c r="F51" s="358">
        <f t="shared" si="4"/>
        <v>0</v>
      </c>
      <c r="G51" s="359" t="b">
        <f t="shared" si="5"/>
        <v>0</v>
      </c>
    </row>
    <row r="52" spans="1:7">
      <c r="A52" s="516"/>
      <c r="B52" s="559"/>
      <c r="C52" s="355"/>
      <c r="D52" s="521"/>
      <c r="E52" s="357"/>
      <c r="F52" s="358">
        <f t="shared" si="4"/>
        <v>0</v>
      </c>
      <c r="G52" s="359" t="b">
        <f t="shared" si="5"/>
        <v>0</v>
      </c>
    </row>
    <row r="53" spans="1:7">
      <c r="A53" s="516"/>
      <c r="B53" s="559"/>
      <c r="C53" s="355"/>
      <c r="D53" s="521"/>
      <c r="E53" s="357"/>
      <c r="F53" s="358">
        <f t="shared" si="4"/>
        <v>0</v>
      </c>
      <c r="G53" s="359" t="b">
        <f t="shared" si="5"/>
        <v>0</v>
      </c>
    </row>
    <row r="54" spans="1:7">
      <c r="A54" s="516"/>
      <c r="B54" s="559"/>
      <c r="C54" s="355"/>
      <c r="D54" s="521"/>
      <c r="E54" s="357"/>
      <c r="F54" s="358">
        <f t="shared" si="4"/>
        <v>0</v>
      </c>
      <c r="G54" s="359" t="b">
        <f t="shared" si="5"/>
        <v>0</v>
      </c>
    </row>
    <row r="55" spans="1:7">
      <c r="A55" s="516"/>
      <c r="B55" s="559"/>
      <c r="C55" s="355"/>
      <c r="D55" s="521"/>
      <c r="E55" s="357"/>
      <c r="F55" s="358">
        <f t="shared" si="4"/>
        <v>0</v>
      </c>
      <c r="G55" s="359" t="b">
        <f t="shared" si="5"/>
        <v>0</v>
      </c>
    </row>
    <row r="56" spans="1:7">
      <c r="A56" s="516"/>
      <c r="B56" s="559"/>
      <c r="C56" s="355"/>
      <c r="D56" s="521"/>
      <c r="E56" s="538"/>
      <c r="F56" s="358">
        <f t="shared" si="4"/>
        <v>0</v>
      </c>
      <c r="G56" s="359" t="b">
        <f t="shared" si="5"/>
        <v>0</v>
      </c>
    </row>
    <row r="57" spans="1:7">
      <c r="A57" s="516"/>
      <c r="B57" s="559"/>
      <c r="C57" s="361"/>
      <c r="D57" s="522"/>
      <c r="E57" s="363"/>
      <c r="F57" s="358">
        <f t="shared" si="4"/>
        <v>0</v>
      </c>
      <c r="G57" s="359" t="b">
        <f t="shared" si="5"/>
        <v>0</v>
      </c>
    </row>
    <row r="58" spans="1:7" ht="13.5" thickBot="1">
      <c r="A58" s="523"/>
      <c r="B58" s="559"/>
      <c r="C58" s="365"/>
      <c r="D58" s="524"/>
      <c r="E58" s="367"/>
      <c r="F58" s="358">
        <f t="shared" si="4"/>
        <v>0</v>
      </c>
      <c r="G58" s="359" t="b">
        <f t="shared" si="5"/>
        <v>0</v>
      </c>
    </row>
    <row r="59" spans="1:7" ht="13.5" thickBot="1">
      <c r="A59" s="525"/>
      <c r="B59" s="559"/>
      <c r="C59" s="370"/>
      <c r="D59" s="526"/>
      <c r="E59" s="372"/>
      <c r="F59" s="358">
        <f t="shared" si="4"/>
        <v>0</v>
      </c>
      <c r="G59" s="359" t="b">
        <f t="shared" si="5"/>
        <v>0</v>
      </c>
    </row>
    <row r="60" spans="1:7">
      <c r="A60" s="527"/>
      <c r="B60" s="559"/>
      <c r="C60" s="375"/>
      <c r="D60" s="528"/>
      <c r="E60" s="377"/>
      <c r="F60" s="358">
        <f t="shared" si="4"/>
        <v>0</v>
      </c>
      <c r="G60" s="359" t="b">
        <f t="shared" si="5"/>
        <v>0</v>
      </c>
    </row>
    <row r="61" spans="1:7">
      <c r="A61" s="516"/>
      <c r="B61" s="559"/>
      <c r="C61" s="355"/>
      <c r="D61" s="521"/>
      <c r="E61" s="357"/>
      <c r="F61" s="358">
        <f t="shared" si="4"/>
        <v>0</v>
      </c>
      <c r="G61" s="359" t="b">
        <f t="shared" si="5"/>
        <v>0</v>
      </c>
    </row>
    <row r="62" spans="1:7">
      <c r="A62" s="516"/>
      <c r="B62" s="559"/>
      <c r="C62" s="355"/>
      <c r="D62" s="521"/>
      <c r="E62" s="357"/>
      <c r="F62" s="358">
        <f t="shared" si="4"/>
        <v>0</v>
      </c>
      <c r="G62" s="359" t="b">
        <f t="shared" si="5"/>
        <v>0</v>
      </c>
    </row>
    <row r="63" spans="1:7">
      <c r="A63" s="516"/>
      <c r="B63" s="559"/>
      <c r="C63" s="355"/>
      <c r="D63" s="521"/>
      <c r="E63" s="357"/>
      <c r="F63" s="358">
        <f t="shared" si="4"/>
        <v>0</v>
      </c>
      <c r="G63" s="359" t="b">
        <f t="shared" si="5"/>
        <v>0</v>
      </c>
    </row>
    <row r="64" spans="1:7">
      <c r="A64" s="516"/>
      <c r="B64" s="559"/>
      <c r="C64" s="355"/>
      <c r="D64" s="521"/>
      <c r="E64" s="357"/>
      <c r="F64" s="358">
        <f t="shared" si="4"/>
        <v>0</v>
      </c>
      <c r="G64" s="359" t="b">
        <f t="shared" si="5"/>
        <v>0</v>
      </c>
    </row>
    <row r="65" spans="1:7">
      <c r="A65" s="516"/>
      <c r="B65" s="559"/>
      <c r="C65" s="355"/>
      <c r="D65" s="521"/>
      <c r="E65" s="357"/>
      <c r="F65" s="358">
        <f t="shared" si="4"/>
        <v>0</v>
      </c>
      <c r="G65" s="359" t="b">
        <f t="shared" si="5"/>
        <v>0</v>
      </c>
    </row>
    <row r="66" spans="1:7">
      <c r="A66" s="516"/>
      <c r="B66" s="559"/>
      <c r="C66" s="355"/>
      <c r="D66" s="521"/>
      <c r="E66" s="357"/>
      <c r="F66" s="358">
        <f t="shared" si="4"/>
        <v>0</v>
      </c>
      <c r="G66" s="359" t="b">
        <f t="shared" si="5"/>
        <v>0</v>
      </c>
    </row>
    <row r="67" spans="1:7">
      <c r="A67" s="516"/>
      <c r="B67" s="559"/>
      <c r="C67" s="355"/>
      <c r="D67" s="521"/>
      <c r="E67" s="357"/>
      <c r="F67" s="358">
        <f t="shared" si="4"/>
        <v>0</v>
      </c>
      <c r="G67" s="359" t="b">
        <f t="shared" si="5"/>
        <v>0</v>
      </c>
    </row>
    <row r="68" spans="1:7">
      <c r="A68" s="516"/>
      <c r="B68" s="559"/>
      <c r="C68" s="355"/>
      <c r="D68" s="521"/>
      <c r="E68" s="357"/>
      <c r="F68" s="358">
        <f t="shared" si="4"/>
        <v>0</v>
      </c>
      <c r="G68" s="359" t="b">
        <f t="shared" si="5"/>
        <v>0</v>
      </c>
    </row>
    <row r="69" spans="1:7">
      <c r="A69" s="516"/>
      <c r="B69" s="559"/>
      <c r="C69" s="355"/>
      <c r="D69" s="521"/>
      <c r="E69" s="357"/>
      <c r="F69" s="358">
        <f t="shared" si="4"/>
        <v>0</v>
      </c>
      <c r="G69" s="359"/>
    </row>
    <row r="70" spans="1:7">
      <c r="A70" s="516"/>
      <c r="B70" s="559"/>
      <c r="C70" s="355"/>
      <c r="D70" s="521"/>
      <c r="E70" s="357"/>
      <c r="F70" s="358">
        <f t="shared" si="4"/>
        <v>0</v>
      </c>
      <c r="G70" s="359"/>
    </row>
    <row r="71" spans="1:7">
      <c r="A71" s="516"/>
      <c r="B71" s="559"/>
      <c r="C71" s="355"/>
      <c r="D71" s="521"/>
      <c r="E71" s="357"/>
      <c r="F71" s="358">
        <f t="shared" si="4"/>
        <v>0</v>
      </c>
      <c r="G71" s="359"/>
    </row>
    <row r="72" spans="1:7">
      <c r="A72" s="516"/>
      <c r="B72" s="559"/>
      <c r="C72" s="355"/>
      <c r="D72" s="521"/>
      <c r="E72" s="357"/>
      <c r="F72" s="358">
        <f t="shared" si="4"/>
        <v>0</v>
      </c>
      <c r="G72" s="359"/>
    </row>
    <row r="73" spans="1:7">
      <c r="A73" s="516"/>
      <c r="B73" s="559"/>
      <c r="C73" s="355"/>
      <c r="D73" s="521"/>
      <c r="E73" s="357"/>
      <c r="F73" s="358">
        <f t="shared" si="4"/>
        <v>0</v>
      </c>
      <c r="G73" s="359"/>
    </row>
    <row r="74" spans="1:7">
      <c r="A74" s="516"/>
      <c r="B74" s="559"/>
      <c r="C74" s="355"/>
      <c r="D74" s="521"/>
      <c r="E74" s="357"/>
      <c r="F74" s="358">
        <f t="shared" si="4"/>
        <v>0</v>
      </c>
      <c r="G74" s="359"/>
    </row>
    <row r="75" spans="1:7">
      <c r="A75" s="516"/>
      <c r="B75" s="559"/>
      <c r="C75" s="355"/>
      <c r="D75" s="521"/>
      <c r="E75" s="357"/>
      <c r="F75" s="358">
        <f t="shared" si="4"/>
        <v>0</v>
      </c>
      <c r="G75" s="359"/>
    </row>
    <row r="76" spans="1:7">
      <c r="A76" s="516"/>
      <c r="B76" s="559"/>
      <c r="C76" s="355"/>
      <c r="D76" s="521"/>
      <c r="E76" s="357"/>
      <c r="F76" s="358">
        <f t="shared" si="4"/>
        <v>0</v>
      </c>
      <c r="G76" s="359"/>
    </row>
    <row r="77" spans="1:7">
      <c r="A77" s="516"/>
      <c r="B77" s="559"/>
      <c r="C77" s="355"/>
      <c r="D77" s="521"/>
      <c r="E77" s="357"/>
      <c r="F77" s="358">
        <f t="shared" si="4"/>
        <v>0</v>
      </c>
      <c r="G77" s="359"/>
    </row>
    <row r="78" spans="1:7">
      <c r="A78" s="516"/>
      <c r="B78" s="559"/>
      <c r="C78" s="355"/>
      <c r="D78" s="521"/>
      <c r="E78" s="357"/>
      <c r="F78" s="358">
        <f t="shared" si="4"/>
        <v>0</v>
      </c>
      <c r="G78" s="359"/>
    </row>
    <row r="79" spans="1:7">
      <c r="A79" s="516"/>
      <c r="B79" s="559"/>
      <c r="C79" s="355"/>
      <c r="D79" s="521"/>
      <c r="E79" s="357"/>
      <c r="F79" s="358">
        <f t="shared" si="4"/>
        <v>0</v>
      </c>
      <c r="G79" s="359"/>
    </row>
    <row r="80" spans="1:7">
      <c r="A80" s="516"/>
      <c r="B80" s="559"/>
      <c r="C80" s="355"/>
      <c r="D80" s="521"/>
      <c r="E80" s="357"/>
      <c r="F80" s="358">
        <f t="shared" si="4"/>
        <v>0</v>
      </c>
      <c r="G80" s="359"/>
    </row>
  </sheetData>
  <mergeCells count="6">
    <mergeCell ref="B1:C1"/>
    <mergeCell ref="D1:E1"/>
    <mergeCell ref="F1:G1"/>
    <mergeCell ref="B42:C42"/>
    <mergeCell ref="D42:E42"/>
    <mergeCell ref="F42:G42"/>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Q20"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'[7]Projected Maint Practices'!Q7</f>
        <v>4913</v>
      </c>
      <c r="D6" s="264">
        <f>'[7]True Maint Practices'!Q7</f>
        <v>2827</v>
      </c>
    </row>
    <row r="7" spans="1:6" ht="15">
      <c r="B7" s="263">
        <v>2</v>
      </c>
      <c r="C7" s="264">
        <f>'[7]Projected Maint Practices'!Q8</f>
        <v>4913</v>
      </c>
      <c r="D7" s="264">
        <f>'[7]True Maint Practices'!Q8</f>
        <v>2499</v>
      </c>
    </row>
    <row r="8" spans="1:6" ht="15">
      <c r="B8" s="263">
        <v>3</v>
      </c>
      <c r="C8" s="264">
        <f>'[7]Projected Maint Practices'!Q9</f>
        <v>4913</v>
      </c>
      <c r="D8" s="264">
        <f>'[7]True Maint Practices'!Q9</f>
        <v>3530.5</v>
      </c>
    </row>
    <row r="9" spans="1:6" ht="15">
      <c r="B9" s="263">
        <v>4</v>
      </c>
      <c r="C9" s="264">
        <f>'[7]Projected Maint Practices'!Q10</f>
        <v>4913</v>
      </c>
      <c r="D9" s="264">
        <f>'[7]True Maint Practices'!Q10</f>
        <v>125</v>
      </c>
    </row>
    <row r="10" spans="1:6" ht="15">
      <c r="B10" s="263">
        <v>5</v>
      </c>
      <c r="C10" s="264">
        <f>'[7]Projected Maint Practices'!Q11</f>
        <v>17239.669999999998</v>
      </c>
      <c r="D10" s="264">
        <f>'[7]True Maint Practices'!Q11</f>
        <v>0</v>
      </c>
    </row>
    <row r="11" spans="1:6" ht="15">
      <c r="B11" s="263">
        <v>6</v>
      </c>
      <c r="C11" s="264">
        <f>'[7]Projected Maint Practices'!Q12</f>
        <v>4913</v>
      </c>
      <c r="D11" s="264">
        <f>'[7]True Maint Practices'!Q12</f>
        <v>0</v>
      </c>
    </row>
    <row r="12" spans="1:6" ht="15">
      <c r="B12" s="263">
        <v>7</v>
      </c>
      <c r="C12" s="264">
        <f>'[7]Projected Maint Practices'!Q13</f>
        <v>4913</v>
      </c>
      <c r="D12" s="264">
        <f>'[7]True Maint Practices'!Q13</f>
        <v>0</v>
      </c>
    </row>
    <row r="13" spans="1:6" ht="15">
      <c r="B13" s="263">
        <v>8</v>
      </c>
      <c r="C13" s="264">
        <f>'[7]Projected Maint Practices'!Q14</f>
        <v>4913</v>
      </c>
      <c r="D13" s="264">
        <f>'[7]True Maint Practices'!Q14</f>
        <v>0</v>
      </c>
    </row>
    <row r="14" spans="1:6" ht="15">
      <c r="B14" s="263">
        <v>9</v>
      </c>
      <c r="C14" s="264">
        <f>'[7]Projected Maint Practices'!Q15</f>
        <v>4913</v>
      </c>
      <c r="D14" s="264">
        <f>'[7]True Maint Practices'!Q15</f>
        <v>0</v>
      </c>
    </row>
    <row r="15" spans="1:6" ht="15">
      <c r="B15" s="263">
        <v>10</v>
      </c>
      <c r="C15" s="264">
        <f>'[7]Projected Maint Practices'!Q16</f>
        <v>4913</v>
      </c>
      <c r="D15" s="264">
        <f>'[7]True Maint Practices'!Q16</f>
        <v>0</v>
      </c>
    </row>
    <row r="16" spans="1:6" ht="15">
      <c r="B16" s="263">
        <v>11</v>
      </c>
      <c r="C16" s="264">
        <f>'[7]Projected Maint Practices'!Q17</f>
        <v>4913</v>
      </c>
      <c r="D16" s="264">
        <f>'[7]True Maint Practices'!Q17</f>
        <v>0</v>
      </c>
    </row>
    <row r="17" spans="2:4" ht="15">
      <c r="B17" s="263">
        <v>12</v>
      </c>
      <c r="C17" s="264">
        <f>'[7]Projected Maint Practices'!Q18</f>
        <v>4913</v>
      </c>
      <c r="D17" s="264">
        <f>'[7]True Maint Practices'!Q18</f>
        <v>0</v>
      </c>
    </row>
    <row r="18" spans="2:4" ht="15">
      <c r="B18" s="260" t="s">
        <v>1</v>
      </c>
      <c r="C18" s="264">
        <f>SUM(C6:C17)</f>
        <v>71282.67</v>
      </c>
      <c r="D18" s="264">
        <f>SUM(D6:D17)</f>
        <v>8981.5</v>
      </c>
    </row>
  </sheetData>
  <printOptions horizontalCentered="1" verticalCentered="1"/>
  <pageMargins left="0.5" right="0.5" top="0.75" bottom="0.75" header="0.5" footer="0.5"/>
  <pageSetup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5"/>
  <sheetViews>
    <sheetView showGridLines="0" topLeftCell="A4" zoomScaleNormal="100" workbookViewId="0">
      <selection activeCell="R17" sqref="A1:XFD1048576"/>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s="1" customFormat="1" ht="16.5" customHeight="1">
      <c r="C1" s="43"/>
      <c r="D1" s="43"/>
      <c r="E1" s="43"/>
      <c r="F1" s="43"/>
      <c r="G1" s="43"/>
      <c r="H1" s="43"/>
      <c r="I1" s="43"/>
      <c r="J1" s="43"/>
      <c r="K1" s="43"/>
      <c r="L1" s="43"/>
      <c r="M1" s="43"/>
      <c r="N1" s="43"/>
      <c r="O1" s="43"/>
      <c r="P1" s="43"/>
    </row>
    <row r="2" spans="2:22" s="1" customFormat="1" ht="31.5" customHeight="1">
      <c r="B2" s="184" t="s">
        <v>1655</v>
      </c>
      <c r="C2" s="43"/>
      <c r="D2" s="43"/>
      <c r="E2" s="43"/>
      <c r="F2" s="43"/>
      <c r="G2" s="43"/>
      <c r="H2" s="43"/>
      <c r="I2" s="43"/>
      <c r="J2" s="43"/>
      <c r="K2" s="43"/>
      <c r="L2" s="43"/>
      <c r="M2" s="43"/>
      <c r="N2" s="43"/>
      <c r="O2" s="43" t="s">
        <v>1528</v>
      </c>
      <c r="P2" s="43"/>
    </row>
    <row r="3" spans="2:22" s="1" customFormat="1" ht="16.5" customHeight="1">
      <c r="C3" s="43"/>
      <c r="D3" s="43"/>
      <c r="E3" s="43"/>
      <c r="F3" s="43"/>
      <c r="G3" s="43"/>
      <c r="H3" s="43"/>
      <c r="I3" s="43"/>
      <c r="J3" s="43"/>
      <c r="K3" s="43"/>
      <c r="L3" s="43"/>
      <c r="M3" s="43"/>
      <c r="N3" s="43"/>
      <c r="O3" s="43"/>
      <c r="P3" s="43"/>
    </row>
    <row r="12" spans="2:22" s="1" customFormat="1" ht="16.5" customHeight="1">
      <c r="V12" s="1" t="s">
        <v>32</v>
      </c>
    </row>
    <row r="18" spans="2:16" s="1" customFormat="1"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s="1" customFormat="1" ht="16.5" customHeight="1">
      <c r="B19" s="101" t="s">
        <v>17</v>
      </c>
      <c r="C19" s="8"/>
      <c r="D19" s="8"/>
      <c r="E19" s="8"/>
      <c r="F19" s="8"/>
      <c r="G19" s="8"/>
      <c r="H19" s="8"/>
      <c r="I19" s="8"/>
      <c r="J19" s="8"/>
      <c r="K19" s="8"/>
      <c r="L19" s="8"/>
      <c r="M19" s="30"/>
      <c r="N19" s="8"/>
      <c r="O19" s="4">
        <f t="shared" ref="O19:O38" si="0">SUM(C19:N19)</f>
        <v>0</v>
      </c>
      <c r="P19" s="102"/>
    </row>
    <row r="20" spans="2:16" s="1" customFormat="1" ht="16.5" customHeight="1">
      <c r="B20" s="101" t="s">
        <v>16</v>
      </c>
      <c r="C20" s="8"/>
      <c r="D20" s="8"/>
      <c r="E20" s="8"/>
      <c r="F20" s="8"/>
      <c r="G20" s="8"/>
      <c r="H20" s="8"/>
      <c r="I20" s="8"/>
      <c r="J20" s="8"/>
      <c r="K20" s="8"/>
      <c r="L20" s="8"/>
      <c r="M20" s="30"/>
      <c r="N20" s="8"/>
      <c r="O20" s="4">
        <f t="shared" si="0"/>
        <v>0</v>
      </c>
      <c r="P20" s="102"/>
    </row>
    <row r="21" spans="2:16" s="1" customFormat="1" ht="16.5" customHeight="1">
      <c r="B21" s="101" t="s">
        <v>15</v>
      </c>
      <c r="C21" s="8"/>
      <c r="D21" s="8"/>
      <c r="E21" s="8"/>
      <c r="F21" s="8"/>
      <c r="G21" s="8"/>
      <c r="H21" s="8"/>
      <c r="I21" s="8"/>
      <c r="J21" s="8"/>
      <c r="K21" s="8"/>
      <c r="L21" s="8"/>
      <c r="M21" s="30"/>
      <c r="N21" s="8"/>
      <c r="O21" s="4">
        <f t="shared" si="0"/>
        <v>0</v>
      </c>
      <c r="P21" s="102"/>
    </row>
    <row r="22" spans="2:16" s="1" customFormat="1" ht="16.5" customHeight="1">
      <c r="B22" s="101" t="s">
        <v>14</v>
      </c>
      <c r="C22" s="8"/>
      <c r="D22" s="8"/>
      <c r="E22" s="8"/>
      <c r="F22" s="8"/>
      <c r="G22" s="8"/>
      <c r="H22" s="8"/>
      <c r="I22" s="8"/>
      <c r="J22" s="8"/>
      <c r="K22" s="8"/>
      <c r="L22" s="8"/>
      <c r="M22" s="30"/>
      <c r="N22" s="8"/>
      <c r="O22" s="4">
        <f t="shared" si="0"/>
        <v>0</v>
      </c>
      <c r="P22" s="102"/>
    </row>
    <row r="23" spans="2:16" s="1" customFormat="1" ht="16.5" customHeight="1">
      <c r="B23" s="101" t="s">
        <v>13</v>
      </c>
      <c r="C23" s="8"/>
      <c r="D23" s="8"/>
      <c r="E23" s="8"/>
      <c r="F23" s="8"/>
      <c r="G23" s="8"/>
      <c r="H23" s="8"/>
      <c r="I23" s="8"/>
      <c r="J23" s="8"/>
      <c r="K23" s="8"/>
      <c r="L23" s="8"/>
      <c r="M23" s="30"/>
      <c r="N23" s="8"/>
      <c r="O23" s="4">
        <f t="shared" si="0"/>
        <v>0</v>
      </c>
      <c r="P23" s="102"/>
    </row>
    <row r="24" spans="2:16" s="1" customFormat="1" ht="16.5" customHeight="1">
      <c r="B24" s="103" t="s">
        <v>12</v>
      </c>
      <c r="C24" s="17"/>
      <c r="D24" s="17"/>
      <c r="E24" s="17"/>
      <c r="F24" s="17"/>
      <c r="G24" s="17"/>
      <c r="H24" s="17"/>
      <c r="I24" s="17"/>
      <c r="J24" s="17"/>
      <c r="K24" s="17"/>
      <c r="L24" s="17"/>
      <c r="M24" s="35"/>
      <c r="N24" s="17"/>
      <c r="O24" s="4">
        <f t="shared" si="0"/>
        <v>0</v>
      </c>
      <c r="P24" s="102"/>
    </row>
    <row r="25" spans="2:16" s="1" customFormat="1" ht="16.5" customHeight="1">
      <c r="B25" s="103" t="s">
        <v>11</v>
      </c>
      <c r="C25" s="17"/>
      <c r="D25" s="17"/>
      <c r="E25" s="17"/>
      <c r="F25" s="17"/>
      <c r="G25" s="17"/>
      <c r="H25" s="17"/>
      <c r="I25" s="17"/>
      <c r="J25" s="17"/>
      <c r="K25" s="17"/>
      <c r="L25" s="17"/>
      <c r="M25" s="35"/>
      <c r="N25" s="17"/>
      <c r="O25" s="4">
        <f t="shared" si="0"/>
        <v>0</v>
      </c>
      <c r="P25" s="102"/>
    </row>
    <row r="26" spans="2:16" s="1" customFormat="1" ht="16.5" customHeight="1">
      <c r="B26" s="103" t="s">
        <v>10</v>
      </c>
      <c r="C26" s="17"/>
      <c r="D26" s="17"/>
      <c r="E26" s="17"/>
      <c r="F26" s="17"/>
      <c r="G26" s="17"/>
      <c r="H26" s="17"/>
      <c r="I26" s="17"/>
      <c r="J26" s="17"/>
      <c r="K26" s="17"/>
      <c r="L26" s="17"/>
      <c r="M26" s="35"/>
      <c r="N26" s="17"/>
      <c r="O26" s="4">
        <f t="shared" si="0"/>
        <v>0</v>
      </c>
      <c r="P26" s="102"/>
    </row>
    <row r="27" spans="2:16" s="1" customFormat="1" ht="16.5" customHeight="1">
      <c r="B27" s="103" t="s">
        <v>9</v>
      </c>
      <c r="C27" s="17"/>
      <c r="D27" s="17"/>
      <c r="E27" s="17"/>
      <c r="F27" s="17"/>
      <c r="G27" s="17"/>
      <c r="H27" s="17"/>
      <c r="I27" s="17"/>
      <c r="J27" s="17"/>
      <c r="K27" s="17"/>
      <c r="L27" s="17"/>
      <c r="M27" s="35"/>
      <c r="N27" s="17"/>
      <c r="O27" s="4">
        <f t="shared" si="0"/>
        <v>0</v>
      </c>
      <c r="P27" s="102"/>
    </row>
    <row r="28" spans="2:16" s="1" customFormat="1" ht="16.5" hidden="1" customHeight="1">
      <c r="B28" s="103"/>
      <c r="C28" s="15"/>
      <c r="D28" s="15"/>
      <c r="E28" s="15"/>
      <c r="F28" s="15"/>
      <c r="G28" s="15"/>
      <c r="H28" s="15"/>
      <c r="I28" s="15"/>
      <c r="J28" s="15"/>
      <c r="K28" s="15"/>
      <c r="L28" s="15"/>
      <c r="M28" s="16"/>
      <c r="N28" s="15"/>
      <c r="O28" s="4">
        <f t="shared" si="0"/>
        <v>0</v>
      </c>
      <c r="P28" s="102"/>
    </row>
    <row r="29" spans="2:16" s="1" customFormat="1" ht="16.5" hidden="1" customHeight="1">
      <c r="B29" s="103"/>
      <c r="C29" s="15"/>
      <c r="D29" s="15"/>
      <c r="E29" s="15"/>
      <c r="F29" s="15"/>
      <c r="G29" s="15"/>
      <c r="H29" s="15"/>
      <c r="I29" s="15"/>
      <c r="J29" s="15"/>
      <c r="K29" s="15"/>
      <c r="L29" s="15"/>
      <c r="M29" s="16"/>
      <c r="N29" s="15"/>
      <c r="O29" s="4">
        <f t="shared" si="0"/>
        <v>0</v>
      </c>
      <c r="P29" s="102"/>
    </row>
    <row r="30" spans="2:16" s="1" customFormat="1" ht="16.5" hidden="1" customHeight="1">
      <c r="B30" s="103"/>
      <c r="C30" s="15"/>
      <c r="D30" s="15"/>
      <c r="E30" s="15"/>
      <c r="F30" s="15"/>
      <c r="G30" s="15"/>
      <c r="H30" s="15"/>
      <c r="I30" s="15"/>
      <c r="J30" s="15"/>
      <c r="K30" s="15"/>
      <c r="L30" s="15"/>
      <c r="M30" s="16"/>
      <c r="N30" s="15"/>
      <c r="O30" s="4">
        <f t="shared" si="0"/>
        <v>0</v>
      </c>
      <c r="P30" s="102"/>
    </row>
    <row r="31" spans="2:16" s="1" customFormat="1" ht="16.5" hidden="1" customHeight="1">
      <c r="B31" s="103"/>
      <c r="C31" s="15"/>
      <c r="D31" s="15"/>
      <c r="E31" s="15"/>
      <c r="F31" s="15"/>
      <c r="G31" s="15"/>
      <c r="H31" s="15"/>
      <c r="I31" s="15"/>
      <c r="J31" s="15"/>
      <c r="K31" s="15"/>
      <c r="L31" s="15"/>
      <c r="M31" s="16"/>
      <c r="N31" s="15"/>
      <c r="O31" s="4">
        <f t="shared" si="0"/>
        <v>0</v>
      </c>
      <c r="P31" s="102"/>
    </row>
    <row r="32" spans="2:16" s="1" customFormat="1" ht="16.5" customHeight="1">
      <c r="B32" s="103" t="s">
        <v>8</v>
      </c>
      <c r="C32" s="4"/>
      <c r="D32" s="4"/>
      <c r="E32" s="4"/>
      <c r="F32" s="4"/>
      <c r="G32" s="4"/>
      <c r="H32" s="4"/>
      <c r="I32" s="4"/>
      <c r="J32" s="4"/>
      <c r="K32" s="4"/>
      <c r="L32" s="4"/>
      <c r="M32" s="33"/>
      <c r="N32" s="4"/>
      <c r="O32" s="4">
        <f t="shared" si="0"/>
        <v>0</v>
      </c>
      <c r="P32" s="102"/>
    </row>
    <row r="33" spans="2:18" s="1" customFormat="1" ht="16.5" customHeight="1">
      <c r="B33" s="103" t="s">
        <v>7</v>
      </c>
      <c r="C33" s="12"/>
      <c r="D33" s="12"/>
      <c r="E33" s="12"/>
      <c r="F33" s="12"/>
      <c r="G33" s="12"/>
      <c r="H33" s="12"/>
      <c r="I33" s="12"/>
      <c r="J33" s="12"/>
      <c r="K33" s="12"/>
      <c r="L33" s="12"/>
      <c r="M33" s="32"/>
      <c r="N33" s="12"/>
      <c r="O33" s="4">
        <f t="shared" si="0"/>
        <v>0</v>
      </c>
      <c r="P33" s="102"/>
    </row>
    <row r="34" spans="2:18" s="1" customFormat="1" ht="16.5" customHeight="1">
      <c r="B34" s="103" t="s">
        <v>6</v>
      </c>
      <c r="C34" s="41"/>
      <c r="D34" s="41"/>
      <c r="E34" s="41"/>
      <c r="F34" s="41"/>
      <c r="G34" s="41"/>
      <c r="H34" s="41"/>
      <c r="I34" s="41"/>
      <c r="J34" s="41"/>
      <c r="K34" s="41"/>
      <c r="L34" s="41"/>
      <c r="M34" s="42"/>
      <c r="N34" s="41"/>
      <c r="O34" s="4">
        <f t="shared" si="0"/>
        <v>0</v>
      </c>
      <c r="P34" s="102"/>
    </row>
    <row r="35" spans="2:18" s="1" customFormat="1" ht="16.5" customHeight="1">
      <c r="B35" s="103" t="s">
        <v>5</v>
      </c>
      <c r="C35" s="8"/>
      <c r="D35" s="8"/>
      <c r="E35" s="8"/>
      <c r="F35" s="8"/>
      <c r="G35" s="8"/>
      <c r="H35" s="8"/>
      <c r="I35" s="8"/>
      <c r="J35" s="8"/>
      <c r="K35" s="8"/>
      <c r="L35" s="8"/>
      <c r="M35" s="30"/>
      <c r="N35" s="8"/>
      <c r="O35" s="4">
        <f t="shared" si="0"/>
        <v>0</v>
      </c>
      <c r="P35" s="102"/>
    </row>
    <row r="36" spans="2:18" s="1" customFormat="1" ht="16.5" customHeight="1">
      <c r="B36" s="103" t="s">
        <v>230</v>
      </c>
      <c r="C36" s="8"/>
      <c r="D36" s="8"/>
      <c r="E36" s="8"/>
      <c r="F36" s="8"/>
      <c r="G36" s="8"/>
      <c r="H36" s="8"/>
      <c r="I36" s="8"/>
      <c r="J36" s="8"/>
      <c r="K36" s="8"/>
      <c r="L36" s="8"/>
      <c r="M36" s="30"/>
      <c r="N36" s="8"/>
      <c r="O36" s="4">
        <f t="shared" si="0"/>
        <v>0</v>
      </c>
      <c r="P36" s="102"/>
    </row>
    <row r="37" spans="2:18" s="1" customFormat="1" ht="16.5" customHeight="1">
      <c r="B37" s="103" t="s">
        <v>1527</v>
      </c>
      <c r="C37" s="41"/>
      <c r="D37" s="41"/>
      <c r="E37" s="41"/>
      <c r="F37" s="41"/>
      <c r="G37" s="41"/>
      <c r="H37" s="41"/>
      <c r="I37" s="41"/>
      <c r="J37" s="41"/>
      <c r="K37" s="41"/>
      <c r="L37" s="41"/>
      <c r="M37" s="42"/>
      <c r="N37" s="41"/>
      <c r="O37" s="4">
        <f t="shared" si="0"/>
        <v>0</v>
      </c>
      <c r="P37" s="102"/>
    </row>
    <row r="38" spans="2:18" s="1" customFormat="1" ht="16.5" customHeight="1">
      <c r="B38" s="103" t="s">
        <v>2</v>
      </c>
      <c r="C38" s="5"/>
      <c r="D38" s="5"/>
      <c r="E38" s="5"/>
      <c r="F38" s="5"/>
      <c r="G38" s="5"/>
      <c r="H38" s="5"/>
      <c r="I38" s="5"/>
      <c r="J38" s="5"/>
      <c r="K38" s="5"/>
      <c r="L38" s="5"/>
      <c r="M38" s="29"/>
      <c r="N38" s="5"/>
      <c r="O38" s="4">
        <f t="shared" si="0"/>
        <v>0</v>
      </c>
      <c r="P38" s="102"/>
    </row>
    <row r="39" spans="2:18" s="1" customFormat="1" ht="16.5" customHeight="1">
      <c r="B39" s="103" t="s">
        <v>3</v>
      </c>
      <c r="C39" s="8"/>
      <c r="D39" s="8"/>
      <c r="E39" s="8"/>
      <c r="F39" s="8"/>
      <c r="G39" s="8"/>
      <c r="H39" s="8"/>
      <c r="I39" s="8"/>
      <c r="J39" s="8"/>
      <c r="K39" s="8"/>
      <c r="L39" s="8"/>
      <c r="M39" s="30"/>
      <c r="N39" s="8"/>
      <c r="O39" s="4">
        <f>[20]summary!$R$18</f>
        <v>0</v>
      </c>
      <c r="P39" s="102"/>
    </row>
    <row r="40" spans="2:18" s="1" customFormat="1" ht="16.5" customHeight="1">
      <c r="B40" s="101" t="s">
        <v>1</v>
      </c>
      <c r="C40" s="104">
        <f>SUBTOTAL(109,ExpenseSummary214227[Jan])</f>
        <v>0</v>
      </c>
      <c r="D40" s="105">
        <f>SUBTOTAL(109,ExpenseSummary214227[Feb])</f>
        <v>0</v>
      </c>
      <c r="E40" s="104">
        <f>SUBTOTAL(109,ExpenseSummary214227[Mar])</f>
        <v>0</v>
      </c>
      <c r="F40" s="105">
        <f>SUBTOTAL(109,ExpenseSummary214227[Apr])</f>
        <v>0</v>
      </c>
      <c r="G40" s="104">
        <f>SUBTOTAL(109,ExpenseSummary214227[May])</f>
        <v>0</v>
      </c>
      <c r="H40" s="105">
        <f>SUBTOTAL(109,ExpenseSummary214227[Jun])</f>
        <v>0</v>
      </c>
      <c r="I40" s="104">
        <f>SUBTOTAL(109,ExpenseSummary214227[Jul])</f>
        <v>0</v>
      </c>
      <c r="J40" s="105">
        <f>SUBTOTAL(109,ExpenseSummary214227[Aug])</f>
        <v>0</v>
      </c>
      <c r="K40" s="104">
        <f>SUBTOTAL(109,ExpenseSummary214227[Sep])</f>
        <v>0</v>
      </c>
      <c r="L40" s="105">
        <f>SUBTOTAL(109,ExpenseSummary214227[Oct])</f>
        <v>0</v>
      </c>
      <c r="M40" s="267">
        <f>SUBTOTAL(109,ExpenseSummary214227[Nov])</f>
        <v>0</v>
      </c>
      <c r="N40" s="105">
        <f>SUBTOTAL(109,ExpenseSummary214227[Dec])</f>
        <v>0</v>
      </c>
      <c r="O40" s="106">
        <f>SUBTOTAL(109,ExpenseSummary214227[Total])</f>
        <v>0</v>
      </c>
      <c r="P40" s="102"/>
    </row>
    <row r="41" spans="2:18" s="1" customFormat="1" ht="16.5" customHeight="1">
      <c r="B41" s="28"/>
      <c r="C41" s="28"/>
      <c r="E41" s="555" t="s">
        <v>1526</v>
      </c>
      <c r="F41" s="555"/>
      <c r="G41" s="47"/>
    </row>
    <row r="43" spans="2:18" s="1" customFormat="1" ht="16.5" customHeight="1">
      <c r="B43" s="47"/>
      <c r="C43" s="47"/>
    </row>
    <row r="44" spans="2:18" s="1" customFormat="1" ht="16.5" customHeight="1">
      <c r="B44" s="47"/>
      <c r="C44" s="47"/>
    </row>
    <row r="45" spans="2:18" s="1" customFormat="1" ht="16.5" customHeight="1">
      <c r="B45" s="268"/>
      <c r="C45" s="268"/>
      <c r="D45" s="269"/>
      <c r="E45" s="270" t="s">
        <v>118</v>
      </c>
      <c r="F45" s="270"/>
      <c r="G45" s="270"/>
      <c r="H45" s="270"/>
      <c r="I45" s="270"/>
      <c r="J45" s="270"/>
      <c r="K45" s="270"/>
      <c r="L45" s="270"/>
      <c r="M45" s="270"/>
      <c r="N45" s="270"/>
      <c r="O45" s="270"/>
      <c r="P45" s="270"/>
      <c r="Q45" s="270"/>
      <c r="R45" s="270"/>
    </row>
    <row r="46" spans="2:18" s="1" customFormat="1" ht="16.5" customHeight="1">
      <c r="B46" s="271" t="s">
        <v>1422</v>
      </c>
      <c r="C46" s="272" t="s">
        <v>1561</v>
      </c>
      <c r="D46" s="269"/>
      <c r="E46" s="273" t="s">
        <v>1816</v>
      </c>
      <c r="F46" s="273"/>
      <c r="G46" s="273"/>
      <c r="H46" s="273"/>
      <c r="I46" s="273"/>
      <c r="J46" s="273"/>
      <c r="K46" s="273"/>
      <c r="L46" s="273"/>
      <c r="M46" s="273"/>
      <c r="N46" s="273"/>
      <c r="O46" s="273"/>
      <c r="P46" s="273"/>
      <c r="Q46" s="273"/>
      <c r="R46" s="273"/>
    </row>
    <row r="47" spans="2:18" s="1" customFormat="1" ht="16.5" customHeight="1">
      <c r="B47" s="274" t="s">
        <v>115</v>
      </c>
      <c r="C47" s="275" t="s">
        <v>289</v>
      </c>
      <c r="D47" s="269"/>
      <c r="E47" s="270" t="s">
        <v>113</v>
      </c>
      <c r="F47" s="270"/>
      <c r="G47" s="270"/>
      <c r="H47" s="270"/>
      <c r="I47" s="270"/>
      <c r="J47" s="270"/>
      <c r="K47" s="270"/>
      <c r="L47" s="270"/>
      <c r="M47" s="270"/>
      <c r="N47" s="270"/>
      <c r="O47" s="270"/>
      <c r="P47" s="270"/>
      <c r="Q47" s="270"/>
      <c r="R47" s="270"/>
    </row>
    <row r="48" spans="2:18" s="1" customFormat="1" ht="16.5" customHeight="1" thickBot="1">
      <c r="B48" s="274" t="s">
        <v>112</v>
      </c>
      <c r="C48" s="276">
        <v>133494</v>
      </c>
      <c r="D48" s="268"/>
      <c r="E48" s="273" t="s">
        <v>1377</v>
      </c>
      <c r="F48" s="273"/>
      <c r="G48" s="273"/>
      <c r="H48" s="273"/>
      <c r="I48" s="273"/>
      <c r="J48" s="273"/>
      <c r="K48" s="273"/>
      <c r="L48" s="273"/>
      <c r="M48" s="273"/>
      <c r="N48" s="273"/>
      <c r="O48" s="273"/>
      <c r="P48" s="273"/>
      <c r="Q48" s="273"/>
      <c r="R48" s="273"/>
    </row>
    <row r="49" spans="2:18" s="1" customFormat="1" ht="16.5" customHeight="1">
      <c r="B49" s="274" t="s">
        <v>110</v>
      </c>
      <c r="C49" s="277"/>
      <c r="D49" s="260"/>
      <c r="E49" s="278" t="s">
        <v>109</v>
      </c>
      <c r="F49" s="279" t="s">
        <v>108</v>
      </c>
      <c r="G49" s="280"/>
      <c r="H49" s="279" t="s">
        <v>107</v>
      </c>
      <c r="I49" s="280"/>
      <c r="J49" s="279" t="s">
        <v>106</v>
      </c>
      <c r="K49" s="280"/>
      <c r="L49" s="279" t="s">
        <v>105</v>
      </c>
      <c r="M49" s="280"/>
      <c r="N49" s="279" t="s">
        <v>96</v>
      </c>
      <c r="O49" s="280"/>
      <c r="P49" s="279" t="s">
        <v>104</v>
      </c>
      <c r="Q49" s="280"/>
      <c r="R49" s="281" t="s">
        <v>103</v>
      </c>
    </row>
    <row r="50" spans="2:18" s="1" customFormat="1" ht="16.5" customHeight="1">
      <c r="B50" s="282" t="s">
        <v>102</v>
      </c>
      <c r="C50" s="283">
        <v>283</v>
      </c>
      <c r="D50" s="262"/>
      <c r="E50" s="284"/>
      <c r="F50" s="285" t="s">
        <v>101</v>
      </c>
      <c r="G50" s="286" t="s">
        <v>100</v>
      </c>
      <c r="H50" s="285" t="s">
        <v>101</v>
      </c>
      <c r="I50" s="286" t="s">
        <v>100</v>
      </c>
      <c r="J50" s="285" t="s">
        <v>101</v>
      </c>
      <c r="K50" s="286" t="s">
        <v>100</v>
      </c>
      <c r="L50" s="287" t="s">
        <v>101</v>
      </c>
      <c r="M50" s="405" t="s">
        <v>100</v>
      </c>
      <c r="N50" s="287" t="s">
        <v>101</v>
      </c>
      <c r="O50" s="286" t="s">
        <v>100</v>
      </c>
      <c r="P50" s="287" t="s">
        <v>101</v>
      </c>
      <c r="Q50" s="286" t="s">
        <v>100</v>
      </c>
      <c r="R50" s="284"/>
    </row>
    <row r="51" spans="2:18" s="1" customFormat="1" ht="16.5" customHeight="1">
      <c r="B51" s="274" t="s">
        <v>99</v>
      </c>
      <c r="C51" s="288">
        <v>6867</v>
      </c>
      <c r="D51" s="260"/>
      <c r="E51" s="289" t="s">
        <v>87</v>
      </c>
      <c r="F51" s="290">
        <v>7</v>
      </c>
      <c r="G51" s="291">
        <f t="shared" ref="G51:G62" si="1">SUM($B$6*F51)*C63</f>
        <v>0</v>
      </c>
      <c r="H51" s="292"/>
      <c r="I51" s="291">
        <f>IF(H51&gt;0,($B$7*C63),0)</f>
        <v>0</v>
      </c>
      <c r="J51" s="293"/>
      <c r="K51" s="291">
        <f>IF(J51&gt;0,($B$8*C63),0)</f>
        <v>0</v>
      </c>
      <c r="L51" s="292">
        <v>2</v>
      </c>
      <c r="M51" s="406">
        <f t="shared" ref="M51:M62" si="2">IF(L51&gt;0,($B$9*L51),0)</f>
        <v>0</v>
      </c>
      <c r="N51" s="294">
        <v>2</v>
      </c>
      <c r="O51" s="291">
        <f t="shared" ref="O51:O62" si="3">IF(N51&gt;0,($B$10*N51),0)</f>
        <v>0</v>
      </c>
      <c r="P51" s="295">
        <v>2</v>
      </c>
      <c r="Q51" s="291">
        <f t="shared" ref="Q51:Q62" si="4">SUM(P51*$B$17)*C63</f>
        <v>0</v>
      </c>
      <c r="R51" s="296">
        <f t="shared" ref="R51:R62" si="5">SUM(Q51+O51+M51+K51+I51+G51)</f>
        <v>0</v>
      </c>
    </row>
    <row r="52" spans="2:18" s="1" customFormat="1" ht="16.5" customHeight="1">
      <c r="B52" s="274" t="s">
        <v>98</v>
      </c>
      <c r="C52" s="288">
        <v>5460</v>
      </c>
      <c r="D52" s="260"/>
      <c r="E52" s="289" t="s">
        <v>86</v>
      </c>
      <c r="F52" s="290">
        <v>7</v>
      </c>
      <c r="G52" s="291">
        <f t="shared" si="1"/>
        <v>0</v>
      </c>
      <c r="H52" s="292"/>
      <c r="I52" s="291">
        <f>IF(H52&gt;0,($B$7*C64),0)</f>
        <v>0</v>
      </c>
      <c r="J52" s="293"/>
      <c r="K52" s="291">
        <f>IF(J52&gt;0,($B$8*C64),0)</f>
        <v>0</v>
      </c>
      <c r="L52" s="292">
        <v>2</v>
      </c>
      <c r="M52" s="406">
        <f t="shared" si="2"/>
        <v>0</v>
      </c>
      <c r="N52" s="294">
        <v>2</v>
      </c>
      <c r="O52" s="291">
        <f t="shared" si="3"/>
        <v>0</v>
      </c>
      <c r="P52" s="295">
        <v>2</v>
      </c>
      <c r="Q52" s="291">
        <f t="shared" si="4"/>
        <v>0</v>
      </c>
      <c r="R52" s="296">
        <f t="shared" si="5"/>
        <v>0</v>
      </c>
    </row>
    <row r="53" spans="2:18" s="1" customFormat="1" ht="16.5" customHeight="1">
      <c r="B53" s="407" t="s">
        <v>97</v>
      </c>
      <c r="C53" s="288">
        <v>324</v>
      </c>
      <c r="D53" s="260"/>
      <c r="E53" s="289" t="s">
        <v>84</v>
      </c>
      <c r="F53" s="290">
        <v>7</v>
      </c>
      <c r="G53" s="291">
        <f t="shared" si="1"/>
        <v>0</v>
      </c>
      <c r="H53" s="292"/>
      <c r="I53" s="291">
        <f>IF(H53&gt;0,($B$7*C65),0)</f>
        <v>0</v>
      </c>
      <c r="J53" s="293"/>
      <c r="K53" s="291">
        <f>IF(J53&gt;0,($B$8*C65),0)</f>
        <v>0</v>
      </c>
      <c r="L53" s="292">
        <v>2</v>
      </c>
      <c r="M53" s="406">
        <f t="shared" si="2"/>
        <v>0</v>
      </c>
      <c r="N53" s="294">
        <v>2</v>
      </c>
      <c r="O53" s="291">
        <f t="shared" si="3"/>
        <v>0</v>
      </c>
      <c r="P53" s="295">
        <v>2</v>
      </c>
      <c r="Q53" s="291">
        <f t="shared" si="4"/>
        <v>0</v>
      </c>
      <c r="R53" s="296">
        <f t="shared" si="5"/>
        <v>0</v>
      </c>
    </row>
    <row r="54" spans="2:18" s="1" customFormat="1" ht="16.5" customHeight="1">
      <c r="B54" s="408" t="s">
        <v>96</v>
      </c>
      <c r="C54" s="288">
        <v>1050</v>
      </c>
      <c r="D54" s="260"/>
      <c r="E54" s="289" t="s">
        <v>83</v>
      </c>
      <c r="F54" s="290">
        <v>7</v>
      </c>
      <c r="G54" s="291">
        <f t="shared" si="1"/>
        <v>0</v>
      </c>
      <c r="H54" s="292"/>
      <c r="I54" s="291">
        <f>IF(H54&gt;0,($B$7*C66),0)</f>
        <v>0</v>
      </c>
      <c r="J54" s="293"/>
      <c r="K54" s="291">
        <f>IF(J54&gt;0,($B$8*C66),0)</f>
        <v>0</v>
      </c>
      <c r="L54" s="292">
        <v>2</v>
      </c>
      <c r="M54" s="406">
        <f t="shared" si="2"/>
        <v>0</v>
      </c>
      <c r="N54" s="294">
        <v>2</v>
      </c>
      <c r="O54" s="291">
        <f t="shared" si="3"/>
        <v>0</v>
      </c>
      <c r="P54" s="295">
        <v>2</v>
      </c>
      <c r="Q54" s="291">
        <f t="shared" si="4"/>
        <v>0</v>
      </c>
      <c r="R54" s="296">
        <f t="shared" si="5"/>
        <v>0</v>
      </c>
    </row>
    <row r="55" spans="2:18" s="1" customFormat="1" ht="16.5" customHeight="1">
      <c r="B55" s="274" t="s">
        <v>95</v>
      </c>
      <c r="C55" s="141">
        <v>35000</v>
      </c>
      <c r="D55" s="260"/>
      <c r="E55" s="289" t="s">
        <v>82</v>
      </c>
      <c r="F55" s="290">
        <v>7</v>
      </c>
      <c r="G55" s="291">
        <f t="shared" si="1"/>
        <v>0</v>
      </c>
      <c r="H55" s="292"/>
      <c r="I55" s="291">
        <v>6866.67</v>
      </c>
      <c r="J55" s="293"/>
      <c r="K55" s="291">
        <v>5460</v>
      </c>
      <c r="L55" s="292">
        <v>2</v>
      </c>
      <c r="M55" s="406">
        <f t="shared" si="2"/>
        <v>0</v>
      </c>
      <c r="N55" s="294">
        <v>2</v>
      </c>
      <c r="O55" s="291">
        <f t="shared" si="3"/>
        <v>0</v>
      </c>
      <c r="P55" s="295">
        <v>2</v>
      </c>
      <c r="Q55" s="291">
        <f t="shared" si="4"/>
        <v>0</v>
      </c>
      <c r="R55" s="296">
        <f t="shared" si="5"/>
        <v>12326.67</v>
      </c>
    </row>
    <row r="56" spans="2:18" s="1" customFormat="1" ht="16.5" customHeight="1">
      <c r="B56" s="274" t="s">
        <v>94</v>
      </c>
      <c r="C56" s="141">
        <v>5000</v>
      </c>
      <c r="D56" s="260"/>
      <c r="E56" s="289" t="s">
        <v>80</v>
      </c>
      <c r="F56" s="290">
        <v>7</v>
      </c>
      <c r="G56" s="291">
        <f t="shared" si="1"/>
        <v>0</v>
      </c>
      <c r="H56" s="292"/>
      <c r="I56" s="291">
        <f t="shared" ref="I56:I62" si="6">IF(H56&gt;0,($B$7*C68),0)</f>
        <v>0</v>
      </c>
      <c r="J56" s="293"/>
      <c r="K56" s="291">
        <f t="shared" ref="K56:K62" si="7">IF(J56&gt;0,($B$8*C68),0)</f>
        <v>0</v>
      </c>
      <c r="L56" s="292">
        <v>2</v>
      </c>
      <c r="M56" s="406">
        <f t="shared" si="2"/>
        <v>0</v>
      </c>
      <c r="N56" s="294">
        <v>2</v>
      </c>
      <c r="O56" s="291">
        <f t="shared" si="3"/>
        <v>0</v>
      </c>
      <c r="P56" s="295">
        <v>2</v>
      </c>
      <c r="Q56" s="291">
        <f t="shared" si="4"/>
        <v>0</v>
      </c>
      <c r="R56" s="296">
        <f t="shared" si="5"/>
        <v>0</v>
      </c>
    </row>
    <row r="57" spans="2:18" s="1" customFormat="1" ht="16.5" customHeight="1">
      <c r="B57" s="274" t="s">
        <v>93</v>
      </c>
      <c r="C57" s="141">
        <v>175000</v>
      </c>
      <c r="D57" s="260"/>
      <c r="E57" s="289" t="s">
        <v>79</v>
      </c>
      <c r="F57" s="290">
        <v>7</v>
      </c>
      <c r="G57" s="291">
        <f t="shared" si="1"/>
        <v>0</v>
      </c>
      <c r="H57" s="292"/>
      <c r="I57" s="291">
        <f t="shared" si="6"/>
        <v>0</v>
      </c>
      <c r="J57" s="293"/>
      <c r="K57" s="291">
        <f t="shared" si="7"/>
        <v>0</v>
      </c>
      <c r="L57" s="292">
        <v>2</v>
      </c>
      <c r="M57" s="406">
        <f t="shared" si="2"/>
        <v>0</v>
      </c>
      <c r="N57" s="294">
        <v>2</v>
      </c>
      <c r="O57" s="291">
        <f t="shared" si="3"/>
        <v>0</v>
      </c>
      <c r="P57" s="295">
        <v>2</v>
      </c>
      <c r="Q57" s="291">
        <f t="shared" si="4"/>
        <v>0</v>
      </c>
      <c r="R57" s="296">
        <f t="shared" si="5"/>
        <v>0</v>
      </c>
    </row>
    <row r="58" spans="2:18" s="1" customFormat="1" ht="16.5" customHeight="1">
      <c r="B58" s="274" t="s">
        <v>92</v>
      </c>
      <c r="C58" s="141">
        <v>175000</v>
      </c>
      <c r="D58" s="260"/>
      <c r="E58" s="289" t="s">
        <v>78</v>
      </c>
      <c r="F58" s="290">
        <v>7</v>
      </c>
      <c r="G58" s="291">
        <f t="shared" si="1"/>
        <v>0</v>
      </c>
      <c r="H58" s="292"/>
      <c r="I58" s="291">
        <f t="shared" si="6"/>
        <v>0</v>
      </c>
      <c r="J58" s="293"/>
      <c r="K58" s="291">
        <f t="shared" si="7"/>
        <v>0</v>
      </c>
      <c r="L58" s="292">
        <v>2</v>
      </c>
      <c r="M58" s="406">
        <f t="shared" si="2"/>
        <v>0</v>
      </c>
      <c r="N58" s="294">
        <v>2</v>
      </c>
      <c r="O58" s="291">
        <f t="shared" si="3"/>
        <v>0</v>
      </c>
      <c r="P58" s="295">
        <v>2</v>
      </c>
      <c r="Q58" s="291">
        <f t="shared" si="4"/>
        <v>0</v>
      </c>
      <c r="R58" s="296">
        <f t="shared" si="5"/>
        <v>0</v>
      </c>
    </row>
    <row r="59" spans="2:18" s="1" customFormat="1" ht="16.5" customHeight="1">
      <c r="B59" s="274" t="s">
        <v>91</v>
      </c>
      <c r="C59" s="141">
        <v>12000</v>
      </c>
      <c r="D59" s="260"/>
      <c r="E59" s="289" t="s">
        <v>77</v>
      </c>
      <c r="F59" s="290">
        <v>7</v>
      </c>
      <c r="G59" s="291">
        <f t="shared" si="1"/>
        <v>0</v>
      </c>
      <c r="H59" s="292"/>
      <c r="I59" s="291">
        <f t="shared" si="6"/>
        <v>0</v>
      </c>
      <c r="J59" s="293"/>
      <c r="K59" s="291">
        <f t="shared" si="7"/>
        <v>0</v>
      </c>
      <c r="L59" s="292">
        <v>2</v>
      </c>
      <c r="M59" s="406">
        <f t="shared" si="2"/>
        <v>0</v>
      </c>
      <c r="N59" s="294">
        <v>2</v>
      </c>
      <c r="O59" s="291">
        <f t="shared" si="3"/>
        <v>0</v>
      </c>
      <c r="P59" s="295">
        <v>2</v>
      </c>
      <c r="Q59" s="291">
        <f t="shared" si="4"/>
        <v>0</v>
      </c>
      <c r="R59" s="296">
        <f t="shared" si="5"/>
        <v>0</v>
      </c>
    </row>
    <row r="60" spans="2:18" s="1" customFormat="1" ht="16.5" customHeight="1">
      <c r="B60" s="274" t="s">
        <v>90</v>
      </c>
      <c r="C60" s="141">
        <v>25000</v>
      </c>
      <c r="D60" s="260"/>
      <c r="E60" s="289" t="s">
        <v>76</v>
      </c>
      <c r="F60" s="290">
        <v>7</v>
      </c>
      <c r="G60" s="291">
        <f t="shared" si="1"/>
        <v>0</v>
      </c>
      <c r="H60" s="292"/>
      <c r="I60" s="291">
        <f t="shared" si="6"/>
        <v>0</v>
      </c>
      <c r="J60" s="293"/>
      <c r="K60" s="291">
        <f t="shared" si="7"/>
        <v>0</v>
      </c>
      <c r="L60" s="292">
        <v>2</v>
      </c>
      <c r="M60" s="406">
        <f t="shared" si="2"/>
        <v>0</v>
      </c>
      <c r="N60" s="294">
        <v>2</v>
      </c>
      <c r="O60" s="291">
        <f t="shared" si="3"/>
        <v>0</v>
      </c>
      <c r="P60" s="295">
        <v>2</v>
      </c>
      <c r="Q60" s="291">
        <f t="shared" si="4"/>
        <v>0</v>
      </c>
      <c r="R60" s="296">
        <f t="shared" si="5"/>
        <v>0</v>
      </c>
    </row>
    <row r="61" spans="2:18" s="1" customFormat="1" ht="16.5" customHeight="1">
      <c r="B61" s="297" t="s">
        <v>89</v>
      </c>
      <c r="C61" s="298">
        <v>92</v>
      </c>
      <c r="D61" s="260"/>
      <c r="E61" s="289" t="s">
        <v>75</v>
      </c>
      <c r="F61" s="290">
        <v>7</v>
      </c>
      <c r="G61" s="291">
        <f t="shared" si="1"/>
        <v>0</v>
      </c>
      <c r="H61" s="292"/>
      <c r="I61" s="291">
        <f t="shared" si="6"/>
        <v>0</v>
      </c>
      <c r="J61" s="293"/>
      <c r="K61" s="291">
        <f t="shared" si="7"/>
        <v>0</v>
      </c>
      <c r="L61" s="292">
        <v>2</v>
      </c>
      <c r="M61" s="406">
        <f t="shared" si="2"/>
        <v>0</v>
      </c>
      <c r="N61" s="294">
        <v>2</v>
      </c>
      <c r="O61" s="291">
        <f t="shared" si="3"/>
        <v>0</v>
      </c>
      <c r="P61" s="295">
        <v>2</v>
      </c>
      <c r="Q61" s="291">
        <f t="shared" si="4"/>
        <v>0</v>
      </c>
      <c r="R61" s="296">
        <f t="shared" si="5"/>
        <v>0</v>
      </c>
    </row>
    <row r="62" spans="2:18" s="1" customFormat="1" ht="16.5" customHeight="1">
      <c r="B62" s="299" t="s">
        <v>88</v>
      </c>
      <c r="C62" s="300"/>
      <c r="D62" s="260"/>
      <c r="E62" s="289" t="s">
        <v>74</v>
      </c>
      <c r="F62" s="290">
        <v>7</v>
      </c>
      <c r="G62" s="291">
        <f t="shared" si="1"/>
        <v>0</v>
      </c>
      <c r="H62" s="292"/>
      <c r="I62" s="291">
        <f t="shared" si="6"/>
        <v>0</v>
      </c>
      <c r="J62" s="293"/>
      <c r="K62" s="291">
        <f t="shared" si="7"/>
        <v>0</v>
      </c>
      <c r="L62" s="292">
        <v>2</v>
      </c>
      <c r="M62" s="406">
        <f t="shared" si="2"/>
        <v>0</v>
      </c>
      <c r="N62" s="294">
        <v>2</v>
      </c>
      <c r="O62" s="291">
        <f t="shared" si="3"/>
        <v>0</v>
      </c>
      <c r="P62" s="295">
        <v>2</v>
      </c>
      <c r="Q62" s="291">
        <f t="shared" si="4"/>
        <v>0</v>
      </c>
      <c r="R62" s="296">
        <f t="shared" si="5"/>
        <v>0</v>
      </c>
    </row>
    <row r="63" spans="2:18" s="1" customFormat="1" ht="16.5" customHeight="1">
      <c r="B63" s="513" t="s">
        <v>87</v>
      </c>
      <c r="C63" s="514">
        <v>1</v>
      </c>
      <c r="D63" s="260"/>
      <c r="E63" s="303"/>
      <c r="F63" s="304"/>
      <c r="G63" s="305"/>
      <c r="H63" s="306"/>
      <c r="I63" s="307"/>
      <c r="J63" s="308"/>
      <c r="K63" s="307"/>
      <c r="L63" s="306"/>
      <c r="M63" s="409"/>
      <c r="N63" s="304"/>
      <c r="O63" s="305"/>
      <c r="P63" s="306"/>
      <c r="Q63" s="307"/>
      <c r="R63" s="309"/>
    </row>
    <row r="64" spans="2:18" s="1" customFormat="1" ht="16.5" customHeight="1" thickBot="1">
      <c r="B64" s="513" t="s">
        <v>86</v>
      </c>
      <c r="C64" s="513">
        <f t="shared" ref="C64:C74" si="8">SUM(C63+(C63*$B$5))</f>
        <v>1</v>
      </c>
      <c r="D64" s="260"/>
      <c r="E64" s="310" t="s">
        <v>85</v>
      </c>
      <c r="F64" s="311"/>
      <c r="G64" s="312">
        <f>SUM(G51:G62)</f>
        <v>0</v>
      </c>
      <c r="H64" s="313"/>
      <c r="I64" s="312">
        <f>SUM(I51:I62)</f>
        <v>6866.67</v>
      </c>
      <c r="J64" s="314"/>
      <c r="K64" s="312">
        <f>SUM(K51:K62)</f>
        <v>5460</v>
      </c>
      <c r="L64" s="313"/>
      <c r="M64" s="410">
        <f>SUM(M51:M62)</f>
        <v>0</v>
      </c>
      <c r="N64" s="315"/>
      <c r="O64" s="312">
        <f>SUM(O51:O62)</f>
        <v>0</v>
      </c>
      <c r="P64" s="313"/>
      <c r="Q64" s="312">
        <f>SUM(Q51:Q62)</f>
        <v>0</v>
      </c>
      <c r="R64" s="316">
        <f>SUM(R51:R62)</f>
        <v>12326.67</v>
      </c>
    </row>
    <row r="65" spans="2:18" s="1" customFormat="1" ht="16.5" customHeight="1" thickTop="1" thickBot="1">
      <c r="B65" s="513" t="s">
        <v>84</v>
      </c>
      <c r="C65" s="513">
        <f t="shared" si="8"/>
        <v>1</v>
      </c>
      <c r="D65" s="269"/>
      <c r="E65" s="317"/>
      <c r="F65" s="318"/>
      <c r="G65" s="319"/>
      <c r="H65" s="320"/>
      <c r="I65" s="319"/>
      <c r="J65" s="321"/>
      <c r="K65" s="319"/>
      <c r="L65" s="320"/>
      <c r="M65" s="411"/>
      <c r="N65" s="318"/>
      <c r="O65" s="322"/>
      <c r="P65" s="320"/>
      <c r="Q65" s="319"/>
      <c r="R65" s="323"/>
    </row>
    <row r="66" spans="2:18" s="1" customFormat="1" ht="16.5" customHeight="1">
      <c r="B66" s="513" t="s">
        <v>83</v>
      </c>
      <c r="C66" s="515">
        <f t="shared" si="8"/>
        <v>1</v>
      </c>
      <c r="D66" s="269"/>
      <c r="E66" s="269"/>
      <c r="F66" s="325"/>
      <c r="G66" s="269"/>
      <c r="H66" s="326"/>
      <c r="I66" s="269"/>
      <c r="J66" s="327"/>
      <c r="K66" s="269"/>
      <c r="L66" s="326"/>
      <c r="M66" s="412"/>
      <c r="N66" s="325"/>
      <c r="O66" s="269"/>
      <c r="P66" s="326"/>
      <c r="Q66" s="269"/>
      <c r="R66" s="269"/>
    </row>
    <row r="67" spans="2:18" s="1" customFormat="1" ht="16.5" customHeight="1">
      <c r="B67" s="513" t="s">
        <v>82</v>
      </c>
      <c r="C67" s="515">
        <f t="shared" si="8"/>
        <v>1</v>
      </c>
      <c r="D67" s="269"/>
      <c r="E67" s="269" t="s">
        <v>81</v>
      </c>
      <c r="F67" s="325"/>
      <c r="G67" s="269"/>
      <c r="H67" s="326"/>
      <c r="I67" s="269"/>
      <c r="J67" s="327"/>
      <c r="K67" s="269"/>
      <c r="L67" s="326"/>
      <c r="M67" s="412"/>
      <c r="N67" s="325"/>
      <c r="O67" s="269"/>
      <c r="P67" s="326"/>
      <c r="Q67" s="269"/>
      <c r="R67" s="269"/>
    </row>
    <row r="68" spans="2:18" s="1" customFormat="1" ht="16.5" customHeight="1">
      <c r="B68" s="513" t="s">
        <v>80</v>
      </c>
      <c r="C68" s="515">
        <f t="shared" si="8"/>
        <v>1</v>
      </c>
      <c r="D68" s="269"/>
      <c r="E68" s="269"/>
      <c r="F68" s="325"/>
      <c r="G68" s="269"/>
      <c r="H68" s="326"/>
      <c r="I68" s="269"/>
      <c r="J68" s="327"/>
      <c r="K68" s="269"/>
      <c r="L68" s="326"/>
      <c r="M68" s="412"/>
      <c r="N68" s="325"/>
      <c r="O68" s="269"/>
      <c r="P68" s="326"/>
      <c r="Q68" s="269"/>
      <c r="R68" s="269"/>
    </row>
    <row r="69" spans="2:18" s="1" customFormat="1" ht="16.5" customHeight="1">
      <c r="B69" s="513" t="s">
        <v>79</v>
      </c>
      <c r="C69" s="515">
        <f t="shared" si="8"/>
        <v>1</v>
      </c>
      <c r="D69" s="269"/>
      <c r="E69" s="413" t="s">
        <v>291</v>
      </c>
      <c r="F69" s="414"/>
      <c r="G69" s="415"/>
      <c r="H69" s="416"/>
      <c r="I69" s="413"/>
      <c r="J69" s="417"/>
      <c r="K69" s="413"/>
      <c r="L69" s="417"/>
      <c r="M69" s="413"/>
      <c r="N69" s="417"/>
      <c r="O69" s="413"/>
      <c r="P69" s="326"/>
      <c r="Q69" s="269"/>
      <c r="R69" s="269"/>
    </row>
    <row r="70" spans="2:18" s="1" customFormat="1" ht="16.5" customHeight="1">
      <c r="B70" s="513" t="s">
        <v>78</v>
      </c>
      <c r="C70" s="515">
        <f t="shared" si="8"/>
        <v>1</v>
      </c>
      <c r="D70" s="269"/>
      <c r="E70" s="418" t="s">
        <v>292</v>
      </c>
      <c r="F70" s="419"/>
      <c r="G70" s="418"/>
      <c r="H70" s="420"/>
      <c r="I70" s="269"/>
      <c r="J70" s="326"/>
      <c r="K70" s="269"/>
      <c r="L70" s="326"/>
      <c r="M70" s="269"/>
      <c r="N70" s="326"/>
      <c r="O70" s="269"/>
      <c r="P70" s="326"/>
      <c r="Q70" s="269"/>
      <c r="R70" s="269"/>
    </row>
    <row r="71" spans="2:18" s="1" customFormat="1" ht="16.5" customHeight="1">
      <c r="B71" s="513" t="s">
        <v>77</v>
      </c>
      <c r="C71" s="515">
        <f t="shared" si="8"/>
        <v>1</v>
      </c>
      <c r="D71" s="269"/>
      <c r="E71" s="269"/>
      <c r="F71" s="325"/>
      <c r="G71" s="269"/>
      <c r="H71" s="326"/>
      <c r="I71" s="269"/>
      <c r="J71" s="327"/>
      <c r="K71" s="269"/>
      <c r="L71" s="326"/>
      <c r="M71" s="412"/>
      <c r="N71" s="325"/>
      <c r="O71" s="269"/>
      <c r="P71" s="326"/>
      <c r="Q71" s="269"/>
      <c r="R71" s="269"/>
    </row>
    <row r="72" spans="2:18" s="1" customFormat="1" ht="16.5" customHeight="1">
      <c r="B72" s="513" t="s">
        <v>76</v>
      </c>
      <c r="C72" s="515">
        <f t="shared" si="8"/>
        <v>1</v>
      </c>
      <c r="D72" s="269"/>
      <c r="E72" s="269"/>
      <c r="F72" s="325"/>
      <c r="G72" s="269"/>
      <c r="H72" s="326"/>
      <c r="I72" s="269"/>
      <c r="J72" s="327"/>
      <c r="K72" s="269"/>
      <c r="L72" s="326"/>
      <c r="M72" s="412"/>
      <c r="N72" s="325"/>
      <c r="O72" s="269"/>
      <c r="P72" s="326"/>
      <c r="Q72" s="269"/>
      <c r="R72" s="269"/>
    </row>
    <row r="73" spans="2:18" s="1" customFormat="1" ht="16.5" customHeight="1">
      <c r="B73" s="513" t="s">
        <v>75</v>
      </c>
      <c r="C73" s="515">
        <f t="shared" si="8"/>
        <v>1</v>
      </c>
      <c r="D73" s="269"/>
      <c r="E73" s="269"/>
      <c r="F73" s="325"/>
      <c r="G73" s="269"/>
      <c r="H73" s="326"/>
      <c r="I73" s="269"/>
      <c r="J73" s="327"/>
      <c r="K73" s="269"/>
      <c r="L73" s="326"/>
      <c r="M73" s="412"/>
      <c r="N73" s="325"/>
      <c r="O73" s="269"/>
      <c r="P73" s="326"/>
      <c r="Q73" s="269"/>
      <c r="R73" s="269"/>
    </row>
    <row r="74" spans="2:18" s="1" customFormat="1" ht="16.5" customHeight="1">
      <c r="B74" s="513" t="s">
        <v>74</v>
      </c>
      <c r="C74" s="515">
        <f t="shared" si="8"/>
        <v>1</v>
      </c>
      <c r="D74" s="269"/>
      <c r="E74" s="269"/>
      <c r="F74" s="325"/>
      <c r="G74" s="269"/>
      <c r="H74" s="326"/>
      <c r="I74" s="269"/>
      <c r="J74" s="327"/>
      <c r="K74" s="269"/>
      <c r="L74" s="326"/>
      <c r="M74" s="412"/>
      <c r="N74" s="325"/>
      <c r="O74" s="269"/>
      <c r="P74" s="326"/>
      <c r="Q74" s="269"/>
      <c r="R74" s="269"/>
    </row>
    <row r="76" spans="2:18" s="1" customFormat="1" ht="16.5" customHeight="1">
      <c r="B76" s="268"/>
      <c r="C76" s="268"/>
      <c r="D76" s="269"/>
      <c r="E76" s="270" t="s">
        <v>118</v>
      </c>
      <c r="F76" s="270"/>
      <c r="G76" s="270"/>
      <c r="H76" s="270"/>
      <c r="I76" s="270"/>
      <c r="J76" s="270"/>
      <c r="K76" s="270"/>
      <c r="L76" s="270"/>
      <c r="M76" s="270"/>
      <c r="N76" s="270"/>
      <c r="O76" s="270"/>
      <c r="P76" s="270"/>
      <c r="Q76" s="270"/>
      <c r="R76" s="270"/>
    </row>
    <row r="77" spans="2:18" s="1" customFormat="1" ht="16.5" customHeight="1">
      <c r="B77" s="271" t="s">
        <v>1378</v>
      </c>
      <c r="C77" s="272" t="s">
        <v>1379</v>
      </c>
      <c r="D77" s="269"/>
      <c r="E77" s="273" t="s">
        <v>1817</v>
      </c>
      <c r="F77" s="273"/>
      <c r="G77" s="273"/>
      <c r="H77" s="273"/>
      <c r="I77" s="273"/>
      <c r="J77" s="273"/>
      <c r="K77" s="273"/>
      <c r="L77" s="273"/>
      <c r="M77" s="273"/>
      <c r="N77" s="273"/>
      <c r="O77" s="273"/>
      <c r="P77" s="273"/>
      <c r="Q77" s="273"/>
      <c r="R77" s="273"/>
    </row>
    <row r="78" spans="2:18" s="1" customFormat="1" ht="16.5" customHeight="1">
      <c r="B78" s="274" t="s">
        <v>115</v>
      </c>
      <c r="C78" s="275" t="s">
        <v>289</v>
      </c>
      <c r="D78" s="269"/>
      <c r="E78" s="270" t="s">
        <v>119</v>
      </c>
      <c r="F78" s="270"/>
      <c r="G78" s="270"/>
      <c r="H78" s="270"/>
      <c r="I78" s="270"/>
      <c r="J78" s="270"/>
      <c r="K78" s="270"/>
      <c r="L78" s="270"/>
      <c r="M78" s="270"/>
      <c r="N78" s="270"/>
      <c r="O78" s="270"/>
      <c r="P78" s="270"/>
      <c r="Q78" s="270"/>
      <c r="R78" s="270"/>
    </row>
    <row r="79" spans="2:18" s="1" customFormat="1" ht="16.5" customHeight="1" thickBot="1">
      <c r="B79" s="274" t="s">
        <v>112</v>
      </c>
      <c r="C79" s="276">
        <v>133494</v>
      </c>
      <c r="D79" s="268"/>
      <c r="E79" s="330" t="s">
        <v>1562</v>
      </c>
      <c r="F79" s="330"/>
      <c r="G79" s="330"/>
      <c r="H79" s="330"/>
      <c r="I79" s="330"/>
      <c r="J79" s="330"/>
      <c r="K79" s="330"/>
      <c r="L79" s="330"/>
      <c r="M79" s="330"/>
      <c r="N79" s="330"/>
      <c r="O79" s="330"/>
      <c r="P79" s="330"/>
      <c r="Q79" s="330"/>
      <c r="R79" s="330"/>
    </row>
    <row r="80" spans="2:18" s="1" customFormat="1" ht="16.5" customHeight="1">
      <c r="B80" s="274" t="s">
        <v>110</v>
      </c>
      <c r="C80" s="277"/>
      <c r="D80" s="260"/>
      <c r="E80" s="278" t="s">
        <v>109</v>
      </c>
      <c r="F80" s="279" t="s">
        <v>108</v>
      </c>
      <c r="G80" s="280"/>
      <c r="H80" s="279" t="s">
        <v>107</v>
      </c>
      <c r="I80" s="280"/>
      <c r="J80" s="279" t="s">
        <v>106</v>
      </c>
      <c r="K80" s="280"/>
      <c r="L80" s="279" t="s">
        <v>105</v>
      </c>
      <c r="M80" s="280"/>
      <c r="N80" s="279" t="s">
        <v>96</v>
      </c>
      <c r="O80" s="280"/>
      <c r="P80" s="279" t="s">
        <v>104</v>
      </c>
      <c r="Q80" s="280"/>
      <c r="R80" s="281" t="s">
        <v>103</v>
      </c>
    </row>
    <row r="81" spans="2:18" s="1" customFormat="1" ht="16.5" customHeight="1">
      <c r="B81" s="274" t="s">
        <v>102</v>
      </c>
      <c r="C81" s="549">
        <v>160</v>
      </c>
      <c r="D81" s="260"/>
      <c r="E81" s="289"/>
      <c r="F81" s="285" t="s">
        <v>101</v>
      </c>
      <c r="G81" s="331" t="s">
        <v>100</v>
      </c>
      <c r="H81" s="285" t="s">
        <v>101</v>
      </c>
      <c r="I81" s="331" t="s">
        <v>100</v>
      </c>
      <c r="J81" s="285" t="s">
        <v>101</v>
      </c>
      <c r="K81" s="331" t="s">
        <v>100</v>
      </c>
      <c r="L81" s="285" t="s">
        <v>101</v>
      </c>
      <c r="M81" s="331" t="s">
        <v>100</v>
      </c>
      <c r="N81" s="285" t="s">
        <v>101</v>
      </c>
      <c r="O81" s="331" t="s">
        <v>100</v>
      </c>
      <c r="P81" s="287" t="s">
        <v>101</v>
      </c>
      <c r="Q81" s="331" t="s">
        <v>100</v>
      </c>
      <c r="R81" s="289"/>
    </row>
    <row r="82" spans="2:18" s="1" customFormat="1" ht="16.5" customHeight="1">
      <c r="B82" s="274" t="s">
        <v>107</v>
      </c>
      <c r="C82" s="288">
        <v>6867</v>
      </c>
      <c r="D82" s="260"/>
      <c r="E82" s="289" t="s">
        <v>87</v>
      </c>
      <c r="F82" s="290">
        <v>8</v>
      </c>
      <c r="G82" s="291">
        <f t="shared" ref="G82:G93" si="9">SUM($B$6*F82)*C94</f>
        <v>0</v>
      </c>
      <c r="H82" s="292"/>
      <c r="I82" s="291"/>
      <c r="J82" s="293"/>
      <c r="K82" s="291"/>
      <c r="L82" s="292">
        <v>1</v>
      </c>
      <c r="M82" s="406">
        <f t="shared" ref="M82:M93" si="10">IF(L82&gt;0,($B$9*L82),0)</f>
        <v>0</v>
      </c>
      <c r="N82" s="290">
        <v>1</v>
      </c>
      <c r="O82" s="291">
        <f t="shared" ref="O82:O93" si="11">IF(N82&gt;0,($B$10*N82),0)</f>
        <v>0</v>
      </c>
      <c r="P82" s="295">
        <v>1</v>
      </c>
      <c r="Q82" s="291">
        <f t="shared" ref="Q82:Q93" si="12">SUM(P82*$B$17)*C94</f>
        <v>0</v>
      </c>
      <c r="R82" s="296">
        <f t="shared" ref="R82:R93" si="13">SUM(Q82+O82+M82+K82+I82+G82)</f>
        <v>0</v>
      </c>
    </row>
    <row r="83" spans="2:18" s="1" customFormat="1" ht="16.5" customHeight="1">
      <c r="B83" s="274" t="s">
        <v>121</v>
      </c>
      <c r="C83" s="288">
        <v>5460</v>
      </c>
      <c r="D83" s="260"/>
      <c r="E83" s="289" t="s">
        <v>86</v>
      </c>
      <c r="F83" s="290">
        <v>7</v>
      </c>
      <c r="G83" s="291">
        <f t="shared" si="9"/>
        <v>0</v>
      </c>
      <c r="H83" s="292"/>
      <c r="I83" s="291"/>
      <c r="J83" s="293"/>
      <c r="K83" s="291"/>
      <c r="L83" s="469">
        <v>2</v>
      </c>
      <c r="M83" s="406">
        <f t="shared" si="10"/>
        <v>0</v>
      </c>
      <c r="N83" s="294">
        <v>1</v>
      </c>
      <c r="O83" s="291">
        <f t="shared" si="11"/>
        <v>0</v>
      </c>
      <c r="P83" s="295">
        <v>2</v>
      </c>
      <c r="Q83" s="291">
        <f t="shared" si="12"/>
        <v>0</v>
      </c>
      <c r="R83" s="296">
        <f t="shared" si="13"/>
        <v>0</v>
      </c>
    </row>
    <row r="84" spans="2:18" s="1" customFormat="1" ht="16.5" customHeight="1">
      <c r="B84" s="407" t="s">
        <v>122</v>
      </c>
      <c r="C84" s="288">
        <v>324</v>
      </c>
      <c r="D84" s="260"/>
      <c r="E84" s="289" t="s">
        <v>84</v>
      </c>
      <c r="F84" s="290"/>
      <c r="G84" s="291">
        <f t="shared" si="9"/>
        <v>0</v>
      </c>
      <c r="H84" s="292"/>
      <c r="I84" s="291"/>
      <c r="J84" s="293"/>
      <c r="K84" s="291"/>
      <c r="L84" s="292"/>
      <c r="M84" s="406">
        <f t="shared" si="10"/>
        <v>0</v>
      </c>
      <c r="N84" s="294"/>
      <c r="O84" s="291">
        <f t="shared" si="11"/>
        <v>0</v>
      </c>
      <c r="P84" s="295"/>
      <c r="Q84" s="291">
        <f t="shared" si="12"/>
        <v>0</v>
      </c>
      <c r="R84" s="296">
        <f t="shared" si="13"/>
        <v>0</v>
      </c>
    </row>
    <row r="85" spans="2:18" s="1" customFormat="1" ht="16.5" customHeight="1">
      <c r="B85" s="408" t="s">
        <v>123</v>
      </c>
      <c r="C85" s="288">
        <v>1050</v>
      </c>
      <c r="D85" s="260"/>
      <c r="E85" s="289" t="s">
        <v>83</v>
      </c>
      <c r="F85" s="290"/>
      <c r="G85" s="291">
        <f t="shared" si="9"/>
        <v>0</v>
      </c>
      <c r="H85" s="292"/>
      <c r="I85" s="291"/>
      <c r="J85" s="293"/>
      <c r="K85" s="291"/>
      <c r="L85" s="292"/>
      <c r="M85" s="406">
        <f t="shared" si="10"/>
        <v>0</v>
      </c>
      <c r="N85" s="294"/>
      <c r="O85" s="291">
        <f t="shared" si="11"/>
        <v>0</v>
      </c>
      <c r="P85" s="295"/>
      <c r="Q85" s="291">
        <f t="shared" si="12"/>
        <v>0</v>
      </c>
      <c r="R85" s="296">
        <f t="shared" si="13"/>
        <v>0</v>
      </c>
    </row>
    <row r="86" spans="2:18" s="1" customFormat="1" ht="16.5" customHeight="1">
      <c r="B86" s="274" t="s">
        <v>95</v>
      </c>
      <c r="C86" s="563">
        <v>35000</v>
      </c>
      <c r="D86" s="260"/>
      <c r="E86" s="289" t="s">
        <v>82</v>
      </c>
      <c r="F86" s="290"/>
      <c r="G86" s="291">
        <f t="shared" si="9"/>
        <v>0</v>
      </c>
      <c r="H86" s="292"/>
      <c r="I86" s="291"/>
      <c r="J86" s="293"/>
      <c r="K86" s="291"/>
      <c r="L86" s="292"/>
      <c r="M86" s="406">
        <f t="shared" si="10"/>
        <v>0</v>
      </c>
      <c r="N86" s="294"/>
      <c r="O86" s="291">
        <f t="shared" si="11"/>
        <v>0</v>
      </c>
      <c r="P86" s="295"/>
      <c r="Q86" s="291">
        <f t="shared" si="12"/>
        <v>0</v>
      </c>
      <c r="R86" s="296">
        <f t="shared" si="13"/>
        <v>0</v>
      </c>
    </row>
    <row r="87" spans="2:18" s="1" customFormat="1" ht="16.5" customHeight="1">
      <c r="B87" s="274" t="s">
        <v>94</v>
      </c>
      <c r="C87" s="563">
        <v>5000</v>
      </c>
      <c r="D87" s="260"/>
      <c r="E87" s="289" t="s">
        <v>80</v>
      </c>
      <c r="F87" s="290"/>
      <c r="G87" s="291">
        <f t="shared" si="9"/>
        <v>0</v>
      </c>
      <c r="H87" s="292"/>
      <c r="I87" s="291"/>
      <c r="J87" s="293"/>
      <c r="K87" s="291"/>
      <c r="L87" s="292"/>
      <c r="M87" s="406">
        <f t="shared" si="10"/>
        <v>0</v>
      </c>
      <c r="N87" s="294"/>
      <c r="O87" s="291">
        <f t="shared" si="11"/>
        <v>0</v>
      </c>
      <c r="P87" s="295"/>
      <c r="Q87" s="291">
        <f t="shared" si="12"/>
        <v>0</v>
      </c>
      <c r="R87" s="296">
        <f t="shared" si="13"/>
        <v>0</v>
      </c>
    </row>
    <row r="88" spans="2:18" s="1" customFormat="1" ht="16.5" customHeight="1">
      <c r="B88" s="274" t="s">
        <v>93</v>
      </c>
      <c r="C88" s="563">
        <v>175000</v>
      </c>
      <c r="D88" s="260"/>
      <c r="E88" s="289" t="s">
        <v>79</v>
      </c>
      <c r="F88" s="290"/>
      <c r="G88" s="291">
        <f t="shared" si="9"/>
        <v>0</v>
      </c>
      <c r="H88" s="292"/>
      <c r="I88" s="291"/>
      <c r="J88" s="293"/>
      <c r="K88" s="291"/>
      <c r="L88" s="292"/>
      <c r="M88" s="406">
        <f t="shared" si="10"/>
        <v>0</v>
      </c>
      <c r="N88" s="294"/>
      <c r="O88" s="291">
        <f t="shared" si="11"/>
        <v>0</v>
      </c>
      <c r="P88" s="295"/>
      <c r="Q88" s="291">
        <f t="shared" si="12"/>
        <v>0</v>
      </c>
      <c r="R88" s="296">
        <f t="shared" si="13"/>
        <v>0</v>
      </c>
    </row>
    <row r="89" spans="2:18" s="1" customFormat="1" ht="16.5" customHeight="1">
      <c r="B89" s="274" t="s">
        <v>92</v>
      </c>
      <c r="C89" s="563">
        <v>175000</v>
      </c>
      <c r="D89" s="260"/>
      <c r="E89" s="289" t="s">
        <v>78</v>
      </c>
      <c r="F89" s="290"/>
      <c r="G89" s="291">
        <f t="shared" si="9"/>
        <v>0</v>
      </c>
      <c r="H89" s="292"/>
      <c r="I89" s="291"/>
      <c r="J89" s="293"/>
      <c r="K89" s="291"/>
      <c r="L89" s="292"/>
      <c r="M89" s="406">
        <f t="shared" si="10"/>
        <v>0</v>
      </c>
      <c r="N89" s="294"/>
      <c r="O89" s="291">
        <f t="shared" si="11"/>
        <v>0</v>
      </c>
      <c r="P89" s="295"/>
      <c r="Q89" s="291">
        <f t="shared" si="12"/>
        <v>0</v>
      </c>
      <c r="R89" s="296">
        <f t="shared" si="13"/>
        <v>0</v>
      </c>
    </row>
    <row r="90" spans="2:18" s="1" customFormat="1" ht="16.5" customHeight="1">
      <c r="B90" s="274" t="s">
        <v>91</v>
      </c>
      <c r="C90" s="563">
        <v>12000</v>
      </c>
      <c r="D90" s="260"/>
      <c r="E90" s="289" t="s">
        <v>77</v>
      </c>
      <c r="F90" s="290"/>
      <c r="G90" s="291">
        <f t="shared" si="9"/>
        <v>0</v>
      </c>
      <c r="H90" s="292"/>
      <c r="I90" s="291"/>
      <c r="J90" s="293"/>
      <c r="K90" s="291"/>
      <c r="L90" s="292"/>
      <c r="M90" s="406">
        <f t="shared" si="10"/>
        <v>0</v>
      </c>
      <c r="N90" s="294"/>
      <c r="O90" s="291">
        <f t="shared" si="11"/>
        <v>0</v>
      </c>
      <c r="P90" s="295"/>
      <c r="Q90" s="291">
        <f t="shared" si="12"/>
        <v>0</v>
      </c>
      <c r="R90" s="296">
        <f t="shared" si="13"/>
        <v>0</v>
      </c>
    </row>
    <row r="91" spans="2:18" s="1" customFormat="1" ht="16.5" customHeight="1">
      <c r="B91" s="274" t="s">
        <v>90</v>
      </c>
      <c r="C91" s="563">
        <v>25000</v>
      </c>
      <c r="D91" s="260"/>
      <c r="E91" s="289" t="s">
        <v>76</v>
      </c>
      <c r="F91" s="290"/>
      <c r="G91" s="291">
        <f t="shared" si="9"/>
        <v>0</v>
      </c>
      <c r="H91" s="292"/>
      <c r="I91" s="291"/>
      <c r="J91" s="293"/>
      <c r="K91" s="291"/>
      <c r="L91" s="292"/>
      <c r="M91" s="406">
        <f t="shared" si="10"/>
        <v>0</v>
      </c>
      <c r="N91" s="294"/>
      <c r="O91" s="291">
        <f t="shared" si="11"/>
        <v>0</v>
      </c>
      <c r="P91" s="295"/>
      <c r="Q91" s="291">
        <f t="shared" si="12"/>
        <v>0</v>
      </c>
      <c r="R91" s="296">
        <f t="shared" si="13"/>
        <v>0</v>
      </c>
    </row>
    <row r="92" spans="2:18" s="1" customFormat="1" ht="16.5" customHeight="1">
      <c r="B92" s="297" t="s">
        <v>89</v>
      </c>
      <c r="C92" s="298">
        <v>92</v>
      </c>
      <c r="D92" s="260"/>
      <c r="E92" s="289" t="s">
        <v>75</v>
      </c>
      <c r="F92" s="290"/>
      <c r="G92" s="291">
        <f t="shared" si="9"/>
        <v>0</v>
      </c>
      <c r="H92" s="292"/>
      <c r="I92" s="291"/>
      <c r="J92" s="293"/>
      <c r="K92" s="291"/>
      <c r="L92" s="292"/>
      <c r="M92" s="406">
        <f t="shared" si="10"/>
        <v>0</v>
      </c>
      <c r="N92" s="294"/>
      <c r="O92" s="291">
        <f t="shared" si="11"/>
        <v>0</v>
      </c>
      <c r="P92" s="295"/>
      <c r="Q92" s="291">
        <f t="shared" si="12"/>
        <v>0</v>
      </c>
      <c r="R92" s="296">
        <f t="shared" si="13"/>
        <v>0</v>
      </c>
    </row>
    <row r="93" spans="2:18" s="1" customFormat="1" ht="16.5" customHeight="1">
      <c r="B93" s="299" t="s">
        <v>88</v>
      </c>
      <c r="C93" s="300"/>
      <c r="D93" s="260"/>
      <c r="E93" s="289" t="s">
        <v>74</v>
      </c>
      <c r="F93" s="290"/>
      <c r="G93" s="291">
        <f t="shared" si="9"/>
        <v>0</v>
      </c>
      <c r="H93" s="292"/>
      <c r="I93" s="291"/>
      <c r="J93" s="293"/>
      <c r="K93" s="291"/>
      <c r="L93" s="292"/>
      <c r="M93" s="406">
        <f t="shared" si="10"/>
        <v>0</v>
      </c>
      <c r="N93" s="294"/>
      <c r="O93" s="291">
        <f t="shared" si="11"/>
        <v>0</v>
      </c>
      <c r="P93" s="295"/>
      <c r="Q93" s="291">
        <f t="shared" si="12"/>
        <v>0</v>
      </c>
      <c r="R93" s="296">
        <f t="shared" si="13"/>
        <v>0</v>
      </c>
    </row>
    <row r="94" spans="2:18" s="1" customFormat="1" ht="16.5" customHeight="1">
      <c r="B94" s="421" t="s">
        <v>87</v>
      </c>
      <c r="C94" s="422">
        <v>1</v>
      </c>
      <c r="D94" s="260"/>
      <c r="E94" s="303"/>
      <c r="F94" s="304"/>
      <c r="G94" s="305"/>
      <c r="H94" s="306"/>
      <c r="I94" s="307"/>
      <c r="J94" s="308"/>
      <c r="K94" s="307"/>
      <c r="L94" s="306"/>
      <c r="M94" s="307"/>
      <c r="N94" s="304"/>
      <c r="O94" s="307"/>
      <c r="P94" s="306"/>
      <c r="Q94" s="307"/>
      <c r="R94" s="309"/>
    </row>
    <row r="95" spans="2:18" s="1" customFormat="1" ht="16.5" customHeight="1" thickBot="1">
      <c r="B95" s="421" t="s">
        <v>86</v>
      </c>
      <c r="C95" s="421">
        <f t="shared" ref="C95:C105" si="14">SUM(C94+(C94*$B$5))</f>
        <v>1</v>
      </c>
      <c r="D95" s="260"/>
      <c r="E95" s="310" t="s">
        <v>85</v>
      </c>
      <c r="F95" s="311"/>
      <c r="G95" s="312">
        <f>SUM(G82:G93)</f>
        <v>0</v>
      </c>
      <c r="H95" s="313"/>
      <c r="I95" s="312">
        <f>SUM(I82:I93)</f>
        <v>0</v>
      </c>
      <c r="J95" s="314"/>
      <c r="K95" s="312">
        <f>SUM(K82:K93)</f>
        <v>0</v>
      </c>
      <c r="L95" s="313"/>
      <c r="M95" s="312">
        <f>SUM(M82:M93)</f>
        <v>0</v>
      </c>
      <c r="N95" s="315"/>
      <c r="O95" s="312">
        <f>SUM(O82:O93)</f>
        <v>0</v>
      </c>
      <c r="P95" s="313"/>
      <c r="Q95" s="312">
        <f>SUM(Q82:Q93)</f>
        <v>0</v>
      </c>
      <c r="R95" s="316">
        <f>SUM(R82:R93)</f>
        <v>0</v>
      </c>
    </row>
    <row r="96" spans="2:18" s="1" customFormat="1" ht="16.5" customHeight="1" thickTop="1" thickBot="1">
      <c r="B96" s="421" t="s">
        <v>84</v>
      </c>
      <c r="C96" s="421">
        <f t="shared" si="14"/>
        <v>1</v>
      </c>
      <c r="D96" s="269"/>
      <c r="E96" s="317"/>
      <c r="F96" s="318"/>
      <c r="G96" s="319"/>
      <c r="H96" s="320"/>
      <c r="I96" s="319"/>
      <c r="J96" s="321"/>
      <c r="K96" s="319"/>
      <c r="L96" s="320"/>
      <c r="M96" s="319"/>
      <c r="N96" s="318"/>
      <c r="O96" s="319"/>
      <c r="P96" s="320"/>
      <c r="Q96" s="319"/>
      <c r="R96" s="323"/>
    </row>
    <row r="97" spans="2:18" s="1" customFormat="1" ht="16.5" customHeight="1">
      <c r="B97" s="421" t="s">
        <v>83</v>
      </c>
      <c r="C97" s="423">
        <f t="shared" si="14"/>
        <v>1</v>
      </c>
      <c r="D97" s="269"/>
      <c r="E97" s="269"/>
      <c r="F97" s="335"/>
      <c r="G97" s="269"/>
      <c r="H97" s="326"/>
      <c r="I97" s="269"/>
      <c r="J97" s="326"/>
      <c r="K97" s="269"/>
      <c r="L97" s="326"/>
      <c r="M97" s="269"/>
      <c r="N97" s="326"/>
      <c r="O97" s="269"/>
      <c r="P97" s="326"/>
      <c r="Q97" s="269"/>
      <c r="R97" s="269"/>
    </row>
    <row r="98" spans="2:18" s="1" customFormat="1" ht="16.5" customHeight="1">
      <c r="B98" s="421" t="s">
        <v>82</v>
      </c>
      <c r="C98" s="423">
        <f t="shared" si="14"/>
        <v>1</v>
      </c>
      <c r="D98" s="269"/>
      <c r="E98" s="269" t="s">
        <v>124</v>
      </c>
      <c r="F98" s="335"/>
      <c r="G98" s="269"/>
      <c r="H98" s="326"/>
      <c r="I98" s="269"/>
      <c r="J98" s="326"/>
      <c r="K98" s="269"/>
      <c r="L98" s="326"/>
      <c r="M98" s="269"/>
      <c r="N98" s="326"/>
      <c r="O98" s="269"/>
      <c r="P98" s="326"/>
      <c r="Q98" s="269"/>
      <c r="R98" s="269"/>
    </row>
    <row r="99" spans="2:18" s="1" customFormat="1" ht="16.5" customHeight="1">
      <c r="B99" s="421" t="s">
        <v>80</v>
      </c>
      <c r="C99" s="423">
        <f t="shared" si="14"/>
        <v>1</v>
      </c>
      <c r="D99" s="269"/>
      <c r="E99" s="269"/>
      <c r="F99" s="335"/>
      <c r="G99" s="269"/>
      <c r="H99" s="326"/>
      <c r="I99" s="269"/>
      <c r="J99" s="326"/>
      <c r="K99" s="269"/>
      <c r="L99" s="326"/>
      <c r="M99" s="269"/>
      <c r="N99" s="326"/>
      <c r="O99" s="269"/>
      <c r="P99" s="326"/>
      <c r="Q99" s="269"/>
      <c r="R99" s="269"/>
    </row>
    <row r="100" spans="2:18" s="1" customFormat="1" ht="16.5" customHeight="1">
      <c r="B100" s="421" t="s">
        <v>79</v>
      </c>
      <c r="C100" s="423">
        <f t="shared" si="14"/>
        <v>1</v>
      </c>
      <c r="D100" s="269"/>
      <c r="E100" s="413" t="s">
        <v>291</v>
      </c>
      <c r="F100" s="414"/>
      <c r="G100" s="415"/>
      <c r="H100" s="416"/>
      <c r="I100" s="413"/>
      <c r="J100" s="417"/>
      <c r="K100" s="413"/>
      <c r="L100" s="417"/>
      <c r="M100" s="413"/>
      <c r="N100" s="417"/>
      <c r="O100" s="413"/>
      <c r="P100" s="326"/>
      <c r="Q100" s="269"/>
      <c r="R100" s="269"/>
    </row>
    <row r="101" spans="2:18" s="1" customFormat="1" ht="16.5" customHeight="1">
      <c r="B101" s="421" t="s">
        <v>78</v>
      </c>
      <c r="C101" s="423">
        <f t="shared" si="14"/>
        <v>1</v>
      </c>
      <c r="D101" s="269"/>
      <c r="E101" s="418" t="s">
        <v>292</v>
      </c>
      <c r="F101" s="419"/>
      <c r="G101" s="418"/>
      <c r="H101" s="420"/>
      <c r="I101" s="269"/>
      <c r="J101" s="326"/>
      <c r="K101" s="269"/>
      <c r="L101" s="326"/>
      <c r="M101" s="269"/>
      <c r="N101" s="326"/>
      <c r="O101" s="269"/>
      <c r="P101" s="326"/>
      <c r="Q101" s="269"/>
      <c r="R101" s="269"/>
    </row>
    <row r="102" spans="2:18" s="1" customFormat="1" ht="16.5" customHeight="1">
      <c r="B102" s="421" t="s">
        <v>77</v>
      </c>
      <c r="C102" s="423">
        <f t="shared" si="14"/>
        <v>1</v>
      </c>
      <c r="D102" s="269"/>
      <c r="E102" s="269"/>
      <c r="F102" s="335"/>
      <c r="G102" s="269"/>
      <c r="H102" s="326"/>
      <c r="I102" s="269"/>
      <c r="J102" s="326"/>
      <c r="K102" s="269"/>
      <c r="L102" s="326"/>
      <c r="M102" s="269"/>
      <c r="N102" s="326"/>
      <c r="O102" s="269"/>
      <c r="P102" s="326"/>
      <c r="Q102" s="269"/>
      <c r="R102" s="269"/>
    </row>
    <row r="103" spans="2:18" s="1" customFormat="1" ht="16.5" customHeight="1">
      <c r="B103" s="421" t="s">
        <v>76</v>
      </c>
      <c r="C103" s="423">
        <f t="shared" si="14"/>
        <v>1</v>
      </c>
      <c r="D103" s="269"/>
      <c r="E103" s="564"/>
      <c r="F103" s="565"/>
      <c r="G103" s="543"/>
      <c r="H103" s="542"/>
      <c r="I103" s="81"/>
      <c r="J103" s="542"/>
      <c r="K103" s="543"/>
      <c r="L103" s="542"/>
      <c r="M103" s="543"/>
      <c r="N103" s="542"/>
      <c r="O103" s="543"/>
      <c r="P103" s="542"/>
      <c r="Q103" s="543"/>
      <c r="R103" s="543"/>
    </row>
    <row r="104" spans="2:18" s="1" customFormat="1" ht="16.5" customHeight="1">
      <c r="B104" s="421" t="s">
        <v>75</v>
      </c>
      <c r="C104" s="423">
        <f t="shared" si="14"/>
        <v>1</v>
      </c>
      <c r="D104" s="269"/>
      <c r="E104" s="564"/>
      <c r="F104" s="566"/>
      <c r="G104" s="564"/>
      <c r="H104" s="567"/>
      <c r="I104" s="543"/>
      <c r="J104" s="542"/>
      <c r="K104" s="543"/>
      <c r="L104" s="542"/>
      <c r="M104" s="543"/>
      <c r="N104" s="542"/>
      <c r="O104" s="543"/>
      <c r="P104" s="542"/>
      <c r="Q104" s="543"/>
      <c r="R104" s="543"/>
    </row>
    <row r="105" spans="2:18" s="1" customFormat="1" ht="16.5" customHeight="1">
      <c r="B105" s="421" t="s">
        <v>74</v>
      </c>
      <c r="C105" s="423">
        <f t="shared" si="14"/>
        <v>1</v>
      </c>
      <c r="D105" s="269"/>
      <c r="E105" s="543"/>
      <c r="F105" s="565"/>
      <c r="G105" s="543"/>
      <c r="H105" s="542"/>
      <c r="I105" s="543"/>
      <c r="J105" s="542"/>
      <c r="K105" s="543"/>
      <c r="L105" s="542"/>
      <c r="M105" s="543"/>
      <c r="N105" s="542"/>
      <c r="O105" s="543"/>
      <c r="P105" s="542"/>
      <c r="Q105" s="543"/>
      <c r="R105" s="543"/>
    </row>
  </sheetData>
  <mergeCells count="20">
    <mergeCell ref="E76:R76"/>
    <mergeCell ref="E77:R77"/>
    <mergeCell ref="E78:R78"/>
    <mergeCell ref="E79:R79"/>
    <mergeCell ref="F80:G80"/>
    <mergeCell ref="H80:I80"/>
    <mergeCell ref="J80:K80"/>
    <mergeCell ref="L80:M80"/>
    <mergeCell ref="N80:O80"/>
    <mergeCell ref="P80:Q80"/>
    <mergeCell ref="E45:R45"/>
    <mergeCell ref="E46:R46"/>
    <mergeCell ref="E47:R47"/>
    <mergeCell ref="E48:R48"/>
    <mergeCell ref="F49:G49"/>
    <mergeCell ref="H49:I49"/>
    <mergeCell ref="J49:K49"/>
    <mergeCell ref="L49:M49"/>
    <mergeCell ref="N49:O49"/>
    <mergeCell ref="P49:Q49"/>
  </mergeCells>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markers="1" last="1">
          <x14:colorSeries rgb="FF323232"/>
          <x14:colorNegative rgb="FFD00000"/>
          <x14:colorAxis rgb="FF000000"/>
          <x14:colorMarkers rgb="FFD00000"/>
          <x14:colorFirst rgb="FFD00000"/>
          <x14:colorLast rgb="FFD00000"/>
          <x14:colorHigh rgb="FFD00000"/>
          <x14:colorLow rgb="FFD00000"/>
          <x14:sparklines>
            <x14:sparkline>
              <xm:f>'Bus 501 summary'!C19:N19</xm:f>
              <xm:sqref>P19</xm:sqref>
            </x14:sparkline>
            <x14:sparkline>
              <xm:f>'Bus 501 summary'!C20:N20</xm:f>
              <xm:sqref>P20</xm:sqref>
            </x14:sparkline>
            <x14:sparkline>
              <xm:f>'Bus 501 summary'!C21:N21</xm:f>
              <xm:sqref>P21</xm:sqref>
            </x14:sparkline>
            <x14:sparkline>
              <xm:f>'Bus 501 summary'!C22:N22</xm:f>
              <xm:sqref>P22</xm:sqref>
            </x14:sparkline>
            <x14:sparkline>
              <xm:f>'Bus 501 summary'!C23:N23</xm:f>
              <xm:sqref>P23</xm:sqref>
            </x14:sparkline>
            <x14:sparkline>
              <xm:f>'Bus 501 summary'!C24:N24</xm:f>
              <xm:sqref>P24</xm:sqref>
            </x14:sparkline>
            <x14:sparkline>
              <xm:f>'Bus 501 summary'!C25:N25</xm:f>
              <xm:sqref>P25</xm:sqref>
            </x14:sparkline>
            <x14:sparkline>
              <xm:f>'Bus 501 summary'!C26:N26</xm:f>
              <xm:sqref>P26</xm:sqref>
            </x14:sparkline>
            <x14:sparkline>
              <xm:f>'Bus 501 summary'!C27:N27</xm:f>
              <xm:sqref>P27</xm:sqref>
            </x14:sparkline>
            <x14:sparkline>
              <xm:f>'Bus 501 summary'!C28:N28</xm:f>
              <xm:sqref>P28</xm:sqref>
            </x14:sparkline>
            <x14:sparkline>
              <xm:f>'Bus 501 summary'!C29:N29</xm:f>
              <xm:sqref>P29</xm:sqref>
            </x14:sparkline>
            <x14:sparkline>
              <xm:f>'Bus 501 summary'!C30:N30</xm:f>
              <xm:sqref>P30</xm:sqref>
            </x14:sparkline>
            <x14:sparkline>
              <xm:f>'Bus 501 summary'!C31:N31</xm:f>
              <xm:sqref>P31</xm:sqref>
            </x14:sparkline>
            <x14:sparkline>
              <xm:f>'Bus 501 summary'!C32:N32</xm:f>
              <xm:sqref>P32</xm:sqref>
            </x14:sparkline>
            <x14:sparkline>
              <xm:f>'Bus 501 summary'!C33:N33</xm:f>
              <xm:sqref>P33</xm:sqref>
            </x14:sparkline>
            <x14:sparkline>
              <xm:f>'Bus 501 summary'!C34:N34</xm:f>
              <xm:sqref>P34</xm:sqref>
            </x14:sparkline>
            <x14:sparkline>
              <xm:f>'Bus 501 summary'!C35:N35</xm:f>
              <xm:sqref>P35</xm:sqref>
            </x14:sparkline>
            <x14:sparkline>
              <xm:f>'Bus 501 summary'!C36:N36</xm:f>
              <xm:sqref>P36</xm:sqref>
            </x14:sparkline>
            <x14:sparkline>
              <xm:f>'Bus 501 summary'!C37:N37</xm:f>
              <xm:sqref>P37</xm:sqref>
            </x14:sparkline>
            <x14:sparkline>
              <xm:f>'Bus 501 summary'!C38:N38</xm:f>
              <xm:sqref>P38</xm:sqref>
            </x14:sparkline>
            <x14:sparkline>
              <xm:f>'Bus 501 summary'!C39:N39</xm:f>
              <xm:sqref>P39</xm:sqref>
            </x14:sparkline>
          </x14:sparklines>
        </x14:sparklineGroup>
        <x14:sparklineGroup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501 summary'!C40:N40</xm:f>
              <xm:sqref>P40</xm:sqref>
            </x14:sparkline>
          </x14:sparklines>
        </x14:sparklineGroup>
      </x14:sparklineGroup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194"/>
  <sheetViews>
    <sheetView showGridLines="0" topLeftCell="A88" zoomScale="115" zoomScaleNormal="115" workbookViewId="0">
      <selection activeCell="I99" sqref="A1:XFD1048576"/>
    </sheetView>
  </sheetViews>
  <sheetFormatPr defaultColWidth="9.140625" defaultRowHeight="16.5" customHeight="1"/>
  <cols>
    <col min="1" max="1" width="3.140625" style="1" customWidth="1"/>
    <col min="2" max="4" width="12.28515625" style="1" customWidth="1"/>
    <col min="5" max="5" width="15.7109375" style="1" customWidth="1"/>
    <col min="6" max="6" width="41.85546875"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660</v>
      </c>
      <c r="G4" s="185" t="s">
        <v>45</v>
      </c>
    </row>
    <row r="5" spans="2:8" s="1" customFormat="1" ht="16.5" customHeight="1">
      <c r="B5" s="568"/>
      <c r="C5" s="190"/>
      <c r="D5" s="46"/>
      <c r="E5" s="190"/>
      <c r="F5" s="190"/>
      <c r="G5" s="190"/>
    </row>
    <row r="6" spans="2:8" s="1" customFormat="1" ht="16.5" customHeight="1">
      <c r="B6" s="568"/>
      <c r="C6" s="190"/>
      <c r="D6" s="46"/>
      <c r="E6" s="190"/>
      <c r="F6" s="190"/>
      <c r="G6" s="190"/>
    </row>
    <row r="7" spans="2:8" s="1" customFormat="1" ht="16.5" customHeight="1">
      <c r="B7" s="568"/>
      <c r="C7" s="190"/>
      <c r="D7" s="46"/>
      <c r="E7" s="190"/>
      <c r="F7" s="190"/>
      <c r="G7" s="190"/>
    </row>
    <row r="8" spans="2:8" s="1" customFormat="1" ht="16.5" customHeight="1">
      <c r="B8" s="568"/>
      <c r="C8" s="190"/>
      <c r="D8" s="46"/>
      <c r="E8" s="190"/>
      <c r="F8" s="190"/>
      <c r="G8" s="190"/>
    </row>
    <row r="9" spans="2:8" s="1" customFormat="1" ht="16.5" customHeight="1">
      <c r="B9" s="568"/>
      <c r="C9" s="190"/>
      <c r="D9" s="46"/>
      <c r="E9" s="190"/>
      <c r="F9" s="190"/>
      <c r="G9" s="190"/>
    </row>
    <row r="10" spans="2:8" s="1" customFormat="1" ht="16.5" customHeight="1">
      <c r="B10" s="568"/>
      <c r="C10" s="190"/>
      <c r="D10" s="46"/>
      <c r="E10" s="190"/>
      <c r="F10" s="190"/>
      <c r="G10" s="190"/>
    </row>
    <row r="11" spans="2:8" s="1" customFormat="1" ht="16.5" customHeight="1">
      <c r="B11" s="568"/>
      <c r="C11" s="190"/>
      <c r="D11" s="46"/>
      <c r="E11" s="190"/>
      <c r="F11" s="190"/>
      <c r="G11" s="190"/>
    </row>
    <row r="12" spans="2:8" s="1" customFormat="1" ht="16.5" customHeight="1">
      <c r="B12" s="568"/>
      <c r="C12" s="190"/>
      <c r="D12" s="46"/>
      <c r="E12" s="190"/>
      <c r="F12" s="190"/>
      <c r="G12" s="190"/>
    </row>
    <row r="13" spans="2:8" s="1" customFormat="1" ht="16.5" customHeight="1">
      <c r="B13" s="568"/>
      <c r="C13" s="190"/>
      <c r="D13" s="46"/>
      <c r="E13" s="190"/>
      <c r="F13" s="190"/>
      <c r="G13" s="190"/>
    </row>
    <row r="14" spans="2:8" s="1" customFormat="1" ht="16.5" customHeight="1">
      <c r="B14" s="568"/>
      <c r="C14" s="190"/>
      <c r="D14" s="46"/>
      <c r="E14" s="190"/>
      <c r="F14" s="190"/>
      <c r="G14" s="190"/>
    </row>
    <row r="15" spans="2:8" s="1" customFormat="1" ht="16.5" customHeight="1">
      <c r="B15" s="568"/>
      <c r="C15" s="190"/>
      <c r="D15" s="46"/>
      <c r="E15" s="190"/>
      <c r="F15" s="190"/>
      <c r="G15" s="190"/>
    </row>
    <row r="16" spans="2:8" s="1" customFormat="1" ht="16.5" customHeight="1">
      <c r="B16" s="568"/>
      <c r="C16" s="190"/>
      <c r="D16" s="46"/>
      <c r="E16" s="190"/>
      <c r="F16" s="190"/>
      <c r="G16" s="190"/>
    </row>
    <row r="17" spans="2:7" s="1" customFormat="1" ht="16.5" customHeight="1">
      <c r="B17" s="568"/>
      <c r="C17" s="190"/>
      <c r="D17" s="46"/>
      <c r="E17" s="190"/>
      <c r="F17" s="190"/>
      <c r="G17" s="190"/>
    </row>
    <row r="18" spans="2:7" s="1" customFormat="1" ht="16.5" customHeight="1">
      <c r="B18" s="192" t="s">
        <v>1</v>
      </c>
      <c r="C18" s="193"/>
      <c r="D18" s="194">
        <f>SUBTOTAL(109,ExpJul215228[Amount])</f>
        <v>0</v>
      </c>
      <c r="E18" s="193"/>
      <c r="F18" s="193"/>
      <c r="G18" s="192"/>
    </row>
    <row r="19" spans="2:7" s="1" customFormat="1" ht="16.5" customHeight="1">
      <c r="B19" s="195"/>
      <c r="C19" s="196"/>
      <c r="D19" s="197"/>
      <c r="E19" s="196"/>
      <c r="F19" s="196"/>
      <c r="G19" s="196"/>
    </row>
    <row r="20" spans="2:7" s="1" customFormat="1" ht="29.25" customHeight="1">
      <c r="B20" s="205" t="s">
        <v>52</v>
      </c>
      <c r="C20" s="36"/>
      <c r="D20" s="36"/>
      <c r="E20" s="36"/>
      <c r="F20" s="36"/>
      <c r="G20" s="36"/>
    </row>
    <row r="21" spans="2:7" s="1" customFormat="1" ht="16.5" customHeight="1">
      <c r="B21" s="36"/>
      <c r="C21" s="36"/>
      <c r="D21" s="36"/>
      <c r="E21" s="36"/>
      <c r="F21" s="36"/>
      <c r="G21" s="36"/>
    </row>
    <row r="22" spans="2:7" s="1" customFormat="1" ht="16.5" customHeight="1">
      <c r="B22" s="206" t="s">
        <v>50</v>
      </c>
      <c r="C22" s="207" t="s">
        <v>53</v>
      </c>
      <c r="D22" s="206" t="s">
        <v>48</v>
      </c>
      <c r="E22" s="207" t="s">
        <v>47</v>
      </c>
      <c r="F22" s="207" t="s">
        <v>660</v>
      </c>
      <c r="G22" s="206" t="s">
        <v>45</v>
      </c>
    </row>
    <row r="23" spans="2:7" s="1" customFormat="1" ht="16.5" customHeight="1">
      <c r="B23" s="215"/>
      <c r="C23" s="51"/>
      <c r="D23" s="216"/>
      <c r="E23" s="51"/>
      <c r="F23" s="51"/>
      <c r="G23" s="51"/>
    </row>
    <row r="24" spans="2:7" s="1" customFormat="1" ht="16.5" customHeight="1">
      <c r="B24" s="215"/>
      <c r="C24" s="51"/>
      <c r="D24" s="216"/>
      <c r="E24" s="51"/>
      <c r="F24" s="51"/>
      <c r="G24" s="51"/>
    </row>
    <row r="25" spans="2:7" s="1" customFormat="1" ht="16.5" customHeight="1">
      <c r="B25" s="215"/>
      <c r="C25" s="51"/>
      <c r="D25" s="216"/>
      <c r="E25" s="51"/>
      <c r="F25" s="51"/>
      <c r="G25" s="51"/>
    </row>
    <row r="26" spans="2:7" s="1" customFormat="1" ht="16.5" customHeight="1">
      <c r="B26" s="215"/>
      <c r="C26" s="51"/>
      <c r="D26" s="216"/>
      <c r="E26" s="51"/>
      <c r="F26" s="51"/>
      <c r="G26" s="51"/>
    </row>
    <row r="27" spans="2:7" s="1" customFormat="1" ht="16.5" customHeight="1">
      <c r="B27" s="215"/>
      <c r="C27" s="51"/>
      <c r="D27" s="216"/>
      <c r="E27" s="51"/>
      <c r="F27" s="51"/>
      <c r="G27" s="51"/>
    </row>
    <row r="28" spans="2:7" s="1" customFormat="1" ht="16.5" customHeight="1">
      <c r="B28" s="215"/>
      <c r="C28" s="51"/>
      <c r="D28" s="216"/>
      <c r="E28" s="51"/>
      <c r="F28" s="51"/>
      <c r="G28" s="51"/>
    </row>
    <row r="29" spans="2:7" s="1" customFormat="1" ht="16.5" customHeight="1">
      <c r="B29" s="215"/>
      <c r="C29" s="51"/>
      <c r="D29" s="216"/>
      <c r="E29" s="51"/>
      <c r="F29" s="51"/>
      <c r="G29" s="51"/>
    </row>
    <row r="30" spans="2:7" s="1" customFormat="1" ht="16.5" customHeight="1">
      <c r="B30" s="215"/>
      <c r="C30" s="51"/>
      <c r="D30" s="216"/>
      <c r="E30" s="51"/>
      <c r="F30" s="51"/>
      <c r="G30" s="51"/>
    </row>
    <row r="31" spans="2:7" s="1" customFormat="1" ht="16.5" customHeight="1">
      <c r="B31" s="215"/>
      <c r="C31" s="51"/>
      <c r="D31" s="216"/>
      <c r="E31" s="51"/>
      <c r="F31" s="51"/>
      <c r="G31" s="51"/>
    </row>
    <row r="32" spans="2:7" s="1" customFormat="1" ht="16.5" customHeight="1">
      <c r="B32" s="215"/>
      <c r="C32" s="51"/>
      <c r="D32" s="216"/>
      <c r="E32" s="51"/>
      <c r="F32" s="51"/>
      <c r="G32" s="51"/>
    </row>
    <row r="33" spans="2:7" s="1" customFormat="1" ht="16.5" customHeight="1">
      <c r="B33" s="215"/>
      <c r="C33" s="51"/>
      <c r="D33" s="216"/>
      <c r="E33" s="51"/>
      <c r="F33" s="51"/>
      <c r="G33" s="51"/>
    </row>
    <row r="34" spans="2:7" s="1" customFormat="1" ht="16.5" customHeight="1">
      <c r="B34" s="431"/>
      <c r="C34" s="338"/>
      <c r="D34" s="432"/>
      <c r="E34" s="338"/>
      <c r="F34" s="338"/>
      <c r="G34" s="338"/>
    </row>
    <row r="35" spans="2:7" s="1" customFormat="1" ht="16.5" customHeight="1">
      <c r="B35" s="431"/>
      <c r="C35" s="338"/>
      <c r="D35" s="432"/>
      <c r="E35" s="338"/>
      <c r="F35" s="338"/>
      <c r="G35" s="338"/>
    </row>
    <row r="36" spans="2:7" s="1" customFormat="1" ht="16.5" customHeight="1">
      <c r="B36" s="431"/>
      <c r="C36" s="338"/>
      <c r="D36" s="432"/>
      <c r="E36" s="338"/>
      <c r="F36" s="338"/>
      <c r="G36" s="338"/>
    </row>
    <row r="37" spans="2:7" s="1" customFormat="1" ht="16.5" customHeight="1">
      <c r="B37" s="431"/>
      <c r="C37" s="338"/>
      <c r="D37" s="432"/>
      <c r="E37" s="338"/>
      <c r="F37" s="338"/>
      <c r="G37" s="338"/>
    </row>
    <row r="38" spans="2:7" s="1" customFormat="1" ht="16.5" customHeight="1">
      <c r="B38" s="431"/>
      <c r="C38" s="338"/>
      <c r="D38" s="432"/>
      <c r="E38" s="338"/>
      <c r="F38" s="338"/>
      <c r="G38" s="338"/>
    </row>
    <row r="39" spans="2:7" s="1" customFormat="1" ht="16.5" customHeight="1">
      <c r="B39" s="431"/>
      <c r="C39" s="338"/>
      <c r="D39" s="432"/>
      <c r="E39" s="338"/>
      <c r="F39" s="338"/>
      <c r="G39" s="338"/>
    </row>
    <row r="40" spans="2:7" s="1" customFormat="1" ht="16.5" customHeight="1">
      <c r="B40" s="215"/>
      <c r="C40" s="51"/>
      <c r="D40" s="216"/>
      <c r="E40" s="51"/>
      <c r="F40" s="51"/>
      <c r="G40" s="51"/>
    </row>
    <row r="41" spans="2:7" s="1" customFormat="1" ht="16.5" customHeight="1">
      <c r="B41" s="212" t="s">
        <v>1</v>
      </c>
      <c r="C41" s="213"/>
      <c r="D41" s="214">
        <f>SUBTOTAL(109,ExpAug216229[Amount])</f>
        <v>0</v>
      </c>
      <c r="E41" s="213"/>
      <c r="F41" s="213"/>
      <c r="G41" s="212"/>
    </row>
    <row r="42" spans="2:7" s="1" customFormat="1" ht="16.5" customHeight="1">
      <c r="B42" s="36"/>
      <c r="C42" s="36"/>
      <c r="D42" s="36"/>
      <c r="E42" s="36"/>
      <c r="F42" s="56"/>
      <c r="G42" s="36"/>
    </row>
    <row r="44" spans="2:7" s="1" customFormat="1" ht="25.5" customHeight="1">
      <c r="B44" s="205" t="s">
        <v>56</v>
      </c>
      <c r="C44" s="117"/>
      <c r="D44" s="117"/>
      <c r="E44" s="117"/>
      <c r="F44" s="117"/>
      <c r="G44" s="117"/>
    </row>
    <row r="45" spans="2:7" s="1" customFormat="1" ht="16.5" customHeight="1">
      <c r="B45" s="117"/>
      <c r="C45" s="117"/>
      <c r="D45" s="117"/>
      <c r="E45" s="117"/>
      <c r="F45" s="117"/>
      <c r="G45" s="117"/>
    </row>
    <row r="46" spans="2:7" s="1" customFormat="1" ht="16.5" customHeight="1">
      <c r="B46" s="206" t="s">
        <v>50</v>
      </c>
      <c r="C46" s="207" t="s">
        <v>53</v>
      </c>
      <c r="D46" s="206" t="s">
        <v>48</v>
      </c>
      <c r="E46" s="207" t="s">
        <v>47</v>
      </c>
      <c r="F46" s="207" t="s">
        <v>660</v>
      </c>
      <c r="G46" s="206" t="s">
        <v>45</v>
      </c>
    </row>
    <row r="47" spans="2:7" s="1" customFormat="1" ht="16.5" customHeight="1">
      <c r="B47" s="25"/>
      <c r="C47" s="51"/>
      <c r="D47" s="211"/>
      <c r="E47" s="51"/>
      <c r="F47" s="51"/>
      <c r="G47" s="27"/>
    </row>
    <row r="48" spans="2:7" s="1" customFormat="1" ht="16.5" customHeight="1">
      <c r="B48" s="25"/>
      <c r="C48" s="51"/>
      <c r="D48" s="211"/>
      <c r="E48" s="51"/>
      <c r="F48" s="51"/>
      <c r="G48" s="27"/>
    </row>
    <row r="49" spans="2:7" s="1" customFormat="1" ht="16.5" customHeight="1">
      <c r="B49" s="25"/>
      <c r="C49" s="51"/>
      <c r="D49" s="211"/>
      <c r="E49" s="51"/>
      <c r="F49" s="51"/>
      <c r="G49" s="27"/>
    </row>
    <row r="50" spans="2:7" s="1" customFormat="1" ht="16.5" customHeight="1">
      <c r="B50" s="25"/>
      <c r="C50" s="51"/>
      <c r="D50" s="211"/>
      <c r="E50" s="51"/>
      <c r="F50" s="51"/>
      <c r="G50" s="27"/>
    </row>
    <row r="51" spans="2:7" s="1" customFormat="1" ht="16.5" customHeight="1">
      <c r="B51" s="25"/>
      <c r="C51" s="51"/>
      <c r="D51" s="211"/>
      <c r="E51" s="51"/>
      <c r="F51" s="51"/>
      <c r="G51" s="27"/>
    </row>
    <row r="52" spans="2:7" s="1" customFormat="1" ht="16.5" customHeight="1">
      <c r="B52" s="25"/>
      <c r="C52" s="51"/>
      <c r="D52" s="211"/>
      <c r="E52" s="51"/>
      <c r="F52" s="51"/>
      <c r="G52" s="27"/>
    </row>
    <row r="53" spans="2:7" s="1" customFormat="1" ht="16.5" customHeight="1">
      <c r="B53" s="25"/>
      <c r="C53" s="51"/>
      <c r="D53" s="211"/>
      <c r="E53" s="51"/>
      <c r="F53" s="51"/>
      <c r="G53" s="27"/>
    </row>
    <row r="54" spans="2:7" s="1" customFormat="1" ht="16.5" customHeight="1">
      <c r="B54" s="25"/>
      <c r="C54" s="51"/>
      <c r="D54" s="211"/>
      <c r="E54" s="51"/>
      <c r="F54" s="51"/>
      <c r="G54" s="27"/>
    </row>
    <row r="55" spans="2:7" s="1" customFormat="1" ht="16.5" customHeight="1">
      <c r="B55" s="25"/>
      <c r="C55" s="51"/>
      <c r="D55" s="211"/>
      <c r="E55" s="51"/>
      <c r="F55" s="51"/>
      <c r="G55" s="27"/>
    </row>
    <row r="56" spans="2:7" s="1" customFormat="1" ht="16.5" customHeight="1">
      <c r="B56" s="212" t="s">
        <v>1</v>
      </c>
      <c r="C56" s="213"/>
      <c r="D56" s="214">
        <f>SUBTOTAL(109,ExpSep217230[Amount])</f>
        <v>0</v>
      </c>
      <c r="E56" s="213"/>
      <c r="F56" s="213"/>
      <c r="G56" s="212"/>
    </row>
    <row r="57" spans="2:7" s="1" customFormat="1" ht="16.5" customHeight="1">
      <c r="B57" s="212"/>
      <c r="C57" s="213"/>
      <c r="D57" s="214"/>
      <c r="E57" s="213"/>
      <c r="F57" s="213"/>
      <c r="G57" s="212"/>
    </row>
    <row r="58" spans="2:7" s="1" customFormat="1" ht="27" customHeight="1">
      <c r="B58" s="205" t="s">
        <v>70</v>
      </c>
      <c r="C58" s="117"/>
      <c r="D58" s="117"/>
      <c r="E58" s="117"/>
      <c r="F58" s="117"/>
      <c r="G58" s="117"/>
    </row>
    <row r="59" spans="2:7" s="1" customFormat="1" ht="16.5" customHeight="1">
      <c r="B59" s="117"/>
      <c r="C59" s="117"/>
      <c r="D59" s="117"/>
      <c r="E59" s="117"/>
      <c r="F59" s="117"/>
      <c r="G59" s="117"/>
    </row>
    <row r="60" spans="2:7" s="1" customFormat="1" ht="16.5" customHeight="1">
      <c r="B60" s="206" t="s">
        <v>50</v>
      </c>
      <c r="C60" s="207" t="s">
        <v>71</v>
      </c>
      <c r="D60" s="206" t="s">
        <v>48</v>
      </c>
      <c r="E60" s="207" t="s">
        <v>47</v>
      </c>
      <c r="F60" s="207" t="s">
        <v>660</v>
      </c>
      <c r="G60" s="206" t="s">
        <v>45</v>
      </c>
    </row>
    <row r="61" spans="2:7" s="1" customFormat="1" ht="16.5" customHeight="1">
      <c r="B61" s="25"/>
      <c r="C61" s="51"/>
      <c r="D61" s="211"/>
      <c r="E61" s="51"/>
      <c r="F61" s="51"/>
      <c r="G61" s="27"/>
    </row>
    <row r="62" spans="2:7" s="1" customFormat="1" ht="16.5" customHeight="1">
      <c r="B62" s="25"/>
      <c r="C62" s="51"/>
      <c r="D62" s="211"/>
      <c r="E62" s="51"/>
      <c r="F62" s="51"/>
      <c r="G62" s="27"/>
    </row>
    <row r="63" spans="2:7" s="1" customFormat="1" ht="16.5" customHeight="1">
      <c r="B63" s="25"/>
      <c r="C63" s="51"/>
      <c r="D63" s="211"/>
      <c r="E63" s="51"/>
      <c r="F63" s="51"/>
      <c r="G63" s="27"/>
    </row>
    <row r="64" spans="2:7" s="1" customFormat="1" ht="16.5" customHeight="1">
      <c r="B64" s="25"/>
      <c r="C64" s="51"/>
      <c r="D64" s="211"/>
      <c r="E64" s="51"/>
      <c r="F64" s="51"/>
      <c r="G64" s="27"/>
    </row>
    <row r="65" spans="2:7" s="1" customFormat="1" ht="16.5" customHeight="1">
      <c r="B65" s="25"/>
      <c r="C65" s="51"/>
      <c r="D65" s="211"/>
      <c r="E65" s="51"/>
      <c r="F65" s="51"/>
      <c r="G65" s="27"/>
    </row>
    <row r="66" spans="2:7" s="1" customFormat="1" ht="16.5" customHeight="1">
      <c r="B66" s="25"/>
      <c r="C66" s="51"/>
      <c r="D66" s="211"/>
      <c r="E66" s="51"/>
      <c r="F66" s="51"/>
      <c r="G66" s="27"/>
    </row>
    <row r="67" spans="2:7" s="1" customFormat="1" ht="16.5" customHeight="1">
      <c r="B67" s="25"/>
      <c r="C67" s="51"/>
      <c r="D67" s="211"/>
      <c r="E67" s="51"/>
      <c r="F67" s="51"/>
      <c r="G67" s="27"/>
    </row>
    <row r="68" spans="2:7" s="1" customFormat="1" ht="16.5" customHeight="1">
      <c r="B68" s="25"/>
      <c r="C68" s="51"/>
      <c r="D68" s="211"/>
      <c r="E68" s="51"/>
      <c r="F68" s="51"/>
      <c r="G68" s="27"/>
    </row>
    <row r="69" spans="2:7" s="1" customFormat="1" ht="16.5" customHeight="1">
      <c r="B69" s="25"/>
      <c r="C69" s="51"/>
      <c r="D69" s="211"/>
      <c r="E69" s="51"/>
      <c r="F69" s="51"/>
      <c r="G69" s="27"/>
    </row>
    <row r="70" spans="2:7" s="1" customFormat="1" ht="16.5" customHeight="1">
      <c r="B70" s="25"/>
      <c r="C70" s="51"/>
      <c r="D70" s="211"/>
      <c r="E70" s="51"/>
      <c r="F70" s="51"/>
      <c r="G70" s="27"/>
    </row>
    <row r="71" spans="2:7" s="1" customFormat="1" ht="16.5" customHeight="1">
      <c r="B71" s="25"/>
      <c r="C71" s="51"/>
      <c r="D71" s="211"/>
      <c r="E71" s="51"/>
      <c r="F71" s="51"/>
      <c r="G71" s="27"/>
    </row>
    <row r="72" spans="2:7" s="1" customFormat="1" ht="16.5" customHeight="1">
      <c r="B72" s="212" t="s">
        <v>1</v>
      </c>
      <c r="C72" s="213"/>
      <c r="D72" s="214">
        <f>SUBTOTAL(109,ExpOct205218231[Amount])</f>
        <v>0</v>
      </c>
      <c r="E72" s="213"/>
      <c r="F72" s="213"/>
      <c r="G72" s="212"/>
    </row>
    <row r="73" spans="2:7" s="1" customFormat="1" ht="16.5" customHeight="1">
      <c r="B73" s="212"/>
      <c r="C73" s="213"/>
      <c r="D73" s="214"/>
      <c r="E73" s="213"/>
      <c r="F73" s="213"/>
      <c r="G73" s="212"/>
    </row>
    <row r="74" spans="2:7" s="1" customFormat="1" ht="26.25" customHeight="1">
      <c r="B74" s="205" t="s">
        <v>159</v>
      </c>
      <c r="C74" s="117"/>
      <c r="D74" s="117"/>
      <c r="E74" s="117"/>
      <c r="F74" s="117"/>
      <c r="G74" s="117"/>
    </row>
    <row r="75" spans="2:7" s="1" customFormat="1" ht="16.5" customHeight="1">
      <c r="B75" s="117"/>
      <c r="C75" s="117"/>
      <c r="D75" s="117"/>
      <c r="E75" s="117"/>
      <c r="F75" s="117"/>
      <c r="G75" s="117"/>
    </row>
    <row r="76" spans="2:7" s="1" customFormat="1" ht="16.5" customHeight="1">
      <c r="B76" s="206" t="s">
        <v>50</v>
      </c>
      <c r="C76" s="207" t="s">
        <v>71</v>
      </c>
      <c r="D76" s="206" t="s">
        <v>48</v>
      </c>
      <c r="E76" s="207" t="s">
        <v>47</v>
      </c>
      <c r="F76" s="207" t="s">
        <v>161</v>
      </c>
      <c r="G76" s="206" t="s">
        <v>160</v>
      </c>
    </row>
    <row r="77" spans="2:7" s="1" customFormat="1" ht="16.5" customHeight="1">
      <c r="B77" s="25"/>
      <c r="C77" s="51"/>
      <c r="D77" s="211"/>
      <c r="E77" s="51"/>
      <c r="F77" s="51"/>
      <c r="G77" s="27"/>
    </row>
    <row r="78" spans="2:7" s="1" customFormat="1" ht="16.5" customHeight="1">
      <c r="B78" s="25"/>
      <c r="C78" s="51"/>
      <c r="D78" s="211"/>
      <c r="E78" s="51"/>
      <c r="F78" s="51"/>
      <c r="G78" s="27"/>
    </row>
    <row r="79" spans="2:7" s="1" customFormat="1" ht="16.5" customHeight="1">
      <c r="B79" s="25"/>
      <c r="C79" s="51"/>
      <c r="D79" s="211"/>
      <c r="E79" s="51"/>
      <c r="F79" s="51"/>
      <c r="G79" s="27"/>
    </row>
    <row r="80" spans="2:7" s="1" customFormat="1" ht="16.5" customHeight="1">
      <c r="B80" s="25"/>
      <c r="C80" s="51"/>
      <c r="D80" s="211"/>
      <c r="E80" s="51"/>
      <c r="F80" s="51"/>
      <c r="G80" s="27"/>
    </row>
    <row r="81" spans="2:7" s="1" customFormat="1" ht="16.5" customHeight="1">
      <c r="B81" s="25"/>
      <c r="C81" s="51"/>
      <c r="D81" s="211"/>
      <c r="E81" s="51"/>
      <c r="F81" s="51"/>
      <c r="G81" s="27"/>
    </row>
    <row r="82" spans="2:7" s="1" customFormat="1" ht="16.5" customHeight="1">
      <c r="B82" s="25"/>
      <c r="C82" s="51"/>
      <c r="D82" s="211"/>
      <c r="E82" s="51"/>
      <c r="F82" s="51"/>
      <c r="G82" s="27"/>
    </row>
    <row r="83" spans="2:7" s="1" customFormat="1" ht="16.5" customHeight="1">
      <c r="B83" s="25"/>
      <c r="C83" s="51"/>
      <c r="D83" s="211"/>
      <c r="E83" s="51"/>
      <c r="F83" s="51"/>
      <c r="G83" s="27"/>
    </row>
    <row r="84" spans="2:7" s="1" customFormat="1" ht="16.5" customHeight="1">
      <c r="B84" s="25"/>
      <c r="C84" s="51"/>
      <c r="D84" s="211"/>
      <c r="E84" s="51"/>
      <c r="F84" s="51"/>
      <c r="G84" s="27"/>
    </row>
    <row r="85" spans="2:7" s="1" customFormat="1" ht="16.5" customHeight="1">
      <c r="B85" s="25"/>
      <c r="C85" s="51"/>
      <c r="D85" s="211"/>
      <c r="E85" s="51"/>
      <c r="F85" s="51"/>
      <c r="G85" s="27"/>
    </row>
    <row r="86" spans="2:7" s="1" customFormat="1" ht="16.5" customHeight="1">
      <c r="B86" s="25"/>
      <c r="C86" s="51"/>
      <c r="D86" s="211"/>
      <c r="E86" s="51"/>
      <c r="F86" s="51"/>
      <c r="G86" s="27"/>
    </row>
    <row r="87" spans="2:7" s="1" customFormat="1" ht="16.5" customHeight="1">
      <c r="B87" s="212" t="s">
        <v>1</v>
      </c>
      <c r="C87" s="213"/>
      <c r="D87" s="214">
        <f>SUBTOTAL(109,ExpNov128141154167180193206219232[Amount])</f>
        <v>0</v>
      </c>
      <c r="E87" s="213"/>
      <c r="F87" s="213"/>
      <c r="G87" s="212"/>
    </row>
    <row r="89" spans="2:7" s="1" customFormat="1" ht="26.25" customHeight="1">
      <c r="B89" s="205" t="s">
        <v>162</v>
      </c>
      <c r="C89" s="117"/>
      <c r="D89" s="117"/>
      <c r="E89" s="117"/>
      <c r="F89" s="117"/>
      <c r="G89" s="117"/>
    </row>
    <row r="90" spans="2:7" s="1" customFormat="1" ht="16.5" customHeight="1">
      <c r="B90" s="117"/>
      <c r="C90" s="117"/>
      <c r="D90" s="117"/>
      <c r="E90" s="117"/>
      <c r="F90" s="117"/>
      <c r="G90" s="117"/>
    </row>
    <row r="91" spans="2:7" s="1" customFormat="1" ht="16.5" customHeight="1">
      <c r="B91" s="206" t="s">
        <v>50</v>
      </c>
      <c r="C91" s="207" t="s">
        <v>71</v>
      </c>
      <c r="D91" s="206" t="s">
        <v>48</v>
      </c>
      <c r="E91" s="207" t="s">
        <v>47</v>
      </c>
      <c r="F91" s="207" t="s">
        <v>161</v>
      </c>
      <c r="G91" s="206" t="s">
        <v>160</v>
      </c>
    </row>
    <row r="92" spans="2:7" s="1" customFormat="1" ht="16.5" customHeight="1">
      <c r="B92" s="25"/>
      <c r="C92" s="51"/>
      <c r="D92" s="211"/>
      <c r="E92" s="51"/>
      <c r="F92" s="51"/>
      <c r="G92" s="27"/>
    </row>
    <row r="93" spans="2:7" s="1" customFormat="1" ht="16.5" customHeight="1">
      <c r="B93" s="25"/>
      <c r="C93" s="51"/>
      <c r="D93" s="211"/>
      <c r="E93" s="51"/>
      <c r="F93" s="51"/>
      <c r="G93" s="27"/>
    </row>
    <row r="94" spans="2:7" s="1" customFormat="1" ht="16.5" customHeight="1">
      <c r="B94" s="25"/>
      <c r="C94" s="51"/>
      <c r="D94" s="211"/>
      <c r="E94" s="51"/>
      <c r="F94" s="51"/>
      <c r="G94" s="27"/>
    </row>
    <row r="95" spans="2:7" s="1" customFormat="1" ht="16.5" customHeight="1">
      <c r="B95" s="25"/>
      <c r="C95" s="51"/>
      <c r="D95" s="211"/>
      <c r="E95" s="51"/>
      <c r="F95" s="51"/>
      <c r="G95" s="27"/>
    </row>
    <row r="96" spans="2:7" s="1" customFormat="1" ht="16.5" customHeight="1">
      <c r="B96" s="25"/>
      <c r="C96" s="51"/>
      <c r="D96" s="211"/>
      <c r="E96" s="51"/>
      <c r="F96" s="51"/>
      <c r="G96" s="27"/>
    </row>
    <row r="97" spans="2:7" s="1" customFormat="1" ht="16.5" customHeight="1">
      <c r="B97" s="25"/>
      <c r="C97" s="51"/>
      <c r="D97" s="211"/>
      <c r="E97" s="51"/>
      <c r="F97" s="51"/>
      <c r="G97" s="27"/>
    </row>
    <row r="98" spans="2:7" s="1" customFormat="1" ht="16.5" customHeight="1">
      <c r="B98" s="212" t="s">
        <v>1</v>
      </c>
      <c r="C98" s="213"/>
      <c r="D98" s="214">
        <f>SUBTOTAL(109,ExpDec129142155168181194207220233[Amount])</f>
        <v>0</v>
      </c>
      <c r="E98" s="213"/>
      <c r="F98" s="213"/>
      <c r="G98" s="212"/>
    </row>
    <row r="100" spans="2:7" s="1" customFormat="1" ht="27.75" customHeight="1">
      <c r="B100" s="205" t="s">
        <v>163</v>
      </c>
      <c r="C100" s="117"/>
      <c r="D100" s="117"/>
      <c r="E100" s="117"/>
      <c r="F100" s="117"/>
      <c r="G100" s="117"/>
    </row>
    <row r="101" spans="2:7" s="1" customFormat="1" ht="16.5" customHeight="1">
      <c r="B101" s="117"/>
      <c r="C101" s="117"/>
      <c r="D101" s="117"/>
      <c r="E101" s="117"/>
      <c r="F101" s="117"/>
      <c r="G101" s="117"/>
    </row>
    <row r="102" spans="2:7" s="1" customFormat="1" ht="16.5" customHeight="1">
      <c r="B102" s="206" t="s">
        <v>50</v>
      </c>
      <c r="C102" s="207" t="s">
        <v>164</v>
      </c>
      <c r="D102" s="206" t="s">
        <v>48</v>
      </c>
      <c r="E102" s="207" t="s">
        <v>47</v>
      </c>
      <c r="F102" s="207" t="s">
        <v>161</v>
      </c>
      <c r="G102" s="206" t="s">
        <v>160</v>
      </c>
    </row>
    <row r="103" spans="2:7" s="1" customFormat="1" ht="16.5" customHeight="1">
      <c r="B103" s="25"/>
      <c r="C103" s="51"/>
      <c r="D103" s="211"/>
      <c r="E103" s="51"/>
      <c r="F103" s="51"/>
      <c r="G103" s="27"/>
    </row>
    <row r="104" spans="2:7" s="1" customFormat="1" ht="16.5" customHeight="1">
      <c r="B104" s="25"/>
      <c r="C104" s="51"/>
      <c r="D104" s="211"/>
      <c r="E104" s="51"/>
      <c r="F104" s="51"/>
      <c r="G104" s="27"/>
    </row>
    <row r="105" spans="2:7" s="1" customFormat="1" ht="16.5" customHeight="1">
      <c r="B105" s="25"/>
      <c r="C105" s="51"/>
      <c r="D105" s="211"/>
      <c r="E105" s="51"/>
      <c r="F105" s="51"/>
      <c r="G105" s="27"/>
    </row>
    <row r="106" spans="2:7" s="1" customFormat="1" ht="16.5" customHeight="1">
      <c r="B106" s="27"/>
      <c r="C106" s="26"/>
      <c r="D106" s="211"/>
      <c r="E106" s="26"/>
      <c r="F106" s="26"/>
      <c r="G106" s="27"/>
    </row>
    <row r="107" spans="2:7" s="1" customFormat="1" ht="16.5" customHeight="1">
      <c r="B107" s="27"/>
      <c r="C107" s="26"/>
      <c r="D107" s="211"/>
      <c r="E107" s="26"/>
      <c r="F107" s="26"/>
      <c r="G107" s="27"/>
    </row>
    <row r="108" spans="2:7" s="1" customFormat="1" ht="16.5" customHeight="1">
      <c r="B108" s="27"/>
      <c r="C108" s="26"/>
      <c r="D108" s="211"/>
      <c r="E108" s="26"/>
      <c r="F108" s="26"/>
      <c r="G108" s="27"/>
    </row>
    <row r="109" spans="2:7" s="1" customFormat="1" ht="16.5" customHeight="1">
      <c r="B109" s="27"/>
      <c r="C109" s="26"/>
      <c r="D109" s="211"/>
      <c r="E109" s="26"/>
      <c r="F109" s="26"/>
      <c r="G109" s="27"/>
    </row>
    <row r="110" spans="2:7" s="1" customFormat="1" ht="16.5" customHeight="1">
      <c r="B110" s="27"/>
      <c r="C110" s="26"/>
      <c r="D110" s="211"/>
      <c r="E110" s="26"/>
      <c r="F110" s="26"/>
      <c r="G110" s="27"/>
    </row>
    <row r="111" spans="2:7" s="1" customFormat="1" ht="16.5" customHeight="1">
      <c r="B111" s="212" t="s">
        <v>1</v>
      </c>
      <c r="C111" s="213"/>
      <c r="D111" s="214">
        <f>SUBTOTAL(109,ExpJan130143156169182195208221234[Amount])</f>
        <v>0</v>
      </c>
      <c r="E111" s="213"/>
      <c r="F111" s="213"/>
      <c r="G111" s="212"/>
    </row>
    <row r="113" spans="2:7" s="1" customFormat="1" ht="24.75" customHeight="1">
      <c r="B113" s="205" t="s">
        <v>165</v>
      </c>
      <c r="C113" s="117"/>
      <c r="D113" s="117"/>
      <c r="E113" s="117"/>
      <c r="F113" s="117"/>
      <c r="G113" s="117"/>
    </row>
    <row r="114" spans="2:7" s="1" customFormat="1" ht="16.5" customHeight="1">
      <c r="B114" s="117"/>
      <c r="C114" s="117"/>
      <c r="D114" s="117"/>
      <c r="E114" s="117"/>
      <c r="F114" s="117"/>
      <c r="G114" s="117"/>
    </row>
    <row r="115" spans="2:7" s="1" customFormat="1" ht="16.5" customHeight="1">
      <c r="B115" s="206" t="s">
        <v>50</v>
      </c>
      <c r="C115" s="207" t="s">
        <v>71</v>
      </c>
      <c r="D115" s="206" t="s">
        <v>48</v>
      </c>
      <c r="E115" s="207" t="s">
        <v>47</v>
      </c>
      <c r="F115" s="206" t="s">
        <v>660</v>
      </c>
      <c r="G115" s="206" t="s">
        <v>45</v>
      </c>
    </row>
    <row r="116" spans="2:7" s="1" customFormat="1" ht="16.5" customHeight="1">
      <c r="B116" s="25"/>
      <c r="C116" s="51"/>
      <c r="D116" s="211"/>
      <c r="E116" s="51"/>
      <c r="F116" s="27"/>
      <c r="G116" s="27"/>
    </row>
    <row r="117" spans="2:7" s="1" customFormat="1" ht="16.5" customHeight="1">
      <c r="B117" s="25"/>
      <c r="C117" s="51"/>
      <c r="D117" s="211"/>
      <c r="E117" s="51"/>
      <c r="F117" s="27"/>
      <c r="G117" s="27"/>
    </row>
    <row r="118" spans="2:7" s="1" customFormat="1" ht="16.5" customHeight="1">
      <c r="B118" s="25"/>
      <c r="C118" s="51"/>
      <c r="D118" s="211"/>
      <c r="E118" s="51"/>
      <c r="F118" s="27"/>
      <c r="G118" s="27"/>
    </row>
    <row r="119" spans="2:7" s="1" customFormat="1" ht="16.5" customHeight="1">
      <c r="B119" s="25"/>
      <c r="C119" s="51"/>
      <c r="D119" s="211"/>
      <c r="E119" s="51"/>
      <c r="F119" s="27"/>
      <c r="G119" s="27"/>
    </row>
    <row r="120" spans="2:7" s="1" customFormat="1" ht="16.5" customHeight="1">
      <c r="B120" s="25"/>
      <c r="C120" s="51"/>
      <c r="D120" s="211"/>
      <c r="E120" s="51"/>
      <c r="F120" s="27"/>
      <c r="G120" s="27"/>
    </row>
    <row r="121" spans="2:7" s="1" customFormat="1" ht="16.5" customHeight="1">
      <c r="B121" s="25"/>
      <c r="C121" s="51"/>
      <c r="D121" s="211"/>
      <c r="E121" s="51"/>
      <c r="F121" s="27"/>
      <c r="G121" s="27"/>
    </row>
    <row r="122" spans="2:7" s="1" customFormat="1" ht="16.5" customHeight="1">
      <c r="B122" s="337"/>
      <c r="C122" s="338"/>
      <c r="D122" s="339"/>
      <c r="E122" s="338"/>
      <c r="F122" s="340"/>
      <c r="G122" s="340"/>
    </row>
    <row r="123" spans="2:7" s="1" customFormat="1" ht="16.5" customHeight="1">
      <c r="B123" s="337"/>
      <c r="C123" s="338"/>
      <c r="D123" s="339"/>
      <c r="E123" s="338"/>
      <c r="F123" s="340"/>
      <c r="G123" s="340"/>
    </row>
    <row r="124" spans="2:7" s="1" customFormat="1" ht="16.5" customHeight="1">
      <c r="B124" s="337"/>
      <c r="C124" s="338"/>
      <c r="D124" s="339"/>
      <c r="E124" s="338"/>
      <c r="F124" s="340"/>
      <c r="G124" s="340"/>
    </row>
    <row r="125" spans="2:7" s="1" customFormat="1" ht="16.5" customHeight="1">
      <c r="B125" s="337"/>
      <c r="C125" s="338"/>
      <c r="D125" s="339"/>
      <c r="E125" s="338"/>
      <c r="F125" s="340"/>
      <c r="G125" s="340"/>
    </row>
    <row r="126" spans="2:7" s="1" customFormat="1" ht="16.5" customHeight="1">
      <c r="B126" s="337"/>
      <c r="C126" s="338"/>
      <c r="D126" s="339"/>
      <c r="E126" s="338"/>
      <c r="F126" s="340"/>
      <c r="G126" s="340"/>
    </row>
    <row r="127" spans="2:7" s="1" customFormat="1" ht="16.5" customHeight="1">
      <c r="B127" s="224" t="s">
        <v>1</v>
      </c>
      <c r="C127" s="225"/>
      <c r="D127" s="226">
        <f>SUBTOTAL(109,ExpFeb131144157170183196209222235[Amount])</f>
        <v>0</v>
      </c>
      <c r="E127" s="225"/>
      <c r="F127" s="224"/>
      <c r="G127" s="395"/>
    </row>
    <row r="129" spans="2:7" s="1" customFormat="1" ht="24.75" customHeight="1">
      <c r="B129" s="205" t="s">
        <v>166</v>
      </c>
      <c r="C129" s="117"/>
      <c r="D129" s="117"/>
      <c r="E129" s="117"/>
      <c r="F129" s="117"/>
      <c r="G129" s="117"/>
    </row>
    <row r="130" spans="2:7" s="1" customFormat="1" ht="16.5" customHeight="1">
      <c r="B130" s="117"/>
      <c r="C130" s="117"/>
      <c r="D130" s="117"/>
      <c r="E130" s="117"/>
      <c r="F130" s="117"/>
      <c r="G130" s="117"/>
    </row>
    <row r="131" spans="2:7" s="1" customFormat="1" ht="16.5" customHeight="1">
      <c r="B131" s="206" t="s">
        <v>50</v>
      </c>
      <c r="C131" s="207" t="s">
        <v>71</v>
      </c>
      <c r="D131" s="206" t="s">
        <v>48</v>
      </c>
      <c r="E131" s="207" t="s">
        <v>47</v>
      </c>
      <c r="F131" s="207" t="s">
        <v>660</v>
      </c>
      <c r="G131" s="206" t="s">
        <v>45</v>
      </c>
    </row>
    <row r="132" spans="2:7" s="1" customFormat="1" ht="16.5" customHeight="1">
      <c r="B132" s="25"/>
      <c r="C132" s="51"/>
      <c r="D132" s="211"/>
      <c r="E132" s="51"/>
      <c r="F132" s="51"/>
      <c r="G132" s="27"/>
    </row>
    <row r="133" spans="2:7" s="1" customFormat="1" ht="16.5" customHeight="1">
      <c r="B133" s="25"/>
      <c r="C133" s="51"/>
      <c r="D133" s="211"/>
      <c r="E133" s="51"/>
      <c r="F133" s="51"/>
      <c r="G133" s="27"/>
    </row>
    <row r="134" spans="2:7" s="1" customFormat="1" ht="16.5" customHeight="1">
      <c r="B134" s="25"/>
      <c r="C134" s="51"/>
      <c r="D134" s="211"/>
      <c r="E134" s="51"/>
      <c r="F134" s="51"/>
      <c r="G134" s="27"/>
    </row>
    <row r="135" spans="2:7" s="1" customFormat="1" ht="16.5" customHeight="1">
      <c r="B135" s="25"/>
      <c r="C135" s="51"/>
      <c r="D135" s="211"/>
      <c r="E135" s="51"/>
      <c r="F135" s="51"/>
      <c r="G135" s="27"/>
    </row>
    <row r="136" spans="2:7" s="1" customFormat="1" ht="16.5" customHeight="1">
      <c r="B136" s="25"/>
      <c r="C136" s="51"/>
      <c r="D136" s="211"/>
      <c r="E136" s="51"/>
      <c r="F136" s="51"/>
      <c r="G136" s="27"/>
    </row>
    <row r="137" spans="2:7" s="1" customFormat="1" ht="16.5" customHeight="1">
      <c r="B137" s="25"/>
      <c r="C137" s="51"/>
      <c r="D137" s="211"/>
      <c r="E137" s="51"/>
      <c r="F137" s="51"/>
      <c r="G137" s="27"/>
    </row>
    <row r="138" spans="2:7" s="1" customFormat="1" ht="16.5" customHeight="1">
      <c r="B138" s="25"/>
      <c r="C138" s="51"/>
      <c r="D138" s="211"/>
      <c r="E138" s="51"/>
      <c r="F138" s="51"/>
      <c r="G138" s="27"/>
    </row>
    <row r="139" spans="2:7" s="1" customFormat="1" ht="16.5" customHeight="1">
      <c r="B139" s="25"/>
      <c r="C139" s="51"/>
      <c r="D139" s="211"/>
      <c r="E139" s="51"/>
      <c r="F139" s="51"/>
      <c r="G139" s="27"/>
    </row>
    <row r="140" spans="2:7" s="1" customFormat="1" ht="16.5" customHeight="1">
      <c r="B140" s="25"/>
      <c r="C140" s="51"/>
      <c r="D140" s="211"/>
      <c r="E140" s="51"/>
      <c r="F140" s="51"/>
      <c r="G140" s="27"/>
    </row>
    <row r="141" spans="2:7" s="1" customFormat="1" ht="16.5" customHeight="1">
      <c r="B141" s="25"/>
      <c r="C141" s="51"/>
      <c r="D141" s="211"/>
      <c r="E141" s="51"/>
      <c r="F141" s="51"/>
      <c r="G141" s="27"/>
    </row>
    <row r="142" spans="2:7" s="1" customFormat="1" ht="16.5" customHeight="1">
      <c r="B142" s="25"/>
      <c r="C142" s="51"/>
      <c r="D142" s="211"/>
      <c r="E142" s="51"/>
      <c r="F142" s="51"/>
      <c r="G142" s="27"/>
    </row>
    <row r="143" spans="2:7" s="1" customFormat="1" ht="16.5" customHeight="1">
      <c r="B143" s="25"/>
      <c r="C143" s="51"/>
      <c r="D143" s="211"/>
      <c r="E143" s="51"/>
      <c r="F143" s="51"/>
      <c r="G143" s="27"/>
    </row>
    <row r="144" spans="2:7" s="1" customFormat="1" ht="16.5" customHeight="1">
      <c r="B144" s="25"/>
      <c r="C144" s="51"/>
      <c r="D144" s="211"/>
      <c r="E144" s="51"/>
      <c r="F144" s="51"/>
      <c r="G144" s="27"/>
    </row>
    <row r="145" spans="2:7" s="1" customFormat="1" ht="16.5" customHeight="1">
      <c r="B145" s="212" t="s">
        <v>1</v>
      </c>
      <c r="C145" s="213"/>
      <c r="D145" s="214">
        <f>SUBTOTAL(109,ExpMar132145158171184197210223236[Amount])</f>
        <v>0</v>
      </c>
      <c r="E145" s="213"/>
      <c r="F145" s="213"/>
      <c r="G145" s="212"/>
    </row>
    <row r="147" spans="2:7" s="1" customFormat="1" ht="24.75" customHeight="1">
      <c r="B147" s="205" t="s">
        <v>167</v>
      </c>
      <c r="C147" s="117"/>
      <c r="D147" s="117"/>
      <c r="E147" s="117"/>
      <c r="F147" s="117"/>
      <c r="G147" s="117"/>
    </row>
    <row r="148" spans="2:7" s="1" customFormat="1" ht="16.5" customHeight="1">
      <c r="B148" s="117"/>
      <c r="C148" s="117"/>
      <c r="D148" s="117"/>
      <c r="E148" s="117"/>
      <c r="F148" s="117"/>
      <c r="G148" s="117"/>
    </row>
    <row r="149" spans="2:7" s="1" customFormat="1" ht="16.5" customHeight="1">
      <c r="B149" s="206" t="s">
        <v>50</v>
      </c>
      <c r="C149" s="207" t="s">
        <v>168</v>
      </c>
      <c r="D149" s="206" t="s">
        <v>48</v>
      </c>
      <c r="E149" s="207" t="s">
        <v>47</v>
      </c>
      <c r="F149" s="207" t="s">
        <v>660</v>
      </c>
      <c r="G149" s="206" t="s">
        <v>45</v>
      </c>
    </row>
    <row r="150" spans="2:7" s="1" customFormat="1" ht="16.5" customHeight="1">
      <c r="B150" s="215"/>
      <c r="C150" s="51"/>
      <c r="D150" s="216"/>
      <c r="E150" s="51"/>
      <c r="F150" s="51"/>
      <c r="G150" s="51"/>
    </row>
    <row r="151" spans="2:7" s="1" customFormat="1" ht="16.5" customHeight="1">
      <c r="B151" s="215"/>
      <c r="C151" s="51"/>
      <c r="D151" s="216"/>
      <c r="E151" s="51"/>
      <c r="F151" s="51"/>
      <c r="G151" s="51"/>
    </row>
    <row r="152" spans="2:7" s="1" customFormat="1" ht="16.5" customHeight="1">
      <c r="B152" s="215"/>
      <c r="C152" s="51"/>
      <c r="D152" s="216"/>
      <c r="E152" s="51"/>
      <c r="F152" s="51"/>
      <c r="G152" s="51"/>
    </row>
    <row r="153" spans="2:7" s="1" customFormat="1" ht="16.5" customHeight="1">
      <c r="B153" s="215"/>
      <c r="C153" s="51"/>
      <c r="D153" s="216"/>
      <c r="E153" s="51"/>
      <c r="F153" s="51"/>
      <c r="G153" s="51"/>
    </row>
    <row r="154" spans="2:7" s="1" customFormat="1" ht="16.5" customHeight="1">
      <c r="B154" s="215"/>
      <c r="C154" s="51"/>
      <c r="D154" s="216"/>
      <c r="E154" s="51"/>
      <c r="F154" s="51"/>
      <c r="G154" s="51"/>
    </row>
    <row r="155" spans="2:7" s="1" customFormat="1" ht="16.5" customHeight="1">
      <c r="B155" s="215"/>
      <c r="C155" s="51"/>
      <c r="D155" s="216"/>
      <c r="E155" s="51"/>
      <c r="F155" s="51"/>
      <c r="G155" s="51"/>
    </row>
    <row r="156" spans="2:7" s="1" customFormat="1" ht="16.5" customHeight="1">
      <c r="B156" s="215"/>
      <c r="C156" s="51"/>
      <c r="D156" s="216"/>
      <c r="E156" s="51"/>
      <c r="F156" s="51"/>
      <c r="G156" s="51"/>
    </row>
    <row r="157" spans="2:7" s="1" customFormat="1" ht="16.5" customHeight="1">
      <c r="B157" s="215"/>
      <c r="C157" s="51"/>
      <c r="D157" s="216"/>
      <c r="E157" s="51"/>
      <c r="F157" s="51"/>
      <c r="G157" s="51"/>
    </row>
    <row r="158" spans="2:7" s="1" customFormat="1" ht="16.5" customHeight="1">
      <c r="B158" s="215"/>
      <c r="C158" s="51"/>
      <c r="D158" s="216"/>
      <c r="E158" s="51"/>
      <c r="F158" s="51"/>
      <c r="G158" s="51"/>
    </row>
    <row r="159" spans="2:7" s="1" customFormat="1" ht="16.5" customHeight="1">
      <c r="B159" s="215"/>
      <c r="C159" s="51"/>
      <c r="D159" s="216"/>
      <c r="E159" s="51"/>
      <c r="F159" s="51"/>
      <c r="G159" s="51"/>
    </row>
    <row r="160" spans="2:7" s="1" customFormat="1" ht="16.5" customHeight="1">
      <c r="B160" s="215"/>
      <c r="C160" s="51"/>
      <c r="D160" s="216"/>
      <c r="E160" s="51"/>
      <c r="F160" s="51"/>
      <c r="G160" s="51"/>
    </row>
    <row r="161" spans="2:7" s="1" customFormat="1" ht="16.5" customHeight="1">
      <c r="B161" s="212" t="s">
        <v>1</v>
      </c>
      <c r="C161" s="213"/>
      <c r="D161" s="214">
        <f>SUBTOTAL(109,ExpApr133146159172185198211224237[Amount])</f>
        <v>0</v>
      </c>
      <c r="E161" s="213"/>
      <c r="F161" s="213"/>
      <c r="G161" s="212"/>
    </row>
    <row r="163" spans="2:7" s="1" customFormat="1" ht="26.25" customHeight="1">
      <c r="B163" s="205" t="s">
        <v>169</v>
      </c>
      <c r="C163" s="117"/>
      <c r="D163" s="117"/>
      <c r="E163" s="117"/>
      <c r="F163" s="117"/>
      <c r="G163" s="117"/>
    </row>
    <row r="164" spans="2:7" s="1" customFormat="1" ht="16.5" customHeight="1">
      <c r="B164" s="117"/>
      <c r="C164" s="117"/>
      <c r="D164" s="117"/>
      <c r="E164" s="117"/>
      <c r="F164" s="117"/>
      <c r="G164" s="117"/>
    </row>
    <row r="165" spans="2:7" s="1" customFormat="1" ht="16.5" customHeight="1">
      <c r="B165" s="206" t="s">
        <v>50</v>
      </c>
      <c r="C165" s="207" t="s">
        <v>71</v>
      </c>
      <c r="D165" s="206" t="s">
        <v>48</v>
      </c>
      <c r="E165" s="207" t="s">
        <v>47</v>
      </c>
      <c r="F165" s="207" t="s">
        <v>660</v>
      </c>
      <c r="G165" s="206" t="s">
        <v>45</v>
      </c>
    </row>
    <row r="166" spans="2:7" s="1" customFormat="1" ht="16.5" customHeight="1">
      <c r="B166" s="25"/>
      <c r="C166" s="51"/>
      <c r="D166" s="211"/>
      <c r="E166" s="51"/>
      <c r="F166" s="51"/>
      <c r="G166" s="27"/>
    </row>
    <row r="167" spans="2:7" s="1" customFormat="1" ht="16.5" customHeight="1">
      <c r="B167" s="25"/>
      <c r="C167" s="51"/>
      <c r="D167" s="211"/>
      <c r="E167" s="51"/>
      <c r="F167" s="51"/>
      <c r="G167" s="27"/>
    </row>
    <row r="168" spans="2:7" s="1" customFormat="1" ht="16.5" customHeight="1">
      <c r="B168" s="25"/>
      <c r="C168" s="51"/>
      <c r="D168" s="211"/>
      <c r="E168" s="51"/>
      <c r="F168" s="51"/>
      <c r="G168" s="27"/>
    </row>
    <row r="169" spans="2:7" s="1" customFormat="1" ht="16.5" customHeight="1">
      <c r="B169" s="25"/>
      <c r="C169" s="51"/>
      <c r="D169" s="211"/>
      <c r="E169" s="51"/>
      <c r="F169" s="51"/>
      <c r="G169" s="27"/>
    </row>
    <row r="170" spans="2:7" s="1" customFormat="1" ht="16.5" customHeight="1">
      <c r="B170" s="25"/>
      <c r="C170" s="51"/>
      <c r="D170" s="211"/>
      <c r="E170" s="51"/>
      <c r="F170" s="51"/>
      <c r="G170" s="27"/>
    </row>
    <row r="171" spans="2:7" s="1" customFormat="1" ht="16.5" customHeight="1">
      <c r="B171" s="25"/>
      <c r="C171" s="51"/>
      <c r="D171" s="211"/>
      <c r="E171" s="51"/>
      <c r="F171" s="51"/>
      <c r="G171" s="27"/>
    </row>
    <row r="172" spans="2:7" s="1" customFormat="1" ht="16.5" customHeight="1">
      <c r="B172" s="25"/>
      <c r="C172" s="51"/>
      <c r="D172" s="211"/>
      <c r="E172" s="51"/>
      <c r="F172" s="51"/>
      <c r="G172" s="27"/>
    </row>
    <row r="173" spans="2:7" s="1" customFormat="1" ht="16.5" customHeight="1">
      <c r="B173" s="25"/>
      <c r="C173" s="51"/>
      <c r="D173" s="211"/>
      <c r="E173" s="51"/>
      <c r="F173" s="51"/>
      <c r="G173" s="27"/>
    </row>
    <row r="174" spans="2:7" s="1" customFormat="1" ht="16.5" customHeight="1">
      <c r="B174" s="25"/>
      <c r="C174" s="51"/>
      <c r="D174" s="211"/>
      <c r="E174" s="51"/>
      <c r="F174" s="51"/>
      <c r="G174" s="27"/>
    </row>
    <row r="175" spans="2:7" s="1" customFormat="1" ht="16.5" customHeight="1">
      <c r="B175" s="25"/>
      <c r="C175" s="51"/>
      <c r="D175" s="211"/>
      <c r="E175" s="51"/>
      <c r="F175" s="51"/>
      <c r="G175" s="27"/>
    </row>
    <row r="176" spans="2:7" s="1" customFormat="1" ht="16.5" customHeight="1">
      <c r="B176" s="25"/>
      <c r="C176" s="51"/>
      <c r="D176" s="211"/>
      <c r="E176" s="51"/>
      <c r="F176" s="51"/>
      <c r="G176" s="27"/>
    </row>
    <row r="177" spans="2:7" s="1" customFormat="1" ht="16.5" customHeight="1">
      <c r="B177" s="25"/>
      <c r="C177" s="51"/>
      <c r="D177" s="211"/>
      <c r="E177" s="51"/>
      <c r="F177" s="51"/>
      <c r="G177" s="27"/>
    </row>
    <row r="178" spans="2:7" s="1" customFormat="1" ht="16.5" customHeight="1">
      <c r="B178" s="224" t="s">
        <v>1</v>
      </c>
      <c r="C178" s="225"/>
      <c r="D178" s="226">
        <f>SUBTOTAL(109,ExpMay134147160173186199212225238[Amount])</f>
        <v>0</v>
      </c>
      <c r="E178" s="225"/>
      <c r="F178" s="225"/>
      <c r="G178" s="224"/>
    </row>
    <row r="180" spans="2:7" s="1" customFormat="1" ht="26.25" customHeight="1">
      <c r="B180" s="205" t="s">
        <v>170</v>
      </c>
      <c r="C180" s="117"/>
      <c r="D180" s="117"/>
      <c r="E180" s="117"/>
      <c r="F180" s="117"/>
      <c r="G180" s="117"/>
    </row>
    <row r="181" spans="2:7" s="1" customFormat="1" ht="16.5" customHeight="1">
      <c r="B181" s="117"/>
      <c r="C181" s="117"/>
      <c r="D181" s="117"/>
      <c r="E181" s="117"/>
      <c r="F181" s="117"/>
      <c r="G181" s="117"/>
    </row>
    <row r="182" spans="2:7" s="1" customFormat="1" ht="16.5" customHeight="1">
      <c r="B182" s="206" t="s">
        <v>50</v>
      </c>
      <c r="C182" s="207" t="s">
        <v>155</v>
      </c>
      <c r="D182" s="206" t="s">
        <v>48</v>
      </c>
      <c r="E182" s="207" t="s">
        <v>47</v>
      </c>
      <c r="F182" s="207" t="s">
        <v>660</v>
      </c>
      <c r="G182" s="206" t="s">
        <v>45</v>
      </c>
    </row>
    <row r="183" spans="2:7" s="1" customFormat="1" ht="16.5" customHeight="1">
      <c r="B183" s="215"/>
      <c r="C183" s="51"/>
      <c r="D183" s="216"/>
      <c r="E183" s="51"/>
      <c r="F183" s="51"/>
      <c r="G183" s="51"/>
    </row>
    <row r="184" spans="2:7" s="1" customFormat="1" ht="16.5" customHeight="1">
      <c r="B184" s="215"/>
      <c r="C184" s="51"/>
      <c r="D184" s="216"/>
      <c r="E184" s="51"/>
      <c r="F184" s="51"/>
      <c r="G184" s="51"/>
    </row>
    <row r="185" spans="2:7" s="1" customFormat="1" ht="16.5" customHeight="1">
      <c r="B185" s="215"/>
      <c r="C185" s="51"/>
      <c r="D185" s="216"/>
      <c r="E185" s="51"/>
      <c r="F185" s="51"/>
      <c r="G185" s="51"/>
    </row>
    <row r="186" spans="2:7" s="1" customFormat="1" ht="16.5" customHeight="1">
      <c r="B186" s="215"/>
      <c r="C186" s="51"/>
      <c r="D186" s="216"/>
      <c r="E186" s="51"/>
      <c r="F186" s="51"/>
      <c r="G186" s="51"/>
    </row>
    <row r="187" spans="2:7" s="1" customFormat="1" ht="16.5" customHeight="1">
      <c r="B187" s="215"/>
      <c r="C187" s="51"/>
      <c r="D187" s="216"/>
      <c r="E187" s="51"/>
      <c r="F187" s="51"/>
      <c r="G187" s="51"/>
    </row>
    <row r="188" spans="2:7" s="1" customFormat="1" ht="16.5" customHeight="1">
      <c r="B188" s="215"/>
      <c r="C188" s="51"/>
      <c r="D188" s="216"/>
      <c r="E188" s="51"/>
      <c r="F188" s="51"/>
      <c r="G188" s="51"/>
    </row>
    <row r="189" spans="2:7" s="1" customFormat="1" ht="16.5" customHeight="1">
      <c r="B189" s="215"/>
      <c r="C189" s="51"/>
      <c r="D189" s="216"/>
      <c r="E189" s="51"/>
      <c r="F189" s="51"/>
      <c r="G189" s="51"/>
    </row>
    <row r="190" spans="2:7" s="1" customFormat="1" ht="16.5" customHeight="1">
      <c r="B190" s="215"/>
      <c r="C190" s="51"/>
      <c r="D190" s="216"/>
      <c r="E190" s="51"/>
      <c r="F190" s="51"/>
      <c r="G190" s="51"/>
    </row>
    <row r="191" spans="2:7" s="1" customFormat="1" ht="16.5" customHeight="1">
      <c r="B191" s="215"/>
      <c r="C191" s="51"/>
      <c r="D191" s="216"/>
      <c r="E191" s="51"/>
      <c r="F191" s="51"/>
      <c r="G191" s="51"/>
    </row>
    <row r="192" spans="2:7" s="1" customFormat="1" ht="16.5" customHeight="1">
      <c r="B192" s="215"/>
      <c r="C192" s="51"/>
      <c r="D192" s="216"/>
      <c r="E192" s="51"/>
      <c r="F192" s="51"/>
      <c r="G192" s="51"/>
    </row>
    <row r="193" spans="2:7" s="1" customFormat="1" ht="16.5" customHeight="1">
      <c r="B193" s="215"/>
      <c r="C193" s="51"/>
      <c r="D193" s="216"/>
      <c r="E193" s="51"/>
      <c r="F193" s="51"/>
      <c r="G193" s="51"/>
    </row>
    <row r="194" spans="2:7" s="1" customFormat="1" ht="16.5" customHeight="1">
      <c r="B194" s="224" t="s">
        <v>1</v>
      </c>
      <c r="C194" s="225"/>
      <c r="D194" s="226">
        <f>SUBTOTAL(109,ExpJun135148161174187200213226239[Amount])</f>
        <v>0</v>
      </c>
      <c r="E194" s="225"/>
      <c r="F194" s="225"/>
      <c r="G194" s="224"/>
    </row>
  </sheetData>
  <dataValidations count="14">
    <dataValidation type="custom" errorStyle="warning" allowBlank="1" showInputMessage="1" showErrorMessage="1" errorTitle="Date Validation" error="A date in October needs be entered  in order for this expense to be added to the Summary sheet." sqref="B61:B71">
      <formula1>MONTH($B61)=10</formula1>
    </dataValidation>
    <dataValidation type="custom" errorStyle="warning" allowBlank="1" showInputMessage="1" showErrorMessage="1" errorTitle="Date Validation" error="A date in November needs be entered  in order for this expense to be added to the Summary sheet." sqref="B77:B86">
      <formula1>MONTH($B77)=11</formula1>
    </dataValidation>
    <dataValidation type="custom" errorStyle="warning" allowBlank="1" showInputMessage="1" showErrorMessage="1" errorTitle="Date Validation" error="A date in December needs be entered  in order for this expense to be added to the Summary sheet." sqref="B92:B97">
      <formula1>MONTH($B92)=12</formula1>
    </dataValidation>
    <dataValidation type="custom" errorStyle="warning" allowBlank="1" showInputMessage="1" showErrorMessage="1" errorTitle="Date Validation" error="A date in January needs be entered in order for this expense to be added to the Summary sheet." sqref="B103:B110">
      <formula1>MONTH($B103)=1</formula1>
    </dataValidation>
    <dataValidation type="custom" errorStyle="warning" allowBlank="1" showInputMessage="1" showErrorMessage="1" errorTitle="Date Validation" error="A date in February needs be entered in order for this expense to be added to the Summary sheet." sqref="B116:B126">
      <formula1>MONTH($B116)=2</formula1>
    </dataValidation>
    <dataValidation type="custom" errorStyle="warning" allowBlank="1" showInputMessage="1" showErrorMessage="1" errorTitle="Date Validation" error="A date in March needs be entered in order for this expense to be added to the Summary sheet." sqref="B132:B144">
      <formula1>MONTH($B132)=3</formula1>
    </dataValidation>
    <dataValidation type="custom" errorStyle="warning" allowBlank="1" showInputMessage="1" showErrorMessage="1" errorTitle="Date Validation" error="A date in April needs be entered  in order for this expense to be added to the Summary sheet." sqref="B150:B160">
      <formula1>MONTH($B150)=4</formula1>
    </dataValidation>
    <dataValidation type="custom" errorStyle="warning" allowBlank="1" showInputMessage="1" showErrorMessage="1" errorTitle="Date Validation" error="A date in May needs be entered  in order for this expense to be added to the Summary sheet." sqref="B166:B177">
      <formula1>MONTH($B166)=5</formula1>
    </dataValidation>
    <dataValidation type="custom" errorStyle="warning" allowBlank="1" showInputMessage="1" showErrorMessage="1" errorTitle="Date Validation" error="A date in June needs be entered  in order for this expense to be added to the Summary sheet." sqref="B183:B193">
      <formula1>MONTH($B183)=6</formula1>
    </dataValidation>
    <dataValidation type="custom" errorStyle="warning" allowBlank="1" showInputMessage="1" showErrorMessage="1" errorTitle="Date Validation" error="A date in September needs be entered  in order for this expense to be added to the Summary sheet." sqref="B47:B55">
      <formula1>MONTH($B47)=9</formula1>
    </dataValidation>
    <dataValidation type="custom" errorStyle="warning" allowBlank="1" showInputMessage="1" showErrorMessage="1" errorTitle="Date Validation" error="A date in August needs be entered  in order for this expense to be added to the Summary sheet." sqref="B23:B40">
      <formula1>MONTH($B23)=8</formula1>
    </dataValidation>
    <dataValidation type="list" errorStyle="warning" allowBlank="1" showInputMessage="1" showErrorMessage="1" errorTitle="Unknown Category" error="An expense from the drop down should be selected in order for it to be included on the Summary sheet." sqref="E5:F17 E19:F19 E23:F40 E47:F55 E61:F71 E77:F86 E92:F97 E103:F110 E116:E126 E132:F144 E150:F160 E166:F177 E183:F193">
      <formula1>ExpenseCategories</formula1>
    </dataValidation>
    <dataValidation type="custom" errorStyle="warning" allowBlank="1" showInputMessage="1" showErrorMessage="1" errorTitle="Date Validation" error="A date in July needs be entered  in order for this expense to be added to the Summary sheet." sqref="B5:B17 B19">
      <formula1>MONTH($B5)=7</formula1>
    </dataValidation>
    <dataValidation type="custom" errorStyle="warning" allowBlank="1" showInputMessage="1" showErrorMessage="1" errorTitle="Amount Validation" error="Amount should be a number." sqref="D5:D17 D19 D23:D40 D47:D55 D61:D71 D77:D86 D92:D97 D103:D110 D116:D126 D132:D144 D150:D160 D166:D177 D183:D193">
      <formula1>ISNUMBER($D5)</formula1>
    </dataValidation>
  </dataValidations>
  <printOptions horizontalCentered="1"/>
  <pageMargins left="0.25" right="0.25" top="0.75" bottom="0.75" header="0.3" footer="0.3"/>
  <pageSetup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80"/>
  <sheetViews>
    <sheetView topLeftCell="A43" workbookViewId="0">
      <selection activeCell="K65" sqref="K65"/>
    </sheetView>
  </sheetViews>
  <sheetFormatPr defaultColWidth="9.140625" defaultRowHeight="12.75"/>
  <cols>
    <col min="1" max="1" width="16.140625" style="260" customWidth="1"/>
    <col min="2" max="2" width="13.42578125" style="260" customWidth="1"/>
    <col min="3" max="3" width="11.42578125" style="260" customWidth="1"/>
    <col min="4" max="4" width="14" style="260" customWidth="1"/>
    <col min="5" max="5" width="14.140625" style="260" customWidth="1"/>
    <col min="6" max="6" width="12.7109375" style="260" customWidth="1"/>
    <col min="7" max="7" width="13.28515625" style="260" customWidth="1"/>
    <col min="8" max="16384" width="9.140625" style="260"/>
  </cols>
  <sheetData>
    <row r="1" spans="1:7" ht="13.5" customHeight="1">
      <c r="A1" s="278" t="s">
        <v>155</v>
      </c>
      <c r="B1" s="279" t="s">
        <v>154</v>
      </c>
      <c r="C1" s="280"/>
      <c r="D1" s="279" t="s">
        <v>153</v>
      </c>
      <c r="E1" s="280"/>
      <c r="F1" s="279" t="s">
        <v>152</v>
      </c>
      <c r="G1" s="280"/>
    </row>
    <row r="2" spans="1:7" ht="22.5">
      <c r="A2" s="516"/>
      <c r="B2" s="517" t="str">
        <f t="shared" ref="B2:B39" si="0">D1</f>
        <v>Current PM Date &amp; Mileage</v>
      </c>
      <c r="C2" s="361"/>
      <c r="D2" s="518"/>
      <c r="E2" s="352"/>
      <c r="F2" s="519">
        <f t="shared" ref="F2:F39" si="1">SUM(E2-E1)</f>
        <v>0</v>
      </c>
      <c r="G2" s="520"/>
    </row>
    <row r="3" spans="1:7">
      <c r="A3" s="516"/>
      <c r="B3" s="354">
        <f t="shared" si="0"/>
        <v>0</v>
      </c>
      <c r="C3" s="355"/>
      <c r="D3" s="521" t="s">
        <v>1558</v>
      </c>
      <c r="E3" s="357">
        <v>5113</v>
      </c>
      <c r="F3" s="358">
        <f t="shared" si="1"/>
        <v>5113</v>
      </c>
      <c r="G3" s="359" t="b">
        <f t="shared" ref="G3:G27" si="2">IF(F3&gt;5250,"OVER")</f>
        <v>0</v>
      </c>
    </row>
    <row r="4" spans="1:7">
      <c r="A4" s="516">
        <v>9769</v>
      </c>
      <c r="B4" s="354" t="str">
        <f t="shared" si="0"/>
        <v>4.19.16</v>
      </c>
      <c r="C4" s="355">
        <v>5113</v>
      </c>
      <c r="D4" s="521" t="s">
        <v>210</v>
      </c>
      <c r="E4" s="357">
        <v>10095</v>
      </c>
      <c r="F4" s="358">
        <f t="shared" si="1"/>
        <v>4982</v>
      </c>
      <c r="G4" s="359" t="b">
        <f t="shared" si="2"/>
        <v>0</v>
      </c>
    </row>
    <row r="5" spans="1:7">
      <c r="A5" s="516">
        <v>9830</v>
      </c>
      <c r="B5" s="354" t="str">
        <f t="shared" si="0"/>
        <v>5.27.16</v>
      </c>
      <c r="C5" s="355">
        <v>10095</v>
      </c>
      <c r="D5" s="521" t="s">
        <v>1557</v>
      </c>
      <c r="E5" s="357">
        <v>15063</v>
      </c>
      <c r="F5" s="358">
        <f t="shared" si="1"/>
        <v>4968</v>
      </c>
      <c r="G5" s="359" t="b">
        <f t="shared" si="2"/>
        <v>0</v>
      </c>
    </row>
    <row r="6" spans="1:7">
      <c r="A6" s="516">
        <v>9891</v>
      </c>
      <c r="B6" s="354" t="str">
        <f t="shared" si="0"/>
        <v>7.1.16</v>
      </c>
      <c r="C6" s="355">
        <v>15063</v>
      </c>
      <c r="D6" s="521" t="s">
        <v>1556</v>
      </c>
      <c r="E6" s="357">
        <v>20121</v>
      </c>
      <c r="F6" s="358">
        <f t="shared" si="1"/>
        <v>5058</v>
      </c>
      <c r="G6" s="359" t="b">
        <f t="shared" si="2"/>
        <v>0</v>
      </c>
    </row>
    <row r="7" spans="1:7">
      <c r="A7" s="516">
        <v>9952</v>
      </c>
      <c r="B7" s="354" t="str">
        <f t="shared" si="0"/>
        <v>8.4.16</v>
      </c>
      <c r="C7" s="355">
        <v>20121</v>
      </c>
      <c r="D7" s="521" t="s">
        <v>1555</v>
      </c>
      <c r="E7" s="357">
        <v>25103</v>
      </c>
      <c r="F7" s="358">
        <f t="shared" si="1"/>
        <v>4982</v>
      </c>
      <c r="G7" s="359" t="b">
        <f t="shared" si="2"/>
        <v>0</v>
      </c>
    </row>
    <row r="8" spans="1:7">
      <c r="A8" s="516">
        <v>10021</v>
      </c>
      <c r="B8" s="354" t="str">
        <f t="shared" si="0"/>
        <v>9.8.16</v>
      </c>
      <c r="C8" s="355">
        <v>25103</v>
      </c>
      <c r="D8" s="521" t="s">
        <v>1554</v>
      </c>
      <c r="E8" s="357">
        <v>30140</v>
      </c>
      <c r="F8" s="358">
        <f t="shared" si="1"/>
        <v>5037</v>
      </c>
      <c r="G8" s="359" t="b">
        <f t="shared" si="2"/>
        <v>0</v>
      </c>
    </row>
    <row r="9" spans="1:7">
      <c r="A9" s="516">
        <v>10118</v>
      </c>
      <c r="B9" s="354" t="str">
        <f t="shared" si="0"/>
        <v>10.28.16</v>
      </c>
      <c r="C9" s="355">
        <v>30140</v>
      </c>
      <c r="D9" s="521" t="s">
        <v>1553</v>
      </c>
      <c r="E9" s="357">
        <v>34955</v>
      </c>
      <c r="F9" s="358">
        <f t="shared" si="1"/>
        <v>4815</v>
      </c>
      <c r="G9" s="359" t="b">
        <f t="shared" si="2"/>
        <v>0</v>
      </c>
    </row>
    <row r="10" spans="1:7">
      <c r="A10" s="516">
        <v>10167</v>
      </c>
      <c r="B10" s="354" t="str">
        <f t="shared" si="0"/>
        <v>11.28.16</v>
      </c>
      <c r="C10" s="355">
        <v>34955</v>
      </c>
      <c r="D10" s="521" t="s">
        <v>1552</v>
      </c>
      <c r="E10" s="357">
        <v>39927</v>
      </c>
      <c r="F10" s="358">
        <f t="shared" si="1"/>
        <v>4972</v>
      </c>
      <c r="G10" s="359" t="b">
        <f t="shared" si="2"/>
        <v>0</v>
      </c>
    </row>
    <row r="11" spans="1:7">
      <c r="A11" s="516">
        <v>10214</v>
      </c>
      <c r="B11" s="354" t="str">
        <f t="shared" si="0"/>
        <v>12.30.16</v>
      </c>
      <c r="C11" s="355">
        <v>39927</v>
      </c>
      <c r="D11" s="521" t="s">
        <v>1551</v>
      </c>
      <c r="E11" s="357">
        <v>44789</v>
      </c>
      <c r="F11" s="358">
        <f t="shared" si="1"/>
        <v>4862</v>
      </c>
      <c r="G11" s="359" t="b">
        <f t="shared" si="2"/>
        <v>0</v>
      </c>
    </row>
    <row r="12" spans="1:7">
      <c r="A12" s="516">
        <v>10273</v>
      </c>
      <c r="B12" s="354" t="str">
        <f t="shared" si="0"/>
        <v>1.31.17</v>
      </c>
      <c r="C12" s="355">
        <v>44789</v>
      </c>
      <c r="D12" s="521" t="s">
        <v>1550</v>
      </c>
      <c r="E12" s="357">
        <v>49898</v>
      </c>
      <c r="F12" s="358">
        <f t="shared" si="1"/>
        <v>5109</v>
      </c>
      <c r="G12" s="359" t="b">
        <f t="shared" si="2"/>
        <v>0</v>
      </c>
    </row>
    <row r="13" spans="1:7">
      <c r="A13" s="516">
        <v>10338</v>
      </c>
      <c r="B13" s="354" t="str">
        <f t="shared" si="0"/>
        <v>3.4.17</v>
      </c>
      <c r="C13" s="355">
        <v>49898</v>
      </c>
      <c r="D13" s="521" t="s">
        <v>1549</v>
      </c>
      <c r="E13" s="357">
        <v>54864</v>
      </c>
      <c r="F13" s="358">
        <f t="shared" si="1"/>
        <v>4966</v>
      </c>
      <c r="G13" s="359" t="b">
        <f t="shared" si="2"/>
        <v>0</v>
      </c>
    </row>
    <row r="14" spans="1:7">
      <c r="A14" s="516">
        <v>10392</v>
      </c>
      <c r="B14" s="354" t="str">
        <f t="shared" si="0"/>
        <v>4.3.17</v>
      </c>
      <c r="C14" s="355">
        <v>54864</v>
      </c>
      <c r="D14" s="521" t="s">
        <v>1548</v>
      </c>
      <c r="E14" s="357">
        <v>59813</v>
      </c>
      <c r="F14" s="358">
        <f t="shared" si="1"/>
        <v>4949</v>
      </c>
      <c r="G14" s="359" t="b">
        <f t="shared" si="2"/>
        <v>0</v>
      </c>
    </row>
    <row r="15" spans="1:7">
      <c r="A15" s="516">
        <v>10458</v>
      </c>
      <c r="B15" s="354" t="str">
        <f t="shared" si="0"/>
        <v>5.5.17</v>
      </c>
      <c r="C15" s="355">
        <v>59813</v>
      </c>
      <c r="D15" s="521"/>
      <c r="E15" s="538"/>
      <c r="F15" s="358">
        <f t="shared" si="1"/>
        <v>-59813</v>
      </c>
      <c r="G15" s="359" t="b">
        <f t="shared" si="2"/>
        <v>0</v>
      </c>
    </row>
    <row r="16" spans="1:7">
      <c r="A16" s="516"/>
      <c r="B16" s="354">
        <f t="shared" si="0"/>
        <v>0</v>
      </c>
      <c r="C16" s="361"/>
      <c r="D16" s="522"/>
      <c r="E16" s="363"/>
      <c r="F16" s="358">
        <f t="shared" si="1"/>
        <v>0</v>
      </c>
      <c r="G16" s="359" t="b">
        <f t="shared" si="2"/>
        <v>0</v>
      </c>
    </row>
    <row r="17" spans="1:7" ht="13.5" thickBot="1">
      <c r="A17" s="523"/>
      <c r="B17" s="354">
        <f t="shared" si="0"/>
        <v>0</v>
      </c>
      <c r="C17" s="365"/>
      <c r="D17" s="524"/>
      <c r="E17" s="367"/>
      <c r="F17" s="358">
        <f t="shared" si="1"/>
        <v>0</v>
      </c>
      <c r="G17" s="359" t="b">
        <f t="shared" si="2"/>
        <v>0</v>
      </c>
    </row>
    <row r="18" spans="1:7" ht="13.5" thickBot="1">
      <c r="A18" s="525"/>
      <c r="B18" s="354">
        <f t="shared" si="0"/>
        <v>0</v>
      </c>
      <c r="C18" s="370"/>
      <c r="D18" s="526"/>
      <c r="E18" s="372"/>
      <c r="F18" s="358">
        <f t="shared" si="1"/>
        <v>0</v>
      </c>
      <c r="G18" s="359" t="b">
        <f t="shared" si="2"/>
        <v>0</v>
      </c>
    </row>
    <row r="19" spans="1:7">
      <c r="A19" s="527"/>
      <c r="B19" s="354">
        <f t="shared" si="0"/>
        <v>0</v>
      </c>
      <c r="C19" s="375"/>
      <c r="D19" s="528"/>
      <c r="E19" s="377"/>
      <c r="F19" s="358">
        <f t="shared" si="1"/>
        <v>0</v>
      </c>
      <c r="G19" s="359" t="b">
        <f t="shared" si="2"/>
        <v>0</v>
      </c>
    </row>
    <row r="20" spans="1:7">
      <c r="A20" s="516"/>
      <c r="B20" s="354">
        <f t="shared" si="0"/>
        <v>0</v>
      </c>
      <c r="C20" s="355"/>
      <c r="D20" s="521"/>
      <c r="E20" s="357"/>
      <c r="F20" s="358">
        <f t="shared" si="1"/>
        <v>0</v>
      </c>
      <c r="G20" s="359" t="b">
        <f t="shared" si="2"/>
        <v>0</v>
      </c>
    </row>
    <row r="21" spans="1:7">
      <c r="A21" s="516"/>
      <c r="B21" s="354">
        <f t="shared" si="0"/>
        <v>0</v>
      </c>
      <c r="C21" s="355"/>
      <c r="D21" s="521"/>
      <c r="E21" s="357"/>
      <c r="F21" s="358">
        <f t="shared" si="1"/>
        <v>0</v>
      </c>
      <c r="G21" s="359" t="b">
        <f t="shared" si="2"/>
        <v>0</v>
      </c>
    </row>
    <row r="22" spans="1:7">
      <c r="A22" s="516"/>
      <c r="B22" s="354">
        <f t="shared" si="0"/>
        <v>0</v>
      </c>
      <c r="C22" s="355"/>
      <c r="D22" s="521"/>
      <c r="E22" s="357"/>
      <c r="F22" s="358">
        <f t="shared" si="1"/>
        <v>0</v>
      </c>
      <c r="G22" s="359" t="b">
        <f t="shared" si="2"/>
        <v>0</v>
      </c>
    </row>
    <row r="23" spans="1:7">
      <c r="A23" s="516"/>
      <c r="B23" s="354">
        <f t="shared" si="0"/>
        <v>0</v>
      </c>
      <c r="C23" s="355"/>
      <c r="D23" s="521"/>
      <c r="E23" s="357"/>
      <c r="F23" s="358">
        <f t="shared" si="1"/>
        <v>0</v>
      </c>
      <c r="G23" s="359" t="b">
        <f t="shared" si="2"/>
        <v>0</v>
      </c>
    </row>
    <row r="24" spans="1:7">
      <c r="A24" s="516"/>
      <c r="B24" s="354">
        <f t="shared" si="0"/>
        <v>0</v>
      </c>
      <c r="C24" s="355"/>
      <c r="D24" s="521"/>
      <c r="E24" s="357"/>
      <c r="F24" s="358">
        <f t="shared" si="1"/>
        <v>0</v>
      </c>
      <c r="G24" s="359" t="b">
        <f t="shared" si="2"/>
        <v>0</v>
      </c>
    </row>
    <row r="25" spans="1:7">
      <c r="A25" s="516"/>
      <c r="B25" s="354">
        <f t="shared" si="0"/>
        <v>0</v>
      </c>
      <c r="C25" s="355"/>
      <c r="D25" s="521"/>
      <c r="E25" s="357"/>
      <c r="F25" s="358">
        <f t="shared" si="1"/>
        <v>0</v>
      </c>
      <c r="G25" s="359" t="b">
        <f t="shared" si="2"/>
        <v>0</v>
      </c>
    </row>
    <row r="26" spans="1:7">
      <c r="A26" s="516"/>
      <c r="B26" s="354">
        <f t="shared" si="0"/>
        <v>0</v>
      </c>
      <c r="C26" s="355"/>
      <c r="D26" s="521"/>
      <c r="E26" s="357"/>
      <c r="F26" s="358">
        <f t="shared" si="1"/>
        <v>0</v>
      </c>
      <c r="G26" s="359" t="b">
        <f t="shared" si="2"/>
        <v>0</v>
      </c>
    </row>
    <row r="27" spans="1:7">
      <c r="A27" s="516"/>
      <c r="B27" s="354">
        <f t="shared" si="0"/>
        <v>0</v>
      </c>
      <c r="C27" s="355"/>
      <c r="D27" s="521"/>
      <c r="E27" s="357"/>
      <c r="F27" s="358">
        <f t="shared" si="1"/>
        <v>0</v>
      </c>
      <c r="G27" s="359" t="b">
        <f t="shared" si="2"/>
        <v>0</v>
      </c>
    </row>
    <row r="28" spans="1:7">
      <c r="A28" s="516"/>
      <c r="B28" s="354">
        <f t="shared" si="0"/>
        <v>0</v>
      </c>
      <c r="C28" s="355"/>
      <c r="D28" s="521"/>
      <c r="E28" s="357"/>
      <c r="F28" s="358">
        <f t="shared" si="1"/>
        <v>0</v>
      </c>
      <c r="G28" s="359"/>
    </row>
    <row r="29" spans="1:7">
      <c r="A29" s="516"/>
      <c r="B29" s="354">
        <f t="shared" si="0"/>
        <v>0</v>
      </c>
      <c r="C29" s="355"/>
      <c r="D29" s="521"/>
      <c r="E29" s="357"/>
      <c r="F29" s="358">
        <f t="shared" si="1"/>
        <v>0</v>
      </c>
      <c r="G29" s="359"/>
    </row>
    <row r="30" spans="1:7">
      <c r="A30" s="516"/>
      <c r="B30" s="354">
        <f t="shared" si="0"/>
        <v>0</v>
      </c>
      <c r="C30" s="355"/>
      <c r="D30" s="521"/>
      <c r="E30" s="357"/>
      <c r="F30" s="358">
        <f t="shared" si="1"/>
        <v>0</v>
      </c>
      <c r="G30" s="359"/>
    </row>
    <row r="31" spans="1:7">
      <c r="A31" s="516"/>
      <c r="B31" s="354">
        <f t="shared" si="0"/>
        <v>0</v>
      </c>
      <c r="C31" s="355"/>
      <c r="D31" s="521"/>
      <c r="E31" s="357"/>
      <c r="F31" s="358">
        <f t="shared" si="1"/>
        <v>0</v>
      </c>
      <c r="G31" s="359"/>
    </row>
    <row r="32" spans="1:7">
      <c r="A32" s="516"/>
      <c r="B32" s="354">
        <f t="shared" si="0"/>
        <v>0</v>
      </c>
      <c r="C32" s="355"/>
      <c r="D32" s="521"/>
      <c r="E32" s="357"/>
      <c r="F32" s="358">
        <f t="shared" si="1"/>
        <v>0</v>
      </c>
      <c r="G32" s="359"/>
    </row>
    <row r="33" spans="1:7">
      <c r="A33" s="516"/>
      <c r="B33" s="354">
        <f t="shared" si="0"/>
        <v>0</v>
      </c>
      <c r="C33" s="355"/>
      <c r="D33" s="521"/>
      <c r="E33" s="357"/>
      <c r="F33" s="358">
        <f t="shared" si="1"/>
        <v>0</v>
      </c>
      <c r="G33" s="359"/>
    </row>
    <row r="34" spans="1:7">
      <c r="A34" s="516"/>
      <c r="B34" s="354">
        <f t="shared" si="0"/>
        <v>0</v>
      </c>
      <c r="C34" s="355"/>
      <c r="D34" s="521"/>
      <c r="E34" s="357"/>
      <c r="F34" s="358">
        <f t="shared" si="1"/>
        <v>0</v>
      </c>
      <c r="G34" s="359"/>
    </row>
    <row r="35" spans="1:7">
      <c r="A35" s="516"/>
      <c r="B35" s="354">
        <f t="shared" si="0"/>
        <v>0</v>
      </c>
      <c r="C35" s="355"/>
      <c r="D35" s="521"/>
      <c r="E35" s="357"/>
      <c r="F35" s="358">
        <f t="shared" si="1"/>
        <v>0</v>
      </c>
      <c r="G35" s="359"/>
    </row>
    <row r="36" spans="1:7">
      <c r="A36" s="516"/>
      <c r="B36" s="354">
        <f t="shared" si="0"/>
        <v>0</v>
      </c>
      <c r="C36" s="355"/>
      <c r="D36" s="521"/>
      <c r="E36" s="357"/>
      <c r="F36" s="358">
        <f t="shared" si="1"/>
        <v>0</v>
      </c>
      <c r="G36" s="359"/>
    </row>
    <row r="37" spans="1:7">
      <c r="A37" s="516"/>
      <c r="B37" s="354">
        <f t="shared" si="0"/>
        <v>0</v>
      </c>
      <c r="C37" s="355"/>
      <c r="D37" s="521"/>
      <c r="E37" s="357"/>
      <c r="F37" s="358">
        <f t="shared" si="1"/>
        <v>0</v>
      </c>
      <c r="G37" s="359"/>
    </row>
    <row r="38" spans="1:7">
      <c r="A38" s="516"/>
      <c r="B38" s="354">
        <f t="shared" si="0"/>
        <v>0</v>
      </c>
      <c r="C38" s="355"/>
      <c r="D38" s="521"/>
      <c r="E38" s="357"/>
      <c r="F38" s="358">
        <f t="shared" si="1"/>
        <v>0</v>
      </c>
      <c r="G38" s="359"/>
    </row>
    <row r="39" spans="1:7">
      <c r="A39" s="516"/>
      <c r="B39" s="354">
        <f t="shared" si="0"/>
        <v>0</v>
      </c>
      <c r="C39" s="355"/>
      <c r="D39" s="521"/>
      <c r="E39" s="357"/>
      <c r="F39" s="358">
        <f t="shared" si="1"/>
        <v>0</v>
      </c>
      <c r="G39" s="359"/>
    </row>
    <row r="41" spans="1:7" ht="13.5" thickBot="1">
      <c r="A41" s="504" t="s">
        <v>836</v>
      </c>
    </row>
    <row r="42" spans="1:7">
      <c r="A42" s="278" t="s">
        <v>155</v>
      </c>
      <c r="B42" s="279" t="s">
        <v>154</v>
      </c>
      <c r="C42" s="280"/>
      <c r="D42" s="279" t="s">
        <v>153</v>
      </c>
      <c r="E42" s="280"/>
      <c r="F42" s="279" t="s">
        <v>152</v>
      </c>
      <c r="G42" s="280"/>
    </row>
    <row r="43" spans="1:7" ht="22.5">
      <c r="A43" s="516"/>
      <c r="B43" s="517" t="str">
        <f t="shared" ref="B43" si="3">D42</f>
        <v>Current PM Date &amp; Mileage</v>
      </c>
      <c r="C43" s="361"/>
      <c r="D43" s="518"/>
      <c r="E43" s="352"/>
      <c r="F43" s="519">
        <f t="shared" ref="F43:F80" si="4">SUM(E43-E42)</f>
        <v>0</v>
      </c>
      <c r="G43" s="520"/>
    </row>
    <row r="44" spans="1:7">
      <c r="A44" s="516"/>
      <c r="B44" s="559"/>
      <c r="C44" s="355"/>
      <c r="D44" s="521"/>
      <c r="E44" s="357"/>
      <c r="F44" s="358">
        <f t="shared" si="4"/>
        <v>0</v>
      </c>
      <c r="G44" s="359" t="b">
        <f t="shared" ref="G44:G68" si="5">IF(F44&gt;5250,"OVER")</f>
        <v>0</v>
      </c>
    </row>
    <row r="45" spans="1:7">
      <c r="A45" s="516"/>
      <c r="B45" s="559"/>
      <c r="C45" s="355"/>
      <c r="D45" s="521"/>
      <c r="E45" s="357"/>
      <c r="F45" s="358">
        <f t="shared" si="4"/>
        <v>0</v>
      </c>
      <c r="G45" s="359" t="b">
        <f t="shared" si="5"/>
        <v>0</v>
      </c>
    </row>
    <row r="46" spans="1:7">
      <c r="A46" s="516"/>
      <c r="B46" s="559"/>
      <c r="C46" s="355"/>
      <c r="D46" s="521"/>
      <c r="E46" s="357"/>
      <c r="F46" s="358">
        <f t="shared" si="4"/>
        <v>0</v>
      </c>
      <c r="G46" s="359" t="b">
        <f t="shared" si="5"/>
        <v>0</v>
      </c>
    </row>
    <row r="47" spans="1:7">
      <c r="A47" s="516"/>
      <c r="B47" s="559"/>
      <c r="C47" s="355"/>
      <c r="D47" s="521"/>
      <c r="E47" s="357"/>
      <c r="F47" s="358">
        <f t="shared" si="4"/>
        <v>0</v>
      </c>
      <c r="G47" s="359" t="b">
        <f t="shared" si="5"/>
        <v>0</v>
      </c>
    </row>
    <row r="48" spans="1:7">
      <c r="A48" s="516"/>
      <c r="B48" s="559"/>
      <c r="C48" s="355"/>
      <c r="D48" s="521"/>
      <c r="E48" s="357"/>
      <c r="F48" s="358">
        <f t="shared" si="4"/>
        <v>0</v>
      </c>
      <c r="G48" s="359" t="b">
        <f t="shared" si="5"/>
        <v>0</v>
      </c>
    </row>
    <row r="49" spans="1:7">
      <c r="A49" s="516"/>
      <c r="B49" s="559"/>
      <c r="C49" s="355"/>
      <c r="D49" s="521"/>
      <c r="E49" s="357"/>
      <c r="F49" s="358">
        <f t="shared" si="4"/>
        <v>0</v>
      </c>
      <c r="G49" s="359" t="b">
        <f t="shared" si="5"/>
        <v>0</v>
      </c>
    </row>
    <row r="50" spans="1:7">
      <c r="A50" s="516"/>
      <c r="B50" s="559"/>
      <c r="C50" s="355"/>
      <c r="D50" s="521"/>
      <c r="E50" s="357"/>
      <c r="F50" s="358">
        <f t="shared" si="4"/>
        <v>0</v>
      </c>
      <c r="G50" s="359" t="b">
        <f t="shared" si="5"/>
        <v>0</v>
      </c>
    </row>
    <row r="51" spans="1:7">
      <c r="A51" s="516"/>
      <c r="B51" s="559"/>
      <c r="C51" s="355"/>
      <c r="D51" s="521"/>
      <c r="E51" s="357"/>
      <c r="F51" s="358">
        <f t="shared" si="4"/>
        <v>0</v>
      </c>
      <c r="G51" s="359" t="b">
        <f t="shared" si="5"/>
        <v>0</v>
      </c>
    </row>
    <row r="52" spans="1:7">
      <c r="A52" s="516"/>
      <c r="B52" s="559"/>
      <c r="C52" s="355"/>
      <c r="D52" s="521"/>
      <c r="E52" s="357"/>
      <c r="F52" s="358">
        <f t="shared" si="4"/>
        <v>0</v>
      </c>
      <c r="G52" s="359" t="b">
        <f t="shared" si="5"/>
        <v>0</v>
      </c>
    </row>
    <row r="53" spans="1:7">
      <c r="A53" s="516"/>
      <c r="B53" s="559"/>
      <c r="C53" s="355"/>
      <c r="D53" s="521"/>
      <c r="E53" s="357"/>
      <c r="F53" s="358">
        <f t="shared" si="4"/>
        <v>0</v>
      </c>
      <c r="G53" s="359" t="b">
        <f t="shared" si="5"/>
        <v>0</v>
      </c>
    </row>
    <row r="54" spans="1:7">
      <c r="A54" s="516"/>
      <c r="B54" s="559"/>
      <c r="C54" s="355"/>
      <c r="D54" s="521"/>
      <c r="E54" s="357"/>
      <c r="F54" s="358">
        <f t="shared" si="4"/>
        <v>0</v>
      </c>
      <c r="G54" s="359" t="b">
        <f t="shared" si="5"/>
        <v>0</v>
      </c>
    </row>
    <row r="55" spans="1:7">
      <c r="A55" s="516"/>
      <c r="B55" s="559"/>
      <c r="C55" s="355"/>
      <c r="D55" s="521"/>
      <c r="E55" s="357"/>
      <c r="F55" s="358">
        <f t="shared" si="4"/>
        <v>0</v>
      </c>
      <c r="G55" s="359" t="b">
        <f t="shared" si="5"/>
        <v>0</v>
      </c>
    </row>
    <row r="56" spans="1:7">
      <c r="A56" s="516"/>
      <c r="B56" s="559"/>
      <c r="C56" s="355"/>
      <c r="D56" s="521"/>
      <c r="E56" s="538"/>
      <c r="F56" s="358">
        <f t="shared" si="4"/>
        <v>0</v>
      </c>
      <c r="G56" s="359" t="b">
        <f t="shared" si="5"/>
        <v>0</v>
      </c>
    </row>
    <row r="57" spans="1:7">
      <c r="A57" s="516"/>
      <c r="B57" s="559"/>
      <c r="C57" s="361"/>
      <c r="D57" s="522"/>
      <c r="E57" s="363"/>
      <c r="F57" s="358">
        <f t="shared" si="4"/>
        <v>0</v>
      </c>
      <c r="G57" s="359" t="b">
        <f t="shared" si="5"/>
        <v>0</v>
      </c>
    </row>
    <row r="58" spans="1:7" ht="13.5" thickBot="1">
      <c r="A58" s="523"/>
      <c r="B58" s="559"/>
      <c r="C58" s="365"/>
      <c r="D58" s="524"/>
      <c r="E58" s="367"/>
      <c r="F58" s="358">
        <f t="shared" si="4"/>
        <v>0</v>
      </c>
      <c r="G58" s="359" t="b">
        <f t="shared" si="5"/>
        <v>0</v>
      </c>
    </row>
    <row r="59" spans="1:7" ht="13.5" thickBot="1">
      <c r="A59" s="525"/>
      <c r="B59" s="559"/>
      <c r="C59" s="370"/>
      <c r="D59" s="526"/>
      <c r="E59" s="372"/>
      <c r="F59" s="358">
        <f t="shared" si="4"/>
        <v>0</v>
      </c>
      <c r="G59" s="359" t="b">
        <f t="shared" si="5"/>
        <v>0</v>
      </c>
    </row>
    <row r="60" spans="1:7">
      <c r="A60" s="527"/>
      <c r="B60" s="559"/>
      <c r="C60" s="375"/>
      <c r="D60" s="528"/>
      <c r="E60" s="377"/>
      <c r="F60" s="358">
        <f t="shared" si="4"/>
        <v>0</v>
      </c>
      <c r="G60" s="359" t="b">
        <f t="shared" si="5"/>
        <v>0</v>
      </c>
    </row>
    <row r="61" spans="1:7">
      <c r="A61" s="516"/>
      <c r="B61" s="559"/>
      <c r="C61" s="355"/>
      <c r="D61" s="521"/>
      <c r="E61" s="357"/>
      <c r="F61" s="358">
        <f t="shared" si="4"/>
        <v>0</v>
      </c>
      <c r="G61" s="359" t="b">
        <f t="shared" si="5"/>
        <v>0</v>
      </c>
    </row>
    <row r="62" spans="1:7">
      <c r="A62" s="516"/>
      <c r="B62" s="559"/>
      <c r="C62" s="355"/>
      <c r="D62" s="521"/>
      <c r="E62" s="357"/>
      <c r="F62" s="358">
        <f t="shared" si="4"/>
        <v>0</v>
      </c>
      <c r="G62" s="359" t="b">
        <f t="shared" si="5"/>
        <v>0</v>
      </c>
    </row>
    <row r="63" spans="1:7">
      <c r="A63" s="516"/>
      <c r="B63" s="559"/>
      <c r="C63" s="355"/>
      <c r="D63" s="521"/>
      <c r="E63" s="357"/>
      <c r="F63" s="358">
        <f t="shared" si="4"/>
        <v>0</v>
      </c>
      <c r="G63" s="359" t="b">
        <f t="shared" si="5"/>
        <v>0</v>
      </c>
    </row>
    <row r="64" spans="1:7">
      <c r="A64" s="516"/>
      <c r="B64" s="559"/>
      <c r="C64" s="355"/>
      <c r="D64" s="521"/>
      <c r="E64" s="357"/>
      <c r="F64" s="358">
        <f t="shared" si="4"/>
        <v>0</v>
      </c>
      <c r="G64" s="359" t="b">
        <f t="shared" si="5"/>
        <v>0</v>
      </c>
    </row>
    <row r="65" spans="1:7">
      <c r="A65" s="516"/>
      <c r="B65" s="559"/>
      <c r="C65" s="355"/>
      <c r="D65" s="521"/>
      <c r="E65" s="357"/>
      <c r="F65" s="358">
        <f t="shared" si="4"/>
        <v>0</v>
      </c>
      <c r="G65" s="359" t="b">
        <f t="shared" si="5"/>
        <v>0</v>
      </c>
    </row>
    <row r="66" spans="1:7">
      <c r="A66" s="516"/>
      <c r="B66" s="559"/>
      <c r="C66" s="355"/>
      <c r="D66" s="521"/>
      <c r="E66" s="357"/>
      <c r="F66" s="358">
        <f t="shared" si="4"/>
        <v>0</v>
      </c>
      <c r="G66" s="359" t="b">
        <f t="shared" si="5"/>
        <v>0</v>
      </c>
    </row>
    <row r="67" spans="1:7">
      <c r="A67" s="516"/>
      <c r="B67" s="559"/>
      <c r="C67" s="355"/>
      <c r="D67" s="521"/>
      <c r="E67" s="357"/>
      <c r="F67" s="358">
        <f t="shared" si="4"/>
        <v>0</v>
      </c>
      <c r="G67" s="359" t="b">
        <f t="shared" si="5"/>
        <v>0</v>
      </c>
    </row>
    <row r="68" spans="1:7">
      <c r="A68" s="516"/>
      <c r="B68" s="559"/>
      <c r="C68" s="355"/>
      <c r="D68" s="521"/>
      <c r="E68" s="357"/>
      <c r="F68" s="358">
        <f t="shared" si="4"/>
        <v>0</v>
      </c>
      <c r="G68" s="359" t="b">
        <f t="shared" si="5"/>
        <v>0</v>
      </c>
    </row>
    <row r="69" spans="1:7">
      <c r="A69" s="516"/>
      <c r="B69" s="559"/>
      <c r="C69" s="355"/>
      <c r="D69" s="521"/>
      <c r="E69" s="357"/>
      <c r="F69" s="358">
        <f t="shared" si="4"/>
        <v>0</v>
      </c>
      <c r="G69" s="359"/>
    </row>
    <row r="70" spans="1:7">
      <c r="A70" s="516"/>
      <c r="B70" s="559"/>
      <c r="C70" s="355"/>
      <c r="D70" s="521"/>
      <c r="E70" s="357"/>
      <c r="F70" s="358">
        <f t="shared" si="4"/>
        <v>0</v>
      </c>
      <c r="G70" s="359"/>
    </row>
    <row r="71" spans="1:7">
      <c r="A71" s="516"/>
      <c r="B71" s="559"/>
      <c r="C71" s="355"/>
      <c r="D71" s="521"/>
      <c r="E71" s="357"/>
      <c r="F71" s="358">
        <f t="shared" si="4"/>
        <v>0</v>
      </c>
      <c r="G71" s="359"/>
    </row>
    <row r="72" spans="1:7">
      <c r="A72" s="516"/>
      <c r="B72" s="559"/>
      <c r="C72" s="355"/>
      <c r="D72" s="521"/>
      <c r="E72" s="357"/>
      <c r="F72" s="358">
        <f t="shared" si="4"/>
        <v>0</v>
      </c>
      <c r="G72" s="359"/>
    </row>
    <row r="73" spans="1:7">
      <c r="A73" s="516"/>
      <c r="B73" s="559"/>
      <c r="C73" s="355"/>
      <c r="D73" s="521"/>
      <c r="E73" s="357"/>
      <c r="F73" s="358">
        <f t="shared" si="4"/>
        <v>0</v>
      </c>
      <c r="G73" s="359"/>
    </row>
    <row r="74" spans="1:7">
      <c r="A74" s="516"/>
      <c r="B74" s="559"/>
      <c r="C74" s="355"/>
      <c r="D74" s="521"/>
      <c r="E74" s="357"/>
      <c r="F74" s="358">
        <f t="shared" si="4"/>
        <v>0</v>
      </c>
      <c r="G74" s="359"/>
    </row>
    <row r="75" spans="1:7">
      <c r="A75" s="516"/>
      <c r="B75" s="559"/>
      <c r="C75" s="355"/>
      <c r="D75" s="521"/>
      <c r="E75" s="357"/>
      <c r="F75" s="358">
        <f t="shared" si="4"/>
        <v>0</v>
      </c>
      <c r="G75" s="359"/>
    </row>
    <row r="76" spans="1:7">
      <c r="A76" s="516"/>
      <c r="B76" s="559"/>
      <c r="C76" s="355"/>
      <c r="D76" s="521"/>
      <c r="E76" s="357"/>
      <c r="F76" s="358">
        <f t="shared" si="4"/>
        <v>0</v>
      </c>
      <c r="G76" s="359"/>
    </row>
    <row r="77" spans="1:7">
      <c r="A77" s="516"/>
      <c r="B77" s="559"/>
      <c r="C77" s="355"/>
      <c r="D77" s="521"/>
      <c r="E77" s="357"/>
      <c r="F77" s="358">
        <f t="shared" si="4"/>
        <v>0</v>
      </c>
      <c r="G77" s="359"/>
    </row>
    <row r="78" spans="1:7">
      <c r="A78" s="516"/>
      <c r="B78" s="559"/>
      <c r="C78" s="355"/>
      <c r="D78" s="521"/>
      <c r="E78" s="357"/>
      <c r="F78" s="358">
        <f t="shared" si="4"/>
        <v>0</v>
      </c>
      <c r="G78" s="359"/>
    </row>
    <row r="79" spans="1:7">
      <c r="A79" s="516"/>
      <c r="B79" s="559"/>
      <c r="C79" s="355"/>
      <c r="D79" s="521"/>
      <c r="E79" s="357"/>
      <c r="F79" s="358">
        <f t="shared" si="4"/>
        <v>0</v>
      </c>
      <c r="G79" s="359"/>
    </row>
    <row r="80" spans="1:7">
      <c r="A80" s="516"/>
      <c r="B80" s="559"/>
      <c r="C80" s="355"/>
      <c r="D80" s="521"/>
      <c r="E80" s="357"/>
      <c r="F80" s="358">
        <f t="shared" si="4"/>
        <v>0</v>
      </c>
      <c r="G80" s="359"/>
    </row>
  </sheetData>
  <mergeCells count="6">
    <mergeCell ref="B1:C1"/>
    <mergeCell ref="D1:E1"/>
    <mergeCell ref="F1:G1"/>
    <mergeCell ref="B42:C42"/>
    <mergeCell ref="D42:E42"/>
    <mergeCell ref="F42:G42"/>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T23"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'[7]Projected Maint Practices'!Q7</f>
        <v>4913</v>
      </c>
      <c r="D6" s="264">
        <f>'[7]True Maint Practices'!Q7</f>
        <v>2827</v>
      </c>
    </row>
    <row r="7" spans="1:6" ht="15">
      <c r="B7" s="263">
        <v>2</v>
      </c>
      <c r="C7" s="264">
        <f>'[7]Projected Maint Practices'!Q8</f>
        <v>4913</v>
      </c>
      <c r="D7" s="264">
        <f>'[7]True Maint Practices'!Q8</f>
        <v>2499</v>
      </c>
    </row>
    <row r="8" spans="1:6" ht="15">
      <c r="B8" s="263">
        <v>3</v>
      </c>
      <c r="C8" s="264">
        <f>'[7]Projected Maint Practices'!Q9</f>
        <v>4913</v>
      </c>
      <c r="D8" s="264">
        <f>'[7]True Maint Practices'!Q9</f>
        <v>3530.5</v>
      </c>
    </row>
    <row r="9" spans="1:6" ht="15">
      <c r="B9" s="263">
        <v>4</v>
      </c>
      <c r="C9" s="264">
        <f>'[7]Projected Maint Practices'!Q10</f>
        <v>4913</v>
      </c>
      <c r="D9" s="264">
        <f>'[7]True Maint Practices'!Q10</f>
        <v>125</v>
      </c>
    </row>
    <row r="10" spans="1:6" ht="15">
      <c r="B10" s="263">
        <v>5</v>
      </c>
      <c r="C10" s="264">
        <f>'[7]Projected Maint Practices'!Q11</f>
        <v>17239.669999999998</v>
      </c>
      <c r="D10" s="264">
        <f>'[7]True Maint Practices'!Q11</f>
        <v>0</v>
      </c>
    </row>
    <row r="11" spans="1:6" ht="15">
      <c r="B11" s="263">
        <v>6</v>
      </c>
      <c r="C11" s="264">
        <f>'[7]Projected Maint Practices'!Q12</f>
        <v>4913</v>
      </c>
      <c r="D11" s="264">
        <f>'[7]True Maint Practices'!Q12</f>
        <v>0</v>
      </c>
    </row>
    <row r="12" spans="1:6" ht="15">
      <c r="B12" s="263">
        <v>7</v>
      </c>
      <c r="C12" s="264">
        <f>'[7]Projected Maint Practices'!Q13</f>
        <v>4913</v>
      </c>
      <c r="D12" s="264">
        <f>'[7]True Maint Practices'!Q13</f>
        <v>0</v>
      </c>
    </row>
    <row r="13" spans="1:6" ht="15">
      <c r="B13" s="263">
        <v>8</v>
      </c>
      <c r="C13" s="264">
        <f>'[7]Projected Maint Practices'!Q14</f>
        <v>4913</v>
      </c>
      <c r="D13" s="264">
        <f>'[7]True Maint Practices'!Q14</f>
        <v>0</v>
      </c>
    </row>
    <row r="14" spans="1:6" ht="15">
      <c r="B14" s="263">
        <v>9</v>
      </c>
      <c r="C14" s="264">
        <f>'[7]Projected Maint Practices'!Q15</f>
        <v>4913</v>
      </c>
      <c r="D14" s="264">
        <f>'[7]True Maint Practices'!Q15</f>
        <v>0</v>
      </c>
    </row>
    <row r="15" spans="1:6" ht="15">
      <c r="B15" s="263">
        <v>10</v>
      </c>
      <c r="C15" s="264">
        <f>'[7]Projected Maint Practices'!Q16</f>
        <v>4913</v>
      </c>
      <c r="D15" s="264">
        <f>'[7]True Maint Practices'!Q16</f>
        <v>0</v>
      </c>
    </row>
    <row r="16" spans="1:6" ht="15">
      <c r="B16" s="263">
        <v>11</v>
      </c>
      <c r="C16" s="264">
        <f>'[7]Projected Maint Practices'!Q17</f>
        <v>4913</v>
      </c>
      <c r="D16" s="264">
        <f>'[7]True Maint Practices'!Q17</f>
        <v>0</v>
      </c>
    </row>
    <row r="17" spans="2:4" ht="15">
      <c r="B17" s="263">
        <v>12</v>
      </c>
      <c r="C17" s="264">
        <f>'[7]Projected Maint Practices'!Q18</f>
        <v>4913</v>
      </c>
      <c r="D17" s="264">
        <f>'[7]True Maint Practices'!Q18</f>
        <v>0</v>
      </c>
    </row>
    <row r="18" spans="2:4" ht="15">
      <c r="B18" s="260" t="s">
        <v>1</v>
      </c>
      <c r="C18" s="264">
        <f>SUM(C6:C17)</f>
        <v>71282.67</v>
      </c>
      <c r="D18" s="264">
        <f>SUM(D6:D17)</f>
        <v>8981.5</v>
      </c>
    </row>
  </sheetData>
  <printOptions horizontalCentered="1" verticalCentered="1"/>
  <pageMargins left="0.5" right="0.5" top="0.75" bottom="0.75" header="0.5" footer="0.5"/>
  <pageSetup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5"/>
  <sheetViews>
    <sheetView showGridLines="0" topLeftCell="A4" zoomScaleNormal="100" workbookViewId="0">
      <selection activeCell="S17" sqref="A1:XFD1048576"/>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s="1" customFormat="1" ht="16.5" customHeight="1">
      <c r="C1" s="43"/>
      <c r="D1" s="43"/>
      <c r="E1" s="43"/>
      <c r="F1" s="43"/>
      <c r="G1" s="43"/>
      <c r="H1" s="43"/>
      <c r="I1" s="43"/>
      <c r="J1" s="43"/>
      <c r="K1" s="43"/>
      <c r="L1" s="43"/>
      <c r="M1" s="43"/>
      <c r="N1" s="43"/>
      <c r="O1" s="43"/>
      <c r="P1" s="43"/>
    </row>
    <row r="2" spans="2:22" s="1" customFormat="1" ht="31.5" customHeight="1">
      <c r="B2" s="184" t="s">
        <v>1655</v>
      </c>
      <c r="C2" s="43"/>
      <c r="D2" s="43"/>
      <c r="E2" s="43"/>
      <c r="F2" s="43"/>
      <c r="G2" s="43"/>
      <c r="H2" s="43"/>
      <c r="I2" s="43"/>
      <c r="J2" s="43"/>
      <c r="K2" s="43"/>
      <c r="L2" s="43"/>
      <c r="M2" s="43"/>
      <c r="N2" s="43"/>
      <c r="O2" s="43" t="s">
        <v>1528</v>
      </c>
      <c r="P2" s="43"/>
    </row>
    <row r="3" spans="2:22" s="1" customFormat="1" ht="16.5" customHeight="1">
      <c r="C3" s="43"/>
      <c r="D3" s="43"/>
      <c r="E3" s="43"/>
      <c r="F3" s="43"/>
      <c r="G3" s="43"/>
      <c r="H3" s="43"/>
      <c r="I3" s="43"/>
      <c r="J3" s="43"/>
      <c r="K3" s="43"/>
      <c r="L3" s="43"/>
      <c r="M3" s="43"/>
      <c r="N3" s="43"/>
      <c r="O3" s="43"/>
      <c r="P3" s="43"/>
    </row>
    <row r="12" spans="2:22" s="1" customFormat="1" ht="16.5" customHeight="1">
      <c r="V12" s="1" t="s">
        <v>32</v>
      </c>
    </row>
    <row r="18" spans="2:16" s="1" customFormat="1"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s="1" customFormat="1" ht="16.5" customHeight="1">
      <c r="B19" s="101" t="s">
        <v>17</v>
      </c>
      <c r="C19" s="8"/>
      <c r="D19" s="8"/>
      <c r="E19" s="8"/>
      <c r="F19" s="8"/>
      <c r="G19" s="8"/>
      <c r="H19" s="8"/>
      <c r="I19" s="8"/>
      <c r="J19" s="8"/>
      <c r="K19" s="8"/>
      <c r="L19" s="8"/>
      <c r="M19" s="30"/>
      <c r="N19" s="8"/>
      <c r="O19" s="4">
        <f t="shared" ref="O19:O38" si="0">SUM(C19:N19)</f>
        <v>0</v>
      </c>
      <c r="P19" s="102"/>
    </row>
    <row r="20" spans="2:16" s="1" customFormat="1" ht="16.5" customHeight="1">
      <c r="B20" s="101" t="s">
        <v>16</v>
      </c>
      <c r="C20" s="8"/>
      <c r="D20" s="8"/>
      <c r="E20" s="8"/>
      <c r="F20" s="8"/>
      <c r="G20" s="8"/>
      <c r="H20" s="8"/>
      <c r="I20" s="8"/>
      <c r="J20" s="8"/>
      <c r="K20" s="8"/>
      <c r="L20" s="8"/>
      <c r="M20" s="30"/>
      <c r="N20" s="8"/>
      <c r="O20" s="4">
        <f t="shared" si="0"/>
        <v>0</v>
      </c>
      <c r="P20" s="102"/>
    </row>
    <row r="21" spans="2:16" s="1" customFormat="1" ht="16.5" customHeight="1">
      <c r="B21" s="101" t="s">
        <v>15</v>
      </c>
      <c r="C21" s="8"/>
      <c r="D21" s="8"/>
      <c r="E21" s="8"/>
      <c r="F21" s="8"/>
      <c r="G21" s="8"/>
      <c r="H21" s="8"/>
      <c r="I21" s="8"/>
      <c r="J21" s="8"/>
      <c r="K21" s="8"/>
      <c r="L21" s="8"/>
      <c r="M21" s="30"/>
      <c r="N21" s="8"/>
      <c r="O21" s="4">
        <f t="shared" si="0"/>
        <v>0</v>
      </c>
      <c r="P21" s="102"/>
    </row>
    <row r="22" spans="2:16" s="1" customFormat="1" ht="16.5" customHeight="1">
      <c r="B22" s="101" t="s">
        <v>14</v>
      </c>
      <c r="C22" s="8"/>
      <c r="D22" s="8"/>
      <c r="E22" s="8"/>
      <c r="F22" s="8"/>
      <c r="G22" s="8"/>
      <c r="H22" s="8"/>
      <c r="I22" s="8"/>
      <c r="J22" s="8"/>
      <c r="K22" s="8"/>
      <c r="L22" s="8"/>
      <c r="M22" s="30"/>
      <c r="N22" s="8"/>
      <c r="O22" s="4">
        <f t="shared" si="0"/>
        <v>0</v>
      </c>
      <c r="P22" s="102"/>
    </row>
    <row r="23" spans="2:16" s="1" customFormat="1" ht="16.5" customHeight="1">
      <c r="B23" s="101" t="s">
        <v>13</v>
      </c>
      <c r="C23" s="8"/>
      <c r="D23" s="8"/>
      <c r="E23" s="8"/>
      <c r="F23" s="8"/>
      <c r="G23" s="8"/>
      <c r="H23" s="8"/>
      <c r="I23" s="8"/>
      <c r="J23" s="8"/>
      <c r="K23" s="8"/>
      <c r="L23" s="8"/>
      <c r="M23" s="30"/>
      <c r="N23" s="8"/>
      <c r="O23" s="4">
        <f t="shared" si="0"/>
        <v>0</v>
      </c>
      <c r="P23" s="102"/>
    </row>
    <row r="24" spans="2:16" s="1" customFormat="1" ht="16.5" customHeight="1">
      <c r="B24" s="103" t="s">
        <v>12</v>
      </c>
      <c r="C24" s="17"/>
      <c r="D24" s="17"/>
      <c r="E24" s="17"/>
      <c r="F24" s="17"/>
      <c r="G24" s="17"/>
      <c r="H24" s="17"/>
      <c r="I24" s="17"/>
      <c r="J24" s="17"/>
      <c r="K24" s="17"/>
      <c r="L24" s="17"/>
      <c r="M24" s="35"/>
      <c r="N24" s="17"/>
      <c r="O24" s="4">
        <f t="shared" si="0"/>
        <v>0</v>
      </c>
      <c r="P24" s="102"/>
    </row>
    <row r="25" spans="2:16" s="1" customFormat="1" ht="16.5" customHeight="1">
      <c r="B25" s="103" t="s">
        <v>11</v>
      </c>
      <c r="C25" s="17"/>
      <c r="D25" s="17"/>
      <c r="E25" s="17"/>
      <c r="F25" s="17"/>
      <c r="G25" s="17"/>
      <c r="H25" s="17"/>
      <c r="I25" s="17"/>
      <c r="J25" s="17"/>
      <c r="K25" s="17"/>
      <c r="L25" s="17"/>
      <c r="M25" s="35"/>
      <c r="N25" s="17"/>
      <c r="O25" s="4">
        <f t="shared" si="0"/>
        <v>0</v>
      </c>
      <c r="P25" s="102"/>
    </row>
    <row r="26" spans="2:16" s="1" customFormat="1" ht="16.5" customHeight="1">
      <c r="B26" s="103" t="s">
        <v>10</v>
      </c>
      <c r="C26" s="17"/>
      <c r="D26" s="17"/>
      <c r="E26" s="17"/>
      <c r="F26" s="17"/>
      <c r="G26" s="17"/>
      <c r="H26" s="17"/>
      <c r="I26" s="17"/>
      <c r="J26" s="17"/>
      <c r="K26" s="17"/>
      <c r="L26" s="17"/>
      <c r="M26" s="35"/>
      <c r="N26" s="17"/>
      <c r="O26" s="4">
        <f t="shared" si="0"/>
        <v>0</v>
      </c>
      <c r="P26" s="102"/>
    </row>
    <row r="27" spans="2:16" s="1" customFormat="1" ht="16.5" customHeight="1">
      <c r="B27" s="103" t="s">
        <v>9</v>
      </c>
      <c r="C27" s="17"/>
      <c r="D27" s="17"/>
      <c r="E27" s="17"/>
      <c r="F27" s="17"/>
      <c r="G27" s="17"/>
      <c r="H27" s="17"/>
      <c r="I27" s="17"/>
      <c r="J27" s="17"/>
      <c r="K27" s="17"/>
      <c r="L27" s="17"/>
      <c r="M27" s="35"/>
      <c r="N27" s="17"/>
      <c r="O27" s="4">
        <f t="shared" si="0"/>
        <v>0</v>
      </c>
      <c r="P27" s="102"/>
    </row>
    <row r="28" spans="2:16" s="1" customFormat="1" ht="16.5" hidden="1" customHeight="1">
      <c r="B28" s="103"/>
      <c r="C28" s="15"/>
      <c r="D28" s="15"/>
      <c r="E28" s="15"/>
      <c r="F28" s="15"/>
      <c r="G28" s="15"/>
      <c r="H28" s="15"/>
      <c r="I28" s="15"/>
      <c r="J28" s="15"/>
      <c r="K28" s="15"/>
      <c r="L28" s="15"/>
      <c r="M28" s="16"/>
      <c r="N28" s="15"/>
      <c r="O28" s="4">
        <f t="shared" si="0"/>
        <v>0</v>
      </c>
      <c r="P28" s="102"/>
    </row>
    <row r="29" spans="2:16" s="1" customFormat="1" ht="16.5" hidden="1" customHeight="1">
      <c r="B29" s="103"/>
      <c r="C29" s="15"/>
      <c r="D29" s="15"/>
      <c r="E29" s="15"/>
      <c r="F29" s="15"/>
      <c r="G29" s="15"/>
      <c r="H29" s="15"/>
      <c r="I29" s="15"/>
      <c r="J29" s="15"/>
      <c r="K29" s="15"/>
      <c r="L29" s="15"/>
      <c r="M29" s="16"/>
      <c r="N29" s="15"/>
      <c r="O29" s="4">
        <f t="shared" si="0"/>
        <v>0</v>
      </c>
      <c r="P29" s="102"/>
    </row>
    <row r="30" spans="2:16" s="1" customFormat="1" ht="16.5" hidden="1" customHeight="1">
      <c r="B30" s="103"/>
      <c r="C30" s="15"/>
      <c r="D30" s="15"/>
      <c r="E30" s="15"/>
      <c r="F30" s="15"/>
      <c r="G30" s="15"/>
      <c r="H30" s="15"/>
      <c r="I30" s="15"/>
      <c r="J30" s="15"/>
      <c r="K30" s="15"/>
      <c r="L30" s="15"/>
      <c r="M30" s="16"/>
      <c r="N30" s="15"/>
      <c r="O30" s="4">
        <f t="shared" si="0"/>
        <v>0</v>
      </c>
      <c r="P30" s="102"/>
    </row>
    <row r="31" spans="2:16" s="1" customFormat="1" ht="16.5" hidden="1" customHeight="1">
      <c r="B31" s="103"/>
      <c r="C31" s="15"/>
      <c r="D31" s="15"/>
      <c r="E31" s="15"/>
      <c r="F31" s="15"/>
      <c r="G31" s="15"/>
      <c r="H31" s="15"/>
      <c r="I31" s="15"/>
      <c r="J31" s="15"/>
      <c r="K31" s="15"/>
      <c r="L31" s="15"/>
      <c r="M31" s="16"/>
      <c r="N31" s="15"/>
      <c r="O31" s="4">
        <f t="shared" si="0"/>
        <v>0</v>
      </c>
      <c r="P31" s="102"/>
    </row>
    <row r="32" spans="2:16" s="1" customFormat="1" ht="16.5" customHeight="1">
      <c r="B32" s="103" t="s">
        <v>8</v>
      </c>
      <c r="C32" s="4"/>
      <c r="D32" s="4"/>
      <c r="E32" s="4"/>
      <c r="F32" s="4"/>
      <c r="G32" s="4"/>
      <c r="H32" s="4"/>
      <c r="I32" s="4"/>
      <c r="J32" s="4"/>
      <c r="K32" s="4"/>
      <c r="L32" s="4"/>
      <c r="M32" s="33"/>
      <c r="N32" s="4"/>
      <c r="O32" s="4">
        <f t="shared" si="0"/>
        <v>0</v>
      </c>
      <c r="P32" s="102"/>
    </row>
    <row r="33" spans="2:18" s="1" customFormat="1" ht="16.5" customHeight="1">
      <c r="B33" s="103" t="s">
        <v>7</v>
      </c>
      <c r="C33" s="12"/>
      <c r="D33" s="12"/>
      <c r="E33" s="12"/>
      <c r="F33" s="12"/>
      <c r="G33" s="12"/>
      <c r="H33" s="12"/>
      <c r="I33" s="12"/>
      <c r="J33" s="12"/>
      <c r="K33" s="12"/>
      <c r="L33" s="12"/>
      <c r="M33" s="32"/>
      <c r="N33" s="12"/>
      <c r="O33" s="4">
        <f t="shared" si="0"/>
        <v>0</v>
      </c>
      <c r="P33" s="102"/>
    </row>
    <row r="34" spans="2:18" s="1" customFormat="1" ht="16.5" customHeight="1">
      <c r="B34" s="103" t="s">
        <v>6</v>
      </c>
      <c r="C34" s="41"/>
      <c r="D34" s="41"/>
      <c r="E34" s="41"/>
      <c r="F34" s="41"/>
      <c r="G34" s="41"/>
      <c r="H34" s="41"/>
      <c r="I34" s="41"/>
      <c r="J34" s="41"/>
      <c r="K34" s="41"/>
      <c r="L34" s="41"/>
      <c r="M34" s="42"/>
      <c r="N34" s="41"/>
      <c r="O34" s="4">
        <f t="shared" si="0"/>
        <v>0</v>
      </c>
      <c r="P34" s="102"/>
    </row>
    <row r="35" spans="2:18" s="1" customFormat="1" ht="16.5" customHeight="1">
      <c r="B35" s="103" t="s">
        <v>5</v>
      </c>
      <c r="C35" s="8"/>
      <c r="D35" s="8"/>
      <c r="E35" s="8"/>
      <c r="F35" s="8"/>
      <c r="G35" s="8"/>
      <c r="H35" s="8"/>
      <c r="I35" s="8"/>
      <c r="J35" s="8"/>
      <c r="K35" s="8"/>
      <c r="L35" s="8"/>
      <c r="M35" s="30"/>
      <c r="N35" s="8"/>
      <c r="O35" s="4">
        <f t="shared" si="0"/>
        <v>0</v>
      </c>
      <c r="P35" s="102"/>
    </row>
    <row r="36" spans="2:18" s="1" customFormat="1" ht="16.5" customHeight="1">
      <c r="B36" s="103" t="s">
        <v>230</v>
      </c>
      <c r="C36" s="8"/>
      <c r="D36" s="8"/>
      <c r="E36" s="8"/>
      <c r="F36" s="8"/>
      <c r="G36" s="8"/>
      <c r="H36" s="8"/>
      <c r="I36" s="8"/>
      <c r="J36" s="8"/>
      <c r="K36" s="8"/>
      <c r="L36" s="8"/>
      <c r="M36" s="30"/>
      <c r="N36" s="8"/>
      <c r="O36" s="4">
        <f t="shared" si="0"/>
        <v>0</v>
      </c>
      <c r="P36" s="102"/>
    </row>
    <row r="37" spans="2:18" s="1" customFormat="1" ht="16.5" customHeight="1">
      <c r="B37" s="103" t="s">
        <v>1527</v>
      </c>
      <c r="C37" s="41"/>
      <c r="D37" s="41"/>
      <c r="E37" s="41"/>
      <c r="F37" s="41"/>
      <c r="G37" s="41"/>
      <c r="H37" s="41"/>
      <c r="I37" s="41"/>
      <c r="J37" s="41"/>
      <c r="K37" s="41"/>
      <c r="L37" s="41"/>
      <c r="M37" s="42"/>
      <c r="N37" s="41"/>
      <c r="O37" s="4">
        <f t="shared" si="0"/>
        <v>0</v>
      </c>
      <c r="P37" s="102"/>
    </row>
    <row r="38" spans="2:18" s="1" customFormat="1" ht="16.5" customHeight="1">
      <c r="B38" s="103" t="s">
        <v>2</v>
      </c>
      <c r="C38" s="5"/>
      <c r="D38" s="5"/>
      <c r="E38" s="5"/>
      <c r="F38" s="5"/>
      <c r="G38" s="5"/>
      <c r="H38" s="5"/>
      <c r="I38" s="5"/>
      <c r="J38" s="5"/>
      <c r="K38" s="5"/>
      <c r="L38" s="5"/>
      <c r="M38" s="29"/>
      <c r="N38" s="5"/>
      <c r="O38" s="4">
        <f t="shared" si="0"/>
        <v>0</v>
      </c>
      <c r="P38" s="102"/>
    </row>
    <row r="39" spans="2:18" s="1" customFormat="1" ht="16.5" customHeight="1">
      <c r="B39" s="103" t="s">
        <v>3</v>
      </c>
      <c r="C39" s="8"/>
      <c r="D39" s="8"/>
      <c r="E39" s="8"/>
      <c r="F39" s="8"/>
      <c r="G39" s="8"/>
      <c r="H39" s="8"/>
      <c r="I39" s="8"/>
      <c r="J39" s="8"/>
      <c r="K39" s="8"/>
      <c r="L39" s="8"/>
      <c r="M39" s="30"/>
      <c r="N39" s="8"/>
      <c r="O39" s="4">
        <f>[20]summary!$R$18</f>
        <v>0</v>
      </c>
      <c r="P39" s="102"/>
    </row>
    <row r="40" spans="2:18" s="1" customFormat="1" ht="16.5" customHeight="1">
      <c r="B40" s="101" t="s">
        <v>1</v>
      </c>
      <c r="C40" s="104">
        <f>SUBTOTAL(109,ExpenseSummary214227240[Jan])</f>
        <v>0</v>
      </c>
      <c r="D40" s="105">
        <f>SUBTOTAL(109,ExpenseSummary214227240[Feb])</f>
        <v>0</v>
      </c>
      <c r="E40" s="104">
        <f>SUBTOTAL(109,ExpenseSummary214227240[Mar])</f>
        <v>0</v>
      </c>
      <c r="F40" s="105">
        <f>SUBTOTAL(109,ExpenseSummary214227240[Apr])</f>
        <v>0</v>
      </c>
      <c r="G40" s="104">
        <f>SUBTOTAL(109,ExpenseSummary214227240[May])</f>
        <v>0</v>
      </c>
      <c r="H40" s="105">
        <f>SUBTOTAL(109,ExpenseSummary214227240[Jun])</f>
        <v>0</v>
      </c>
      <c r="I40" s="104">
        <f>SUBTOTAL(109,ExpenseSummary214227240[Jul])</f>
        <v>0</v>
      </c>
      <c r="J40" s="105">
        <f>SUBTOTAL(109,ExpenseSummary214227240[Aug])</f>
        <v>0</v>
      </c>
      <c r="K40" s="104">
        <f>SUBTOTAL(109,ExpenseSummary214227240[Sep])</f>
        <v>0</v>
      </c>
      <c r="L40" s="105">
        <f>SUBTOTAL(109,ExpenseSummary214227240[Oct])</f>
        <v>0</v>
      </c>
      <c r="M40" s="267">
        <f>SUBTOTAL(109,ExpenseSummary214227240[Nov])</f>
        <v>0</v>
      </c>
      <c r="N40" s="105">
        <f>SUBTOTAL(109,ExpenseSummary214227240[Dec])</f>
        <v>0</v>
      </c>
      <c r="O40" s="106">
        <f>SUBTOTAL(109,ExpenseSummary214227240[Total])</f>
        <v>0</v>
      </c>
      <c r="P40" s="102"/>
    </row>
    <row r="41" spans="2:18" s="1" customFormat="1" ht="16.5" customHeight="1">
      <c r="B41" s="28"/>
      <c r="C41" s="28"/>
      <c r="E41" s="555" t="s">
        <v>1526</v>
      </c>
      <c r="F41" s="555"/>
      <c r="G41" s="47"/>
    </row>
    <row r="43" spans="2:18" s="1" customFormat="1" ht="16.5" customHeight="1">
      <c r="B43" s="47"/>
      <c r="C43" s="47"/>
    </row>
    <row r="44" spans="2:18" s="1" customFormat="1" ht="16.5" customHeight="1">
      <c r="B44" s="47"/>
      <c r="C44" s="47"/>
    </row>
    <row r="45" spans="2:18" s="1" customFormat="1" ht="16.5" customHeight="1">
      <c r="B45" s="268"/>
      <c r="C45" s="268"/>
      <c r="D45" s="269"/>
      <c r="E45" s="270" t="s">
        <v>118</v>
      </c>
      <c r="F45" s="270"/>
      <c r="G45" s="270"/>
      <c r="H45" s="270"/>
      <c r="I45" s="270"/>
      <c r="J45" s="270"/>
      <c r="K45" s="270"/>
      <c r="L45" s="270"/>
      <c r="M45" s="270"/>
      <c r="N45" s="270"/>
      <c r="O45" s="270"/>
      <c r="P45" s="270"/>
      <c r="Q45" s="270"/>
      <c r="R45" s="270"/>
    </row>
    <row r="46" spans="2:18" s="1" customFormat="1" ht="16.5" customHeight="1">
      <c r="B46" s="271" t="s">
        <v>1422</v>
      </c>
      <c r="C46" s="272" t="s">
        <v>1561</v>
      </c>
      <c r="D46" s="269"/>
      <c r="E46" s="273" t="s">
        <v>1816</v>
      </c>
      <c r="F46" s="273"/>
      <c r="G46" s="273"/>
      <c r="H46" s="273"/>
      <c r="I46" s="273"/>
      <c r="J46" s="273"/>
      <c r="K46" s="273"/>
      <c r="L46" s="273"/>
      <c r="M46" s="273"/>
      <c r="N46" s="273"/>
      <c r="O46" s="273"/>
      <c r="P46" s="273"/>
      <c r="Q46" s="273"/>
      <c r="R46" s="273"/>
    </row>
    <row r="47" spans="2:18" s="1" customFormat="1" ht="16.5" customHeight="1">
      <c r="B47" s="274" t="s">
        <v>115</v>
      </c>
      <c r="C47" s="275" t="s">
        <v>289</v>
      </c>
      <c r="D47" s="269"/>
      <c r="E47" s="270" t="s">
        <v>113</v>
      </c>
      <c r="F47" s="270"/>
      <c r="G47" s="270"/>
      <c r="H47" s="270"/>
      <c r="I47" s="270"/>
      <c r="J47" s="270"/>
      <c r="K47" s="270"/>
      <c r="L47" s="270"/>
      <c r="M47" s="270"/>
      <c r="N47" s="270"/>
      <c r="O47" s="270"/>
      <c r="P47" s="270"/>
      <c r="Q47" s="270"/>
      <c r="R47" s="270"/>
    </row>
    <row r="48" spans="2:18" s="1" customFormat="1" ht="16.5" customHeight="1" thickBot="1">
      <c r="B48" s="274" t="s">
        <v>112</v>
      </c>
      <c r="C48" s="276">
        <v>133494</v>
      </c>
      <c r="D48" s="268"/>
      <c r="E48" s="273" t="s">
        <v>1377</v>
      </c>
      <c r="F48" s="273"/>
      <c r="G48" s="273"/>
      <c r="H48" s="273"/>
      <c r="I48" s="273"/>
      <c r="J48" s="273"/>
      <c r="K48" s="273"/>
      <c r="L48" s="273"/>
      <c r="M48" s="273"/>
      <c r="N48" s="273"/>
      <c r="O48" s="273"/>
      <c r="P48" s="273"/>
      <c r="Q48" s="273"/>
      <c r="R48" s="273"/>
    </row>
    <row r="49" spans="2:18" s="1" customFormat="1" ht="16.5" customHeight="1">
      <c r="B49" s="274" t="s">
        <v>110</v>
      </c>
      <c r="C49" s="277"/>
      <c r="D49" s="260"/>
      <c r="E49" s="278" t="s">
        <v>109</v>
      </c>
      <c r="F49" s="279" t="s">
        <v>108</v>
      </c>
      <c r="G49" s="280"/>
      <c r="H49" s="279" t="s">
        <v>107</v>
      </c>
      <c r="I49" s="280"/>
      <c r="J49" s="279" t="s">
        <v>106</v>
      </c>
      <c r="K49" s="280"/>
      <c r="L49" s="279" t="s">
        <v>105</v>
      </c>
      <c r="M49" s="280"/>
      <c r="N49" s="279" t="s">
        <v>96</v>
      </c>
      <c r="O49" s="280"/>
      <c r="P49" s="279" t="s">
        <v>104</v>
      </c>
      <c r="Q49" s="280"/>
      <c r="R49" s="281" t="s">
        <v>103</v>
      </c>
    </row>
    <row r="50" spans="2:18" s="1" customFormat="1" ht="16.5" customHeight="1">
      <c r="B50" s="282" t="s">
        <v>102</v>
      </c>
      <c r="C50" s="283">
        <v>283</v>
      </c>
      <c r="D50" s="262"/>
      <c r="E50" s="284"/>
      <c r="F50" s="285" t="s">
        <v>101</v>
      </c>
      <c r="G50" s="286" t="s">
        <v>100</v>
      </c>
      <c r="H50" s="285" t="s">
        <v>101</v>
      </c>
      <c r="I50" s="286" t="s">
        <v>100</v>
      </c>
      <c r="J50" s="285" t="s">
        <v>101</v>
      </c>
      <c r="K50" s="286" t="s">
        <v>100</v>
      </c>
      <c r="L50" s="287" t="s">
        <v>101</v>
      </c>
      <c r="M50" s="405" t="s">
        <v>100</v>
      </c>
      <c r="N50" s="287" t="s">
        <v>101</v>
      </c>
      <c r="O50" s="286" t="s">
        <v>100</v>
      </c>
      <c r="P50" s="287" t="s">
        <v>101</v>
      </c>
      <c r="Q50" s="286" t="s">
        <v>100</v>
      </c>
      <c r="R50" s="284"/>
    </row>
    <row r="51" spans="2:18" s="1" customFormat="1" ht="16.5" customHeight="1">
      <c r="B51" s="274" t="s">
        <v>99</v>
      </c>
      <c r="C51" s="288">
        <v>6867</v>
      </c>
      <c r="D51" s="260"/>
      <c r="E51" s="289" t="s">
        <v>87</v>
      </c>
      <c r="F51" s="290">
        <v>7</v>
      </c>
      <c r="G51" s="291">
        <f t="shared" ref="G51:G62" si="1">SUM($B$6*F51)*C63</f>
        <v>0</v>
      </c>
      <c r="H51" s="292"/>
      <c r="I51" s="291">
        <f>IF(H51&gt;0,($B$7*C63),0)</f>
        <v>0</v>
      </c>
      <c r="J51" s="293"/>
      <c r="K51" s="291">
        <f>IF(J51&gt;0,($B$8*C63),0)</f>
        <v>0</v>
      </c>
      <c r="L51" s="292">
        <v>2</v>
      </c>
      <c r="M51" s="406">
        <f t="shared" ref="M51:M62" si="2">IF(L51&gt;0,($B$9*L51),0)</f>
        <v>0</v>
      </c>
      <c r="N51" s="294">
        <v>2</v>
      </c>
      <c r="O51" s="291">
        <f t="shared" ref="O51:O62" si="3">IF(N51&gt;0,($B$10*N51),0)</f>
        <v>0</v>
      </c>
      <c r="P51" s="295">
        <v>2</v>
      </c>
      <c r="Q51" s="291">
        <f t="shared" ref="Q51:Q62" si="4">SUM(P51*$B$17)*C63</f>
        <v>0</v>
      </c>
      <c r="R51" s="296">
        <f t="shared" ref="R51:R62" si="5">SUM(Q51+O51+M51+K51+I51+G51)</f>
        <v>0</v>
      </c>
    </row>
    <row r="52" spans="2:18" s="1" customFormat="1" ht="16.5" customHeight="1">
      <c r="B52" s="274" t="s">
        <v>98</v>
      </c>
      <c r="C52" s="288">
        <v>5460</v>
      </c>
      <c r="D52" s="260"/>
      <c r="E52" s="289" t="s">
        <v>86</v>
      </c>
      <c r="F52" s="290">
        <v>7</v>
      </c>
      <c r="G52" s="291">
        <f t="shared" si="1"/>
        <v>0</v>
      </c>
      <c r="H52" s="292"/>
      <c r="I52" s="291">
        <f>IF(H52&gt;0,($B$7*C64),0)</f>
        <v>0</v>
      </c>
      <c r="J52" s="293"/>
      <c r="K52" s="291">
        <f>IF(J52&gt;0,($B$8*C64),0)</f>
        <v>0</v>
      </c>
      <c r="L52" s="292">
        <v>2</v>
      </c>
      <c r="M52" s="406">
        <f t="shared" si="2"/>
        <v>0</v>
      </c>
      <c r="N52" s="294">
        <v>2</v>
      </c>
      <c r="O52" s="291">
        <f t="shared" si="3"/>
        <v>0</v>
      </c>
      <c r="P52" s="295">
        <v>2</v>
      </c>
      <c r="Q52" s="291">
        <f t="shared" si="4"/>
        <v>0</v>
      </c>
      <c r="R52" s="296">
        <f t="shared" si="5"/>
        <v>0</v>
      </c>
    </row>
    <row r="53" spans="2:18" s="1" customFormat="1" ht="16.5" customHeight="1">
      <c r="B53" s="407" t="s">
        <v>97</v>
      </c>
      <c r="C53" s="288">
        <v>324</v>
      </c>
      <c r="D53" s="260"/>
      <c r="E53" s="289" t="s">
        <v>84</v>
      </c>
      <c r="F53" s="290">
        <v>7</v>
      </c>
      <c r="G53" s="291">
        <f t="shared" si="1"/>
        <v>0</v>
      </c>
      <c r="H53" s="292"/>
      <c r="I53" s="291">
        <f>IF(H53&gt;0,($B$7*C65),0)</f>
        <v>0</v>
      </c>
      <c r="J53" s="293"/>
      <c r="K53" s="291">
        <f>IF(J53&gt;0,($B$8*C65),0)</f>
        <v>0</v>
      </c>
      <c r="L53" s="292">
        <v>2</v>
      </c>
      <c r="M53" s="406">
        <f t="shared" si="2"/>
        <v>0</v>
      </c>
      <c r="N53" s="294">
        <v>2</v>
      </c>
      <c r="O53" s="291">
        <f t="shared" si="3"/>
        <v>0</v>
      </c>
      <c r="P53" s="295">
        <v>2</v>
      </c>
      <c r="Q53" s="291">
        <f t="shared" si="4"/>
        <v>0</v>
      </c>
      <c r="R53" s="296">
        <f t="shared" si="5"/>
        <v>0</v>
      </c>
    </row>
    <row r="54" spans="2:18" s="1" customFormat="1" ht="16.5" customHeight="1">
      <c r="B54" s="408" t="s">
        <v>96</v>
      </c>
      <c r="C54" s="288">
        <v>1050</v>
      </c>
      <c r="D54" s="260"/>
      <c r="E54" s="289" t="s">
        <v>83</v>
      </c>
      <c r="F54" s="290">
        <v>7</v>
      </c>
      <c r="G54" s="291">
        <f t="shared" si="1"/>
        <v>0</v>
      </c>
      <c r="H54" s="292"/>
      <c r="I54" s="291">
        <f>IF(H54&gt;0,($B$7*C66),0)</f>
        <v>0</v>
      </c>
      <c r="J54" s="293"/>
      <c r="K54" s="291">
        <f>IF(J54&gt;0,($B$8*C66),0)</f>
        <v>0</v>
      </c>
      <c r="L54" s="292">
        <v>2</v>
      </c>
      <c r="M54" s="406">
        <f t="shared" si="2"/>
        <v>0</v>
      </c>
      <c r="N54" s="294">
        <v>2</v>
      </c>
      <c r="O54" s="291">
        <f t="shared" si="3"/>
        <v>0</v>
      </c>
      <c r="P54" s="295">
        <v>2</v>
      </c>
      <c r="Q54" s="291">
        <f t="shared" si="4"/>
        <v>0</v>
      </c>
      <c r="R54" s="296">
        <f t="shared" si="5"/>
        <v>0</v>
      </c>
    </row>
    <row r="55" spans="2:18" s="1" customFormat="1" ht="16.5" customHeight="1">
      <c r="B55" s="274" t="s">
        <v>95</v>
      </c>
      <c r="C55" s="141">
        <v>35000</v>
      </c>
      <c r="D55" s="260"/>
      <c r="E55" s="289" t="s">
        <v>82</v>
      </c>
      <c r="F55" s="290">
        <v>7</v>
      </c>
      <c r="G55" s="291">
        <f t="shared" si="1"/>
        <v>0</v>
      </c>
      <c r="H55" s="292"/>
      <c r="I55" s="291">
        <v>6866.67</v>
      </c>
      <c r="J55" s="293"/>
      <c r="K55" s="291">
        <v>5460</v>
      </c>
      <c r="L55" s="292">
        <v>2</v>
      </c>
      <c r="M55" s="406">
        <f t="shared" si="2"/>
        <v>0</v>
      </c>
      <c r="N55" s="294">
        <v>2</v>
      </c>
      <c r="O55" s="291">
        <f t="shared" si="3"/>
        <v>0</v>
      </c>
      <c r="P55" s="295">
        <v>2</v>
      </c>
      <c r="Q55" s="291">
        <f t="shared" si="4"/>
        <v>0</v>
      </c>
      <c r="R55" s="296">
        <f t="shared" si="5"/>
        <v>12326.67</v>
      </c>
    </row>
    <row r="56" spans="2:18" s="1" customFormat="1" ht="16.5" customHeight="1">
      <c r="B56" s="274" t="s">
        <v>94</v>
      </c>
      <c r="C56" s="141">
        <v>5000</v>
      </c>
      <c r="D56" s="260"/>
      <c r="E56" s="289" t="s">
        <v>80</v>
      </c>
      <c r="F56" s="290">
        <v>7</v>
      </c>
      <c r="G56" s="291">
        <f t="shared" si="1"/>
        <v>0</v>
      </c>
      <c r="H56" s="292"/>
      <c r="I56" s="291">
        <f t="shared" ref="I56:I62" si="6">IF(H56&gt;0,($B$7*C68),0)</f>
        <v>0</v>
      </c>
      <c r="J56" s="293"/>
      <c r="K56" s="291">
        <f t="shared" ref="K56:K62" si="7">IF(J56&gt;0,($B$8*C68),0)</f>
        <v>0</v>
      </c>
      <c r="L56" s="292">
        <v>2</v>
      </c>
      <c r="M56" s="406">
        <f t="shared" si="2"/>
        <v>0</v>
      </c>
      <c r="N56" s="294">
        <v>2</v>
      </c>
      <c r="O56" s="291">
        <f t="shared" si="3"/>
        <v>0</v>
      </c>
      <c r="P56" s="295">
        <v>2</v>
      </c>
      <c r="Q56" s="291">
        <f t="shared" si="4"/>
        <v>0</v>
      </c>
      <c r="R56" s="296">
        <f t="shared" si="5"/>
        <v>0</v>
      </c>
    </row>
    <row r="57" spans="2:18" s="1" customFormat="1" ht="16.5" customHeight="1">
      <c r="B57" s="274" t="s">
        <v>93</v>
      </c>
      <c r="C57" s="141">
        <v>175000</v>
      </c>
      <c r="D57" s="260"/>
      <c r="E57" s="289" t="s">
        <v>79</v>
      </c>
      <c r="F57" s="290">
        <v>7</v>
      </c>
      <c r="G57" s="291">
        <f t="shared" si="1"/>
        <v>0</v>
      </c>
      <c r="H57" s="292"/>
      <c r="I57" s="291">
        <f t="shared" si="6"/>
        <v>0</v>
      </c>
      <c r="J57" s="293"/>
      <c r="K57" s="291">
        <f t="shared" si="7"/>
        <v>0</v>
      </c>
      <c r="L57" s="292">
        <v>2</v>
      </c>
      <c r="M57" s="406">
        <f t="shared" si="2"/>
        <v>0</v>
      </c>
      <c r="N57" s="294">
        <v>2</v>
      </c>
      <c r="O57" s="291">
        <f t="shared" si="3"/>
        <v>0</v>
      </c>
      <c r="P57" s="295">
        <v>2</v>
      </c>
      <c r="Q57" s="291">
        <f t="shared" si="4"/>
        <v>0</v>
      </c>
      <c r="R57" s="296">
        <f t="shared" si="5"/>
        <v>0</v>
      </c>
    </row>
    <row r="58" spans="2:18" s="1" customFormat="1" ht="16.5" customHeight="1">
      <c r="B58" s="274" t="s">
        <v>92</v>
      </c>
      <c r="C58" s="141">
        <v>175000</v>
      </c>
      <c r="D58" s="260"/>
      <c r="E58" s="289" t="s">
        <v>78</v>
      </c>
      <c r="F58" s="290">
        <v>7</v>
      </c>
      <c r="G58" s="291">
        <f t="shared" si="1"/>
        <v>0</v>
      </c>
      <c r="H58" s="292"/>
      <c r="I58" s="291">
        <f t="shared" si="6"/>
        <v>0</v>
      </c>
      <c r="J58" s="293"/>
      <c r="K58" s="291">
        <f t="shared" si="7"/>
        <v>0</v>
      </c>
      <c r="L58" s="292">
        <v>2</v>
      </c>
      <c r="M58" s="406">
        <f t="shared" si="2"/>
        <v>0</v>
      </c>
      <c r="N58" s="294">
        <v>2</v>
      </c>
      <c r="O58" s="291">
        <f t="shared" si="3"/>
        <v>0</v>
      </c>
      <c r="P58" s="295">
        <v>2</v>
      </c>
      <c r="Q58" s="291">
        <f t="shared" si="4"/>
        <v>0</v>
      </c>
      <c r="R58" s="296">
        <f t="shared" si="5"/>
        <v>0</v>
      </c>
    </row>
    <row r="59" spans="2:18" s="1" customFormat="1" ht="16.5" customHeight="1">
      <c r="B59" s="274" t="s">
        <v>91</v>
      </c>
      <c r="C59" s="141">
        <v>12000</v>
      </c>
      <c r="D59" s="260"/>
      <c r="E59" s="289" t="s">
        <v>77</v>
      </c>
      <c r="F59" s="290">
        <v>7</v>
      </c>
      <c r="G59" s="291">
        <f t="shared" si="1"/>
        <v>0</v>
      </c>
      <c r="H59" s="292"/>
      <c r="I59" s="291">
        <f t="shared" si="6"/>
        <v>0</v>
      </c>
      <c r="J59" s="293"/>
      <c r="K59" s="291">
        <f t="shared" si="7"/>
        <v>0</v>
      </c>
      <c r="L59" s="292">
        <v>2</v>
      </c>
      <c r="M59" s="406">
        <f t="shared" si="2"/>
        <v>0</v>
      </c>
      <c r="N59" s="294">
        <v>2</v>
      </c>
      <c r="O59" s="291">
        <f t="shared" si="3"/>
        <v>0</v>
      </c>
      <c r="P59" s="295">
        <v>2</v>
      </c>
      <c r="Q59" s="291">
        <f t="shared" si="4"/>
        <v>0</v>
      </c>
      <c r="R59" s="296">
        <f t="shared" si="5"/>
        <v>0</v>
      </c>
    </row>
    <row r="60" spans="2:18" s="1" customFormat="1" ht="16.5" customHeight="1">
      <c r="B60" s="274" t="s">
        <v>90</v>
      </c>
      <c r="C60" s="141">
        <v>25000</v>
      </c>
      <c r="D60" s="260"/>
      <c r="E60" s="289" t="s">
        <v>76</v>
      </c>
      <c r="F60" s="290">
        <v>7</v>
      </c>
      <c r="G60" s="291">
        <f t="shared" si="1"/>
        <v>0</v>
      </c>
      <c r="H60" s="292"/>
      <c r="I60" s="291">
        <f t="shared" si="6"/>
        <v>0</v>
      </c>
      <c r="J60" s="293"/>
      <c r="K60" s="291">
        <f t="shared" si="7"/>
        <v>0</v>
      </c>
      <c r="L60" s="292">
        <v>2</v>
      </c>
      <c r="M60" s="406">
        <f t="shared" si="2"/>
        <v>0</v>
      </c>
      <c r="N60" s="294">
        <v>2</v>
      </c>
      <c r="O60" s="291">
        <f t="shared" si="3"/>
        <v>0</v>
      </c>
      <c r="P60" s="295">
        <v>2</v>
      </c>
      <c r="Q60" s="291">
        <f t="shared" si="4"/>
        <v>0</v>
      </c>
      <c r="R60" s="296">
        <f t="shared" si="5"/>
        <v>0</v>
      </c>
    </row>
    <row r="61" spans="2:18" s="1" customFormat="1" ht="16.5" customHeight="1">
      <c r="B61" s="297" t="s">
        <v>89</v>
      </c>
      <c r="C61" s="298">
        <v>92</v>
      </c>
      <c r="D61" s="260"/>
      <c r="E61" s="289" t="s">
        <v>75</v>
      </c>
      <c r="F61" s="290">
        <v>7</v>
      </c>
      <c r="G61" s="291">
        <f t="shared" si="1"/>
        <v>0</v>
      </c>
      <c r="H61" s="292"/>
      <c r="I61" s="291">
        <f t="shared" si="6"/>
        <v>0</v>
      </c>
      <c r="J61" s="293"/>
      <c r="K61" s="291">
        <f t="shared" si="7"/>
        <v>0</v>
      </c>
      <c r="L61" s="292">
        <v>2</v>
      </c>
      <c r="M61" s="406">
        <f t="shared" si="2"/>
        <v>0</v>
      </c>
      <c r="N61" s="294">
        <v>2</v>
      </c>
      <c r="O61" s="291">
        <f t="shared" si="3"/>
        <v>0</v>
      </c>
      <c r="P61" s="295">
        <v>2</v>
      </c>
      <c r="Q61" s="291">
        <f t="shared" si="4"/>
        <v>0</v>
      </c>
      <c r="R61" s="296">
        <f t="shared" si="5"/>
        <v>0</v>
      </c>
    </row>
    <row r="62" spans="2:18" s="1" customFormat="1" ht="16.5" customHeight="1">
      <c r="B62" s="299" t="s">
        <v>88</v>
      </c>
      <c r="C62" s="300"/>
      <c r="D62" s="260"/>
      <c r="E62" s="289" t="s">
        <v>74</v>
      </c>
      <c r="F62" s="290">
        <v>7</v>
      </c>
      <c r="G62" s="291">
        <f t="shared" si="1"/>
        <v>0</v>
      </c>
      <c r="H62" s="292"/>
      <c r="I62" s="291">
        <f t="shared" si="6"/>
        <v>0</v>
      </c>
      <c r="J62" s="293"/>
      <c r="K62" s="291">
        <f t="shared" si="7"/>
        <v>0</v>
      </c>
      <c r="L62" s="292">
        <v>2</v>
      </c>
      <c r="M62" s="406">
        <f t="shared" si="2"/>
        <v>0</v>
      </c>
      <c r="N62" s="294">
        <v>2</v>
      </c>
      <c r="O62" s="291">
        <f t="shared" si="3"/>
        <v>0</v>
      </c>
      <c r="P62" s="295">
        <v>2</v>
      </c>
      <c r="Q62" s="291">
        <f t="shared" si="4"/>
        <v>0</v>
      </c>
      <c r="R62" s="296">
        <f t="shared" si="5"/>
        <v>0</v>
      </c>
    </row>
    <row r="63" spans="2:18" s="1" customFormat="1" ht="16.5" customHeight="1">
      <c r="B63" s="513" t="s">
        <v>87</v>
      </c>
      <c r="C63" s="514">
        <v>1</v>
      </c>
      <c r="D63" s="260"/>
      <c r="E63" s="303"/>
      <c r="F63" s="304"/>
      <c r="G63" s="305"/>
      <c r="H63" s="306"/>
      <c r="I63" s="307"/>
      <c r="J63" s="308"/>
      <c r="K63" s="307"/>
      <c r="L63" s="306"/>
      <c r="M63" s="409"/>
      <c r="N63" s="304"/>
      <c r="O63" s="305"/>
      <c r="P63" s="306"/>
      <c r="Q63" s="307"/>
      <c r="R63" s="309"/>
    </row>
    <row r="64" spans="2:18" s="1" customFormat="1" ht="16.5" customHeight="1" thickBot="1">
      <c r="B64" s="513" t="s">
        <v>86</v>
      </c>
      <c r="C64" s="513">
        <f t="shared" ref="C64:C74" si="8">SUM(C63+(C63*$B$5))</f>
        <v>1</v>
      </c>
      <c r="D64" s="260"/>
      <c r="E64" s="310" t="s">
        <v>85</v>
      </c>
      <c r="F64" s="311"/>
      <c r="G64" s="312">
        <f>SUM(G51:G62)</f>
        <v>0</v>
      </c>
      <c r="H64" s="313"/>
      <c r="I64" s="312">
        <f>SUM(I51:I62)</f>
        <v>6866.67</v>
      </c>
      <c r="J64" s="314"/>
      <c r="K64" s="312">
        <f>SUM(K51:K62)</f>
        <v>5460</v>
      </c>
      <c r="L64" s="313"/>
      <c r="M64" s="410">
        <f>SUM(M51:M62)</f>
        <v>0</v>
      </c>
      <c r="N64" s="315"/>
      <c r="O64" s="312">
        <f>SUM(O51:O62)</f>
        <v>0</v>
      </c>
      <c r="P64" s="313"/>
      <c r="Q64" s="312">
        <f>SUM(Q51:Q62)</f>
        <v>0</v>
      </c>
      <c r="R64" s="316">
        <f>SUM(R51:R62)</f>
        <v>12326.67</v>
      </c>
    </row>
    <row r="65" spans="2:18" s="1" customFormat="1" ht="16.5" customHeight="1" thickTop="1" thickBot="1">
      <c r="B65" s="513" t="s">
        <v>84</v>
      </c>
      <c r="C65" s="513">
        <f t="shared" si="8"/>
        <v>1</v>
      </c>
      <c r="D65" s="269"/>
      <c r="E65" s="317"/>
      <c r="F65" s="318"/>
      <c r="G65" s="319"/>
      <c r="H65" s="320"/>
      <c r="I65" s="319"/>
      <c r="J65" s="321"/>
      <c r="K65" s="319"/>
      <c r="L65" s="320"/>
      <c r="M65" s="411"/>
      <c r="N65" s="318"/>
      <c r="O65" s="322"/>
      <c r="P65" s="320"/>
      <c r="Q65" s="319"/>
      <c r="R65" s="323"/>
    </row>
    <row r="66" spans="2:18" s="1" customFormat="1" ht="16.5" customHeight="1">
      <c r="B66" s="513" t="s">
        <v>83</v>
      </c>
      <c r="C66" s="515">
        <f t="shared" si="8"/>
        <v>1</v>
      </c>
      <c r="D66" s="269"/>
      <c r="E66" s="269"/>
      <c r="F66" s="325"/>
      <c r="G66" s="269"/>
      <c r="H66" s="326"/>
      <c r="I66" s="269"/>
      <c r="J66" s="327"/>
      <c r="K66" s="269"/>
      <c r="L66" s="326"/>
      <c r="M66" s="412"/>
      <c r="N66" s="325"/>
      <c r="O66" s="269"/>
      <c r="P66" s="326"/>
      <c r="Q66" s="269"/>
      <c r="R66" s="269"/>
    </row>
    <row r="67" spans="2:18" s="1" customFormat="1" ht="16.5" customHeight="1">
      <c r="B67" s="513" t="s">
        <v>82</v>
      </c>
      <c r="C67" s="515">
        <f t="shared" si="8"/>
        <v>1</v>
      </c>
      <c r="D67" s="269"/>
      <c r="E67" s="269" t="s">
        <v>81</v>
      </c>
      <c r="F67" s="325"/>
      <c r="G67" s="269"/>
      <c r="H67" s="326"/>
      <c r="I67" s="269"/>
      <c r="J67" s="327"/>
      <c r="K67" s="269"/>
      <c r="L67" s="326"/>
      <c r="M67" s="412"/>
      <c r="N67" s="325"/>
      <c r="O67" s="269"/>
      <c r="P67" s="326"/>
      <c r="Q67" s="269"/>
      <c r="R67" s="269"/>
    </row>
    <row r="68" spans="2:18" s="1" customFormat="1" ht="16.5" customHeight="1">
      <c r="B68" s="513" t="s">
        <v>80</v>
      </c>
      <c r="C68" s="515">
        <f t="shared" si="8"/>
        <v>1</v>
      </c>
      <c r="D68" s="269"/>
      <c r="E68" s="269"/>
      <c r="F68" s="325"/>
      <c r="G68" s="269"/>
      <c r="H68" s="326"/>
      <c r="I68" s="269"/>
      <c r="J68" s="327"/>
      <c r="K68" s="269"/>
      <c r="L68" s="326"/>
      <c r="M68" s="412"/>
      <c r="N68" s="325"/>
      <c r="O68" s="269"/>
      <c r="P68" s="326"/>
      <c r="Q68" s="269"/>
      <c r="R68" s="269"/>
    </row>
    <row r="69" spans="2:18" s="1" customFormat="1" ht="16.5" customHeight="1">
      <c r="B69" s="513" t="s">
        <v>79</v>
      </c>
      <c r="C69" s="515">
        <f t="shared" si="8"/>
        <v>1</v>
      </c>
      <c r="D69" s="269"/>
      <c r="E69" s="413" t="s">
        <v>291</v>
      </c>
      <c r="F69" s="414"/>
      <c r="G69" s="415"/>
      <c r="H69" s="416"/>
      <c r="I69" s="413"/>
      <c r="J69" s="417"/>
      <c r="K69" s="413"/>
      <c r="L69" s="417"/>
      <c r="M69" s="413"/>
      <c r="N69" s="417"/>
      <c r="O69" s="413"/>
      <c r="P69" s="326"/>
      <c r="Q69" s="269"/>
      <c r="R69" s="269"/>
    </row>
    <row r="70" spans="2:18" s="1" customFormat="1" ht="16.5" customHeight="1">
      <c r="B70" s="513" t="s">
        <v>78</v>
      </c>
      <c r="C70" s="515">
        <f t="shared" si="8"/>
        <v>1</v>
      </c>
      <c r="D70" s="269"/>
      <c r="E70" s="418" t="s">
        <v>292</v>
      </c>
      <c r="F70" s="419"/>
      <c r="G70" s="418"/>
      <c r="H70" s="420"/>
      <c r="I70" s="269"/>
      <c r="J70" s="326"/>
      <c r="K70" s="269"/>
      <c r="L70" s="326"/>
      <c r="M70" s="269"/>
      <c r="N70" s="326"/>
      <c r="O70" s="269"/>
      <c r="P70" s="326"/>
      <c r="Q70" s="269"/>
      <c r="R70" s="269"/>
    </row>
    <row r="71" spans="2:18" s="1" customFormat="1" ht="16.5" customHeight="1">
      <c r="B71" s="513" t="s">
        <v>77</v>
      </c>
      <c r="C71" s="515">
        <f t="shared" si="8"/>
        <v>1</v>
      </c>
      <c r="D71" s="269"/>
      <c r="E71" s="269"/>
      <c r="F71" s="325"/>
      <c r="G71" s="269"/>
      <c r="H71" s="326"/>
      <c r="I71" s="269"/>
      <c r="J71" s="327"/>
      <c r="K71" s="269"/>
      <c r="L71" s="326"/>
      <c r="M71" s="412"/>
      <c r="N71" s="325"/>
      <c r="O71" s="269"/>
      <c r="P71" s="326"/>
      <c r="Q71" s="269"/>
      <c r="R71" s="269"/>
    </row>
    <row r="72" spans="2:18" s="1" customFormat="1" ht="16.5" customHeight="1">
      <c r="B72" s="513" t="s">
        <v>76</v>
      </c>
      <c r="C72" s="515">
        <f t="shared" si="8"/>
        <v>1</v>
      </c>
      <c r="D72" s="269"/>
      <c r="E72" s="269"/>
      <c r="F72" s="325"/>
      <c r="G72" s="269"/>
      <c r="H72" s="326"/>
      <c r="I72" s="269"/>
      <c r="J72" s="327"/>
      <c r="K72" s="269"/>
      <c r="L72" s="326"/>
      <c r="M72" s="412"/>
      <c r="N72" s="325"/>
      <c r="O72" s="269"/>
      <c r="P72" s="326"/>
      <c r="Q72" s="269"/>
      <c r="R72" s="269"/>
    </row>
    <row r="73" spans="2:18" s="1" customFormat="1" ht="16.5" customHeight="1">
      <c r="B73" s="513" t="s">
        <v>75</v>
      </c>
      <c r="C73" s="515">
        <f t="shared" si="8"/>
        <v>1</v>
      </c>
      <c r="D73" s="269"/>
      <c r="E73" s="269"/>
      <c r="F73" s="325"/>
      <c r="G73" s="269"/>
      <c r="H73" s="326"/>
      <c r="I73" s="269"/>
      <c r="J73" s="327"/>
      <c r="K73" s="269"/>
      <c r="L73" s="326"/>
      <c r="M73" s="412"/>
      <c r="N73" s="325"/>
      <c r="O73" s="269"/>
      <c r="P73" s="326"/>
      <c r="Q73" s="269"/>
      <c r="R73" s="269"/>
    </row>
    <row r="74" spans="2:18" s="1" customFormat="1" ht="16.5" customHeight="1">
      <c r="B74" s="513" t="s">
        <v>74</v>
      </c>
      <c r="C74" s="515">
        <f t="shared" si="8"/>
        <v>1</v>
      </c>
      <c r="D74" s="269"/>
      <c r="E74" s="269"/>
      <c r="F74" s="325"/>
      <c r="G74" s="269"/>
      <c r="H74" s="326"/>
      <c r="I74" s="269"/>
      <c r="J74" s="327"/>
      <c r="K74" s="269"/>
      <c r="L74" s="326"/>
      <c r="M74" s="412"/>
      <c r="N74" s="325"/>
      <c r="O74" s="269"/>
      <c r="P74" s="326"/>
      <c r="Q74" s="269"/>
      <c r="R74" s="269"/>
    </row>
    <row r="76" spans="2:18" s="1" customFormat="1" ht="16.5" customHeight="1">
      <c r="B76" s="268"/>
      <c r="C76" s="268"/>
      <c r="D76" s="269"/>
      <c r="E76" s="270" t="s">
        <v>118</v>
      </c>
      <c r="F76" s="270"/>
      <c r="G76" s="270"/>
      <c r="H76" s="270"/>
      <c r="I76" s="270"/>
      <c r="J76" s="270"/>
      <c r="K76" s="270"/>
      <c r="L76" s="270"/>
      <c r="M76" s="270"/>
      <c r="N76" s="270"/>
      <c r="O76" s="270"/>
      <c r="P76" s="270"/>
      <c r="Q76" s="270"/>
      <c r="R76" s="270"/>
    </row>
    <row r="77" spans="2:18" s="1" customFormat="1" ht="16.5" customHeight="1">
      <c r="B77" s="271" t="s">
        <v>1378</v>
      </c>
      <c r="C77" s="272" t="s">
        <v>1379</v>
      </c>
      <c r="D77" s="269"/>
      <c r="E77" s="273" t="s">
        <v>1817</v>
      </c>
      <c r="F77" s="273"/>
      <c r="G77" s="273"/>
      <c r="H77" s="273"/>
      <c r="I77" s="273"/>
      <c r="J77" s="273"/>
      <c r="K77" s="273"/>
      <c r="L77" s="273"/>
      <c r="M77" s="273"/>
      <c r="N77" s="273"/>
      <c r="O77" s="273"/>
      <c r="P77" s="273"/>
      <c r="Q77" s="273"/>
      <c r="R77" s="273"/>
    </row>
    <row r="78" spans="2:18" s="1" customFormat="1" ht="16.5" customHeight="1">
      <c r="B78" s="274" t="s">
        <v>115</v>
      </c>
      <c r="C78" s="275" t="s">
        <v>289</v>
      </c>
      <c r="D78" s="269"/>
      <c r="E78" s="270" t="s">
        <v>119</v>
      </c>
      <c r="F78" s="270"/>
      <c r="G78" s="270"/>
      <c r="H78" s="270"/>
      <c r="I78" s="270"/>
      <c r="J78" s="270"/>
      <c r="K78" s="270"/>
      <c r="L78" s="270"/>
      <c r="M78" s="270"/>
      <c r="N78" s="270"/>
      <c r="O78" s="270"/>
      <c r="P78" s="270"/>
      <c r="Q78" s="270"/>
      <c r="R78" s="270"/>
    </row>
    <row r="79" spans="2:18" s="1" customFormat="1" ht="16.5" customHeight="1" thickBot="1">
      <c r="B79" s="274" t="s">
        <v>112</v>
      </c>
      <c r="C79" s="276">
        <v>133494</v>
      </c>
      <c r="D79" s="268"/>
      <c r="E79" s="330" t="s">
        <v>1562</v>
      </c>
      <c r="F79" s="330"/>
      <c r="G79" s="330"/>
      <c r="H79" s="330"/>
      <c r="I79" s="330"/>
      <c r="J79" s="330"/>
      <c r="K79" s="330"/>
      <c r="L79" s="330"/>
      <c r="M79" s="330"/>
      <c r="N79" s="330"/>
      <c r="O79" s="330"/>
      <c r="P79" s="330"/>
      <c r="Q79" s="330"/>
      <c r="R79" s="330"/>
    </row>
    <row r="80" spans="2:18" s="1" customFormat="1" ht="16.5" customHeight="1">
      <c r="B80" s="274" t="s">
        <v>110</v>
      </c>
      <c r="C80" s="277"/>
      <c r="D80" s="260"/>
      <c r="E80" s="278" t="s">
        <v>109</v>
      </c>
      <c r="F80" s="279" t="s">
        <v>108</v>
      </c>
      <c r="G80" s="280"/>
      <c r="H80" s="279" t="s">
        <v>107</v>
      </c>
      <c r="I80" s="280"/>
      <c r="J80" s="279" t="s">
        <v>106</v>
      </c>
      <c r="K80" s="280"/>
      <c r="L80" s="279" t="s">
        <v>105</v>
      </c>
      <c r="M80" s="280"/>
      <c r="N80" s="279" t="s">
        <v>96</v>
      </c>
      <c r="O80" s="280"/>
      <c r="P80" s="279" t="s">
        <v>104</v>
      </c>
      <c r="Q80" s="280"/>
      <c r="R80" s="281" t="s">
        <v>103</v>
      </c>
    </row>
    <row r="81" spans="2:18" s="1" customFormat="1" ht="16.5" customHeight="1">
      <c r="B81" s="274" t="s">
        <v>102</v>
      </c>
      <c r="C81" s="549">
        <v>160</v>
      </c>
      <c r="D81" s="260"/>
      <c r="E81" s="289"/>
      <c r="F81" s="285" t="s">
        <v>101</v>
      </c>
      <c r="G81" s="331" t="s">
        <v>100</v>
      </c>
      <c r="H81" s="285" t="s">
        <v>101</v>
      </c>
      <c r="I81" s="331" t="s">
        <v>100</v>
      </c>
      <c r="J81" s="285" t="s">
        <v>101</v>
      </c>
      <c r="K81" s="331" t="s">
        <v>100</v>
      </c>
      <c r="L81" s="285" t="s">
        <v>101</v>
      </c>
      <c r="M81" s="331" t="s">
        <v>100</v>
      </c>
      <c r="N81" s="285" t="s">
        <v>101</v>
      </c>
      <c r="O81" s="331" t="s">
        <v>100</v>
      </c>
      <c r="P81" s="287" t="s">
        <v>101</v>
      </c>
      <c r="Q81" s="331" t="s">
        <v>100</v>
      </c>
      <c r="R81" s="289"/>
    </row>
    <row r="82" spans="2:18" s="1" customFormat="1" ht="16.5" customHeight="1">
      <c r="B82" s="274" t="s">
        <v>107</v>
      </c>
      <c r="C82" s="288">
        <v>6867</v>
      </c>
      <c r="D82" s="260"/>
      <c r="E82" s="289" t="s">
        <v>87</v>
      </c>
      <c r="F82" s="290">
        <v>8</v>
      </c>
      <c r="G82" s="291">
        <f t="shared" ref="G82:G93" si="9">SUM($B$6*F82)*C94</f>
        <v>0</v>
      </c>
      <c r="H82" s="292"/>
      <c r="I82" s="291"/>
      <c r="J82" s="293"/>
      <c r="K82" s="291"/>
      <c r="L82" s="292">
        <v>1</v>
      </c>
      <c r="M82" s="406">
        <f t="shared" ref="M82:M93" si="10">IF(L82&gt;0,($B$9*L82),0)</f>
        <v>0</v>
      </c>
      <c r="N82" s="290">
        <v>1</v>
      </c>
      <c r="O82" s="291">
        <f t="shared" ref="O82:O93" si="11">IF(N82&gt;0,($B$10*N82),0)</f>
        <v>0</v>
      </c>
      <c r="P82" s="295">
        <v>1</v>
      </c>
      <c r="Q82" s="291">
        <f t="shared" ref="Q82:Q93" si="12">SUM(P82*$B$17)*C94</f>
        <v>0</v>
      </c>
      <c r="R82" s="296">
        <f t="shared" ref="R82:R93" si="13">SUM(Q82+O82+M82+K82+I82+G82)</f>
        <v>0</v>
      </c>
    </row>
    <row r="83" spans="2:18" s="1" customFormat="1" ht="16.5" customHeight="1">
      <c r="B83" s="274" t="s">
        <v>121</v>
      </c>
      <c r="C83" s="288">
        <v>5460</v>
      </c>
      <c r="D83" s="260"/>
      <c r="E83" s="289" t="s">
        <v>86</v>
      </c>
      <c r="F83" s="290">
        <v>7</v>
      </c>
      <c r="G83" s="291">
        <f t="shared" si="9"/>
        <v>0</v>
      </c>
      <c r="H83" s="292"/>
      <c r="I83" s="291"/>
      <c r="J83" s="293"/>
      <c r="K83" s="291"/>
      <c r="L83" s="469">
        <v>2</v>
      </c>
      <c r="M83" s="406">
        <f t="shared" si="10"/>
        <v>0</v>
      </c>
      <c r="N83" s="294">
        <v>1</v>
      </c>
      <c r="O83" s="291">
        <f t="shared" si="11"/>
        <v>0</v>
      </c>
      <c r="P83" s="295">
        <v>2</v>
      </c>
      <c r="Q83" s="291">
        <f t="shared" si="12"/>
        <v>0</v>
      </c>
      <c r="R83" s="296">
        <f t="shared" si="13"/>
        <v>0</v>
      </c>
    </row>
    <row r="84" spans="2:18" s="1" customFormat="1" ht="16.5" customHeight="1">
      <c r="B84" s="407" t="s">
        <v>122</v>
      </c>
      <c r="C84" s="288">
        <v>324</v>
      </c>
      <c r="D84" s="260"/>
      <c r="E84" s="289" t="s">
        <v>84</v>
      </c>
      <c r="F84" s="290"/>
      <c r="G84" s="291">
        <f t="shared" si="9"/>
        <v>0</v>
      </c>
      <c r="H84" s="292"/>
      <c r="I84" s="291"/>
      <c r="J84" s="293"/>
      <c r="K84" s="291"/>
      <c r="L84" s="292"/>
      <c r="M84" s="406">
        <f t="shared" si="10"/>
        <v>0</v>
      </c>
      <c r="N84" s="294"/>
      <c r="O84" s="291">
        <f t="shared" si="11"/>
        <v>0</v>
      </c>
      <c r="P84" s="295"/>
      <c r="Q84" s="291">
        <f t="shared" si="12"/>
        <v>0</v>
      </c>
      <c r="R84" s="296">
        <f t="shared" si="13"/>
        <v>0</v>
      </c>
    </row>
    <row r="85" spans="2:18" s="1" customFormat="1" ht="16.5" customHeight="1">
      <c r="B85" s="408" t="s">
        <v>123</v>
      </c>
      <c r="C85" s="288">
        <v>1050</v>
      </c>
      <c r="D85" s="260"/>
      <c r="E85" s="289" t="s">
        <v>83</v>
      </c>
      <c r="F85" s="290"/>
      <c r="G85" s="291">
        <f t="shared" si="9"/>
        <v>0</v>
      </c>
      <c r="H85" s="292"/>
      <c r="I85" s="291"/>
      <c r="J85" s="293"/>
      <c r="K85" s="291"/>
      <c r="L85" s="292"/>
      <c r="M85" s="406">
        <f t="shared" si="10"/>
        <v>0</v>
      </c>
      <c r="N85" s="294"/>
      <c r="O85" s="291">
        <f t="shared" si="11"/>
        <v>0</v>
      </c>
      <c r="P85" s="295"/>
      <c r="Q85" s="291">
        <f t="shared" si="12"/>
        <v>0</v>
      </c>
      <c r="R85" s="296">
        <f t="shared" si="13"/>
        <v>0</v>
      </c>
    </row>
    <row r="86" spans="2:18" s="1" customFormat="1" ht="16.5" customHeight="1">
      <c r="B86" s="274" t="s">
        <v>95</v>
      </c>
      <c r="C86" s="563">
        <v>35000</v>
      </c>
      <c r="D86" s="260"/>
      <c r="E86" s="289" t="s">
        <v>82</v>
      </c>
      <c r="F86" s="290"/>
      <c r="G86" s="291">
        <f t="shared" si="9"/>
        <v>0</v>
      </c>
      <c r="H86" s="292"/>
      <c r="I86" s="291"/>
      <c r="J86" s="293"/>
      <c r="K86" s="291"/>
      <c r="L86" s="292"/>
      <c r="M86" s="406">
        <f t="shared" si="10"/>
        <v>0</v>
      </c>
      <c r="N86" s="294"/>
      <c r="O86" s="291">
        <f t="shared" si="11"/>
        <v>0</v>
      </c>
      <c r="P86" s="295"/>
      <c r="Q86" s="291">
        <f t="shared" si="12"/>
        <v>0</v>
      </c>
      <c r="R86" s="296">
        <f t="shared" si="13"/>
        <v>0</v>
      </c>
    </row>
    <row r="87" spans="2:18" s="1" customFormat="1" ht="16.5" customHeight="1">
      <c r="B87" s="274" t="s">
        <v>94</v>
      </c>
      <c r="C87" s="563">
        <v>5000</v>
      </c>
      <c r="D87" s="260"/>
      <c r="E87" s="289" t="s">
        <v>80</v>
      </c>
      <c r="F87" s="290"/>
      <c r="G87" s="291">
        <f t="shared" si="9"/>
        <v>0</v>
      </c>
      <c r="H87" s="292"/>
      <c r="I87" s="291"/>
      <c r="J87" s="293"/>
      <c r="K87" s="291"/>
      <c r="L87" s="292"/>
      <c r="M87" s="406">
        <f t="shared" si="10"/>
        <v>0</v>
      </c>
      <c r="N87" s="294"/>
      <c r="O87" s="291">
        <f t="shared" si="11"/>
        <v>0</v>
      </c>
      <c r="P87" s="295"/>
      <c r="Q87" s="291">
        <f t="shared" si="12"/>
        <v>0</v>
      </c>
      <c r="R87" s="296">
        <f t="shared" si="13"/>
        <v>0</v>
      </c>
    </row>
    <row r="88" spans="2:18" s="1" customFormat="1" ht="16.5" customHeight="1">
      <c r="B88" s="274" t="s">
        <v>93</v>
      </c>
      <c r="C88" s="563">
        <v>175000</v>
      </c>
      <c r="D88" s="260"/>
      <c r="E88" s="289" t="s">
        <v>79</v>
      </c>
      <c r="F88" s="290"/>
      <c r="G88" s="291">
        <f t="shared" si="9"/>
        <v>0</v>
      </c>
      <c r="H88" s="292"/>
      <c r="I88" s="291"/>
      <c r="J88" s="293"/>
      <c r="K88" s="291"/>
      <c r="L88" s="292"/>
      <c r="M88" s="406">
        <f t="shared" si="10"/>
        <v>0</v>
      </c>
      <c r="N88" s="294"/>
      <c r="O88" s="291">
        <f t="shared" si="11"/>
        <v>0</v>
      </c>
      <c r="P88" s="295"/>
      <c r="Q88" s="291">
        <f t="shared" si="12"/>
        <v>0</v>
      </c>
      <c r="R88" s="296">
        <f t="shared" si="13"/>
        <v>0</v>
      </c>
    </row>
    <row r="89" spans="2:18" s="1" customFormat="1" ht="16.5" customHeight="1">
      <c r="B89" s="274" t="s">
        <v>92</v>
      </c>
      <c r="C89" s="563">
        <v>175000</v>
      </c>
      <c r="D89" s="260"/>
      <c r="E89" s="289" t="s">
        <v>78</v>
      </c>
      <c r="F89" s="290"/>
      <c r="G89" s="291">
        <f t="shared" si="9"/>
        <v>0</v>
      </c>
      <c r="H89" s="292"/>
      <c r="I89" s="291"/>
      <c r="J89" s="293"/>
      <c r="K89" s="291"/>
      <c r="L89" s="292"/>
      <c r="M89" s="406">
        <f t="shared" si="10"/>
        <v>0</v>
      </c>
      <c r="N89" s="294"/>
      <c r="O89" s="291">
        <f t="shared" si="11"/>
        <v>0</v>
      </c>
      <c r="P89" s="295"/>
      <c r="Q89" s="291">
        <f t="shared" si="12"/>
        <v>0</v>
      </c>
      <c r="R89" s="296">
        <f t="shared" si="13"/>
        <v>0</v>
      </c>
    </row>
    <row r="90" spans="2:18" s="1" customFormat="1" ht="16.5" customHeight="1">
      <c r="B90" s="274" t="s">
        <v>91</v>
      </c>
      <c r="C90" s="563">
        <v>12000</v>
      </c>
      <c r="D90" s="260"/>
      <c r="E90" s="289" t="s">
        <v>77</v>
      </c>
      <c r="F90" s="290"/>
      <c r="G90" s="291">
        <f t="shared" si="9"/>
        <v>0</v>
      </c>
      <c r="H90" s="292"/>
      <c r="I90" s="291"/>
      <c r="J90" s="293"/>
      <c r="K90" s="291"/>
      <c r="L90" s="292"/>
      <c r="M90" s="406">
        <f t="shared" si="10"/>
        <v>0</v>
      </c>
      <c r="N90" s="294"/>
      <c r="O90" s="291">
        <f t="shared" si="11"/>
        <v>0</v>
      </c>
      <c r="P90" s="295"/>
      <c r="Q90" s="291">
        <f t="shared" si="12"/>
        <v>0</v>
      </c>
      <c r="R90" s="296">
        <f t="shared" si="13"/>
        <v>0</v>
      </c>
    </row>
    <row r="91" spans="2:18" s="1" customFormat="1" ht="16.5" customHeight="1">
      <c r="B91" s="274" t="s">
        <v>90</v>
      </c>
      <c r="C91" s="563">
        <v>25000</v>
      </c>
      <c r="D91" s="260"/>
      <c r="E91" s="289" t="s">
        <v>76</v>
      </c>
      <c r="F91" s="290"/>
      <c r="G91" s="291">
        <f t="shared" si="9"/>
        <v>0</v>
      </c>
      <c r="H91" s="292"/>
      <c r="I91" s="291"/>
      <c r="J91" s="293"/>
      <c r="K91" s="291"/>
      <c r="L91" s="292"/>
      <c r="M91" s="406">
        <f t="shared" si="10"/>
        <v>0</v>
      </c>
      <c r="N91" s="294"/>
      <c r="O91" s="291">
        <f t="shared" si="11"/>
        <v>0</v>
      </c>
      <c r="P91" s="295"/>
      <c r="Q91" s="291">
        <f t="shared" si="12"/>
        <v>0</v>
      </c>
      <c r="R91" s="296">
        <f t="shared" si="13"/>
        <v>0</v>
      </c>
    </row>
    <row r="92" spans="2:18" s="1" customFormat="1" ht="16.5" customHeight="1">
      <c r="B92" s="297" t="s">
        <v>89</v>
      </c>
      <c r="C92" s="298">
        <v>92</v>
      </c>
      <c r="D92" s="260"/>
      <c r="E92" s="289" t="s">
        <v>75</v>
      </c>
      <c r="F92" s="290"/>
      <c r="G92" s="291">
        <f t="shared" si="9"/>
        <v>0</v>
      </c>
      <c r="H92" s="292"/>
      <c r="I92" s="291"/>
      <c r="J92" s="293"/>
      <c r="K92" s="291"/>
      <c r="L92" s="292"/>
      <c r="M92" s="406">
        <f t="shared" si="10"/>
        <v>0</v>
      </c>
      <c r="N92" s="294"/>
      <c r="O92" s="291">
        <f t="shared" si="11"/>
        <v>0</v>
      </c>
      <c r="P92" s="295"/>
      <c r="Q92" s="291">
        <f t="shared" si="12"/>
        <v>0</v>
      </c>
      <c r="R92" s="296">
        <f t="shared" si="13"/>
        <v>0</v>
      </c>
    </row>
    <row r="93" spans="2:18" s="1" customFormat="1" ht="16.5" customHeight="1">
      <c r="B93" s="299" t="s">
        <v>88</v>
      </c>
      <c r="C93" s="300"/>
      <c r="D93" s="260"/>
      <c r="E93" s="289" t="s">
        <v>74</v>
      </c>
      <c r="F93" s="290"/>
      <c r="G93" s="291">
        <f t="shared" si="9"/>
        <v>0</v>
      </c>
      <c r="H93" s="292"/>
      <c r="I93" s="291"/>
      <c r="J93" s="293"/>
      <c r="K93" s="291"/>
      <c r="L93" s="292"/>
      <c r="M93" s="406">
        <f t="shared" si="10"/>
        <v>0</v>
      </c>
      <c r="N93" s="294"/>
      <c r="O93" s="291">
        <f t="shared" si="11"/>
        <v>0</v>
      </c>
      <c r="P93" s="295"/>
      <c r="Q93" s="291">
        <f t="shared" si="12"/>
        <v>0</v>
      </c>
      <c r="R93" s="296">
        <f t="shared" si="13"/>
        <v>0</v>
      </c>
    </row>
    <row r="94" spans="2:18" s="1" customFormat="1" ht="16.5" customHeight="1">
      <c r="B94" s="421" t="s">
        <v>87</v>
      </c>
      <c r="C94" s="422">
        <v>1</v>
      </c>
      <c r="D94" s="260"/>
      <c r="E94" s="303"/>
      <c r="F94" s="304"/>
      <c r="G94" s="305"/>
      <c r="H94" s="306"/>
      <c r="I94" s="307"/>
      <c r="J94" s="308"/>
      <c r="K94" s="307"/>
      <c r="L94" s="306"/>
      <c r="M94" s="307"/>
      <c r="N94" s="304"/>
      <c r="O94" s="307"/>
      <c r="P94" s="306"/>
      <c r="Q94" s="307"/>
      <c r="R94" s="309"/>
    </row>
    <row r="95" spans="2:18" s="1" customFormat="1" ht="16.5" customHeight="1" thickBot="1">
      <c r="B95" s="421" t="s">
        <v>86</v>
      </c>
      <c r="C95" s="421">
        <f t="shared" ref="C95:C105" si="14">SUM(C94+(C94*$B$5))</f>
        <v>1</v>
      </c>
      <c r="D95" s="260"/>
      <c r="E95" s="310" t="s">
        <v>85</v>
      </c>
      <c r="F95" s="311"/>
      <c r="G95" s="312">
        <f>SUM(G82:G93)</f>
        <v>0</v>
      </c>
      <c r="H95" s="313"/>
      <c r="I95" s="312">
        <f>SUM(I82:I93)</f>
        <v>0</v>
      </c>
      <c r="J95" s="314"/>
      <c r="K95" s="312">
        <f>SUM(K82:K93)</f>
        <v>0</v>
      </c>
      <c r="L95" s="313"/>
      <c r="M95" s="312">
        <f>SUM(M82:M93)</f>
        <v>0</v>
      </c>
      <c r="N95" s="315"/>
      <c r="O95" s="312">
        <f>SUM(O82:O93)</f>
        <v>0</v>
      </c>
      <c r="P95" s="313"/>
      <c r="Q95" s="312">
        <f>SUM(Q82:Q93)</f>
        <v>0</v>
      </c>
      <c r="R95" s="316">
        <f>SUM(R82:R93)</f>
        <v>0</v>
      </c>
    </row>
    <row r="96" spans="2:18" s="1" customFormat="1" ht="16.5" customHeight="1" thickTop="1" thickBot="1">
      <c r="B96" s="421" t="s">
        <v>84</v>
      </c>
      <c r="C96" s="421">
        <f t="shared" si="14"/>
        <v>1</v>
      </c>
      <c r="D96" s="269"/>
      <c r="E96" s="317"/>
      <c r="F96" s="318"/>
      <c r="G96" s="319"/>
      <c r="H96" s="320"/>
      <c r="I96" s="319"/>
      <c r="J96" s="321"/>
      <c r="K96" s="319"/>
      <c r="L96" s="320"/>
      <c r="M96" s="319"/>
      <c r="N96" s="318"/>
      <c r="O96" s="319"/>
      <c r="P96" s="320"/>
      <c r="Q96" s="319"/>
      <c r="R96" s="323"/>
    </row>
    <row r="97" spans="2:18" s="1" customFormat="1" ht="16.5" customHeight="1">
      <c r="B97" s="421" t="s">
        <v>83</v>
      </c>
      <c r="C97" s="423">
        <f t="shared" si="14"/>
        <v>1</v>
      </c>
      <c r="D97" s="269"/>
      <c r="E97" s="269"/>
      <c r="F97" s="335"/>
      <c r="G97" s="269"/>
      <c r="H97" s="326"/>
      <c r="I97" s="269"/>
      <c r="J97" s="326"/>
      <c r="K97" s="269"/>
      <c r="L97" s="326"/>
      <c r="M97" s="269"/>
      <c r="N97" s="326"/>
      <c r="O97" s="269"/>
      <c r="P97" s="326"/>
      <c r="Q97" s="269"/>
      <c r="R97" s="269"/>
    </row>
    <row r="98" spans="2:18" s="1" customFormat="1" ht="16.5" customHeight="1">
      <c r="B98" s="421" t="s">
        <v>82</v>
      </c>
      <c r="C98" s="423">
        <f t="shared" si="14"/>
        <v>1</v>
      </c>
      <c r="D98" s="269"/>
      <c r="E98" s="269" t="s">
        <v>124</v>
      </c>
      <c r="F98" s="335"/>
      <c r="G98" s="269"/>
      <c r="H98" s="326"/>
      <c r="I98" s="269"/>
      <c r="J98" s="326"/>
      <c r="K98" s="269"/>
      <c r="L98" s="326"/>
      <c r="M98" s="269"/>
      <c r="N98" s="326"/>
      <c r="O98" s="269"/>
      <c r="P98" s="326"/>
      <c r="Q98" s="269"/>
      <c r="R98" s="269"/>
    </row>
    <row r="99" spans="2:18" s="1" customFormat="1" ht="16.5" customHeight="1">
      <c r="B99" s="421" t="s">
        <v>80</v>
      </c>
      <c r="C99" s="423">
        <f t="shared" si="14"/>
        <v>1</v>
      </c>
      <c r="D99" s="269"/>
      <c r="E99" s="269"/>
      <c r="F99" s="335"/>
      <c r="G99" s="269"/>
      <c r="H99" s="326"/>
      <c r="I99" s="269"/>
      <c r="J99" s="326"/>
      <c r="K99" s="269"/>
      <c r="L99" s="326"/>
      <c r="M99" s="269"/>
      <c r="N99" s="326"/>
      <c r="O99" s="269"/>
      <c r="P99" s="326"/>
      <c r="Q99" s="269"/>
      <c r="R99" s="269"/>
    </row>
    <row r="100" spans="2:18" s="1" customFormat="1" ht="16.5" customHeight="1">
      <c r="B100" s="421" t="s">
        <v>79</v>
      </c>
      <c r="C100" s="423">
        <f t="shared" si="14"/>
        <v>1</v>
      </c>
      <c r="D100" s="269"/>
      <c r="E100" s="413" t="s">
        <v>291</v>
      </c>
      <c r="F100" s="414"/>
      <c r="G100" s="415"/>
      <c r="H100" s="416"/>
      <c r="I100" s="413"/>
      <c r="J100" s="417"/>
      <c r="K100" s="413"/>
      <c r="L100" s="417"/>
      <c r="M100" s="413"/>
      <c r="N100" s="417"/>
      <c r="O100" s="413"/>
      <c r="P100" s="326"/>
      <c r="Q100" s="269"/>
      <c r="R100" s="269"/>
    </row>
    <row r="101" spans="2:18" s="1" customFormat="1" ht="16.5" customHeight="1">
      <c r="B101" s="421" t="s">
        <v>78</v>
      </c>
      <c r="C101" s="423">
        <f t="shared" si="14"/>
        <v>1</v>
      </c>
      <c r="D101" s="269"/>
      <c r="E101" s="418" t="s">
        <v>292</v>
      </c>
      <c r="F101" s="419"/>
      <c r="G101" s="418"/>
      <c r="H101" s="420"/>
      <c r="I101" s="269"/>
      <c r="J101" s="326"/>
      <c r="K101" s="269"/>
      <c r="L101" s="326"/>
      <c r="M101" s="269"/>
      <c r="N101" s="326"/>
      <c r="O101" s="269"/>
      <c r="P101" s="326"/>
      <c r="Q101" s="269"/>
      <c r="R101" s="269"/>
    </row>
    <row r="102" spans="2:18" s="1" customFormat="1" ht="16.5" customHeight="1">
      <c r="B102" s="421" t="s">
        <v>77</v>
      </c>
      <c r="C102" s="423">
        <f t="shared" si="14"/>
        <v>1</v>
      </c>
      <c r="D102" s="269"/>
      <c r="E102" s="269"/>
      <c r="F102" s="335"/>
      <c r="G102" s="269"/>
      <c r="H102" s="326"/>
      <c r="I102" s="269"/>
      <c r="J102" s="326"/>
      <c r="K102" s="269"/>
      <c r="L102" s="326"/>
      <c r="M102" s="269"/>
      <c r="N102" s="326"/>
      <c r="O102" s="269"/>
      <c r="P102" s="326"/>
      <c r="Q102" s="269"/>
      <c r="R102" s="269"/>
    </row>
    <row r="103" spans="2:18" s="1" customFormat="1" ht="16.5" customHeight="1">
      <c r="B103" s="421" t="s">
        <v>76</v>
      </c>
      <c r="C103" s="423">
        <f t="shared" si="14"/>
        <v>1</v>
      </c>
      <c r="D103" s="269"/>
      <c r="E103" s="564"/>
      <c r="F103" s="565"/>
      <c r="G103" s="543"/>
      <c r="H103" s="542"/>
      <c r="I103" s="81"/>
      <c r="J103" s="542"/>
      <c r="K103" s="543"/>
      <c r="L103" s="542"/>
      <c r="M103" s="543"/>
      <c r="N103" s="542"/>
      <c r="O103" s="543"/>
      <c r="P103" s="542"/>
      <c r="Q103" s="543"/>
      <c r="R103" s="543"/>
    </row>
    <row r="104" spans="2:18" s="1" customFormat="1" ht="16.5" customHeight="1">
      <c r="B104" s="421" t="s">
        <v>75</v>
      </c>
      <c r="C104" s="423">
        <f t="shared" si="14"/>
        <v>1</v>
      </c>
      <c r="D104" s="269"/>
      <c r="E104" s="564"/>
      <c r="F104" s="566"/>
      <c r="G104" s="564"/>
      <c r="H104" s="567"/>
      <c r="I104" s="543"/>
      <c r="J104" s="542"/>
      <c r="K104" s="543"/>
      <c r="L104" s="542"/>
      <c r="M104" s="543"/>
      <c r="N104" s="542"/>
      <c r="O104" s="543"/>
      <c r="P104" s="542"/>
      <c r="Q104" s="543"/>
      <c r="R104" s="543"/>
    </row>
    <row r="105" spans="2:18" s="1" customFormat="1" ht="16.5" customHeight="1">
      <c r="B105" s="421" t="s">
        <v>74</v>
      </c>
      <c r="C105" s="423">
        <f t="shared" si="14"/>
        <v>1</v>
      </c>
      <c r="D105" s="269"/>
      <c r="E105" s="543"/>
      <c r="F105" s="565"/>
      <c r="G105" s="543"/>
      <c r="H105" s="542"/>
      <c r="I105" s="543"/>
      <c r="J105" s="542"/>
      <c r="K105" s="543"/>
      <c r="L105" s="542"/>
      <c r="M105" s="543"/>
      <c r="N105" s="542"/>
      <c r="O105" s="543"/>
      <c r="P105" s="542"/>
      <c r="Q105" s="543"/>
      <c r="R105" s="543"/>
    </row>
  </sheetData>
  <mergeCells count="20">
    <mergeCell ref="E76:R76"/>
    <mergeCell ref="E77:R77"/>
    <mergeCell ref="E78:R78"/>
    <mergeCell ref="E79:R79"/>
    <mergeCell ref="F80:G80"/>
    <mergeCell ref="H80:I80"/>
    <mergeCell ref="J80:K80"/>
    <mergeCell ref="L80:M80"/>
    <mergeCell ref="N80:O80"/>
    <mergeCell ref="P80:Q80"/>
    <mergeCell ref="E45:R45"/>
    <mergeCell ref="E46:R46"/>
    <mergeCell ref="E47:R47"/>
    <mergeCell ref="E48:R48"/>
    <mergeCell ref="F49:G49"/>
    <mergeCell ref="H49:I49"/>
    <mergeCell ref="J49:K49"/>
    <mergeCell ref="L49:M49"/>
    <mergeCell ref="N49:O49"/>
    <mergeCell ref="P49:Q49"/>
  </mergeCells>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'Bus 31 summary '!C40:N40</xm:f>
              <xm:sqref>P40</xm:sqref>
            </x14:sparkline>
          </x14:sparklines>
        </x14:sparklineGroup>
        <x14:sparklineGroup displayEmptyCellsAs="gap" markers="1" last="1">
          <x14:colorSeries rgb="FF323232"/>
          <x14:colorNegative rgb="FFD00000"/>
          <x14:colorAxis rgb="FF000000"/>
          <x14:colorMarkers rgb="FFD00000"/>
          <x14:colorFirst rgb="FFD00000"/>
          <x14:colorLast rgb="FFD00000"/>
          <x14:colorHigh rgb="FFD00000"/>
          <x14:colorLow rgb="FFD00000"/>
          <x14:sparklines>
            <x14:sparkline>
              <xm:f>'Bus 31 summary '!C19:N19</xm:f>
              <xm:sqref>P19</xm:sqref>
            </x14:sparkline>
            <x14:sparkline>
              <xm:f>'Bus 31 summary '!C20:N20</xm:f>
              <xm:sqref>P20</xm:sqref>
            </x14:sparkline>
            <x14:sparkline>
              <xm:f>'Bus 31 summary '!C21:N21</xm:f>
              <xm:sqref>P21</xm:sqref>
            </x14:sparkline>
            <x14:sparkline>
              <xm:f>'Bus 31 summary '!C22:N22</xm:f>
              <xm:sqref>P22</xm:sqref>
            </x14:sparkline>
            <x14:sparkline>
              <xm:f>'Bus 31 summary '!C23:N23</xm:f>
              <xm:sqref>P23</xm:sqref>
            </x14:sparkline>
            <x14:sparkline>
              <xm:f>'Bus 31 summary '!C24:N24</xm:f>
              <xm:sqref>P24</xm:sqref>
            </x14:sparkline>
            <x14:sparkline>
              <xm:f>'Bus 31 summary '!C25:N25</xm:f>
              <xm:sqref>P25</xm:sqref>
            </x14:sparkline>
            <x14:sparkline>
              <xm:f>'Bus 31 summary '!C26:N26</xm:f>
              <xm:sqref>P26</xm:sqref>
            </x14:sparkline>
            <x14:sparkline>
              <xm:f>'Bus 31 summary '!C27:N27</xm:f>
              <xm:sqref>P27</xm:sqref>
            </x14:sparkline>
            <x14:sparkline>
              <xm:f>'Bus 31 summary '!C28:N28</xm:f>
              <xm:sqref>P28</xm:sqref>
            </x14:sparkline>
            <x14:sparkline>
              <xm:f>'Bus 31 summary '!C29:N29</xm:f>
              <xm:sqref>P29</xm:sqref>
            </x14:sparkline>
            <x14:sparkline>
              <xm:f>'Bus 31 summary '!C30:N30</xm:f>
              <xm:sqref>P30</xm:sqref>
            </x14:sparkline>
            <x14:sparkline>
              <xm:f>'Bus 31 summary '!C31:N31</xm:f>
              <xm:sqref>P31</xm:sqref>
            </x14:sparkline>
            <x14:sparkline>
              <xm:f>'Bus 31 summary '!C32:N32</xm:f>
              <xm:sqref>P32</xm:sqref>
            </x14:sparkline>
            <x14:sparkline>
              <xm:f>'Bus 31 summary '!C33:N33</xm:f>
              <xm:sqref>P33</xm:sqref>
            </x14:sparkline>
            <x14:sparkline>
              <xm:f>'Bus 31 summary '!C34:N34</xm:f>
              <xm:sqref>P34</xm:sqref>
            </x14:sparkline>
            <x14:sparkline>
              <xm:f>'Bus 31 summary '!C35:N35</xm:f>
              <xm:sqref>P35</xm:sqref>
            </x14:sparkline>
            <x14:sparkline>
              <xm:f>'Bus 31 summary '!C36:N36</xm:f>
              <xm:sqref>P36</xm:sqref>
            </x14:sparkline>
            <x14:sparkline>
              <xm:f>'Bus 31 summary '!C37:N37</xm:f>
              <xm:sqref>P37</xm:sqref>
            </x14:sparkline>
            <x14:sparkline>
              <xm:f>'Bus 31 summary '!C38:N38</xm:f>
              <xm:sqref>P38</xm:sqref>
            </x14:sparkline>
            <x14:sparkline>
              <xm:f>'Bus 31 summary '!C39:N39</xm:f>
              <xm:sqref>P39</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190"/>
  <sheetViews>
    <sheetView showGridLines="0" zoomScale="115" zoomScaleNormal="115" workbookViewId="0">
      <selection activeCell="F51" sqref="F51"/>
    </sheetView>
  </sheetViews>
  <sheetFormatPr defaultColWidth="9.140625" defaultRowHeight="16.5" customHeight="1"/>
  <cols>
    <col min="1" max="1" width="3.140625" style="1" customWidth="1"/>
    <col min="2" max="4" width="12.28515625" style="1" customWidth="1"/>
    <col min="5" max="5" width="15.7109375" style="1" customWidth="1"/>
    <col min="6" max="6" width="40.28515625"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46</v>
      </c>
      <c r="G4" s="185" t="s">
        <v>45</v>
      </c>
    </row>
    <row r="5" spans="2:8" s="1" customFormat="1" ht="16.5" customHeight="1">
      <c r="B5" s="189">
        <v>42922</v>
      </c>
      <c r="C5" s="190">
        <v>10618</v>
      </c>
      <c r="D5" s="52">
        <v>264.8</v>
      </c>
      <c r="E5" s="190" t="s">
        <v>16</v>
      </c>
      <c r="F5" s="190" t="s">
        <v>180</v>
      </c>
      <c r="G5" s="191" t="s">
        <v>179</v>
      </c>
    </row>
    <row r="6" spans="2:8" s="1" customFormat="1" ht="16.5" customHeight="1">
      <c r="B6" s="189">
        <v>42922</v>
      </c>
      <c r="C6" s="190">
        <v>10618</v>
      </c>
      <c r="D6" s="52">
        <v>20</v>
      </c>
      <c r="E6" s="190" t="s">
        <v>2</v>
      </c>
      <c r="F6" s="190" t="s">
        <v>178</v>
      </c>
      <c r="G6" s="191"/>
    </row>
    <row r="7" spans="2:8" s="1" customFormat="1" ht="16.5" customHeight="1">
      <c r="B7" s="189">
        <v>42929</v>
      </c>
      <c r="C7" s="190">
        <v>10632</v>
      </c>
      <c r="D7" s="52">
        <v>21.9</v>
      </c>
      <c r="E7" s="190" t="s">
        <v>171</v>
      </c>
      <c r="F7" s="190" t="s">
        <v>177</v>
      </c>
      <c r="G7" s="191" t="s">
        <v>176</v>
      </c>
    </row>
    <row r="8" spans="2:8" s="1" customFormat="1" ht="16.5" customHeight="1">
      <c r="B8" s="189">
        <v>42929</v>
      </c>
      <c r="C8" s="190">
        <v>10632</v>
      </c>
      <c r="D8" s="52">
        <v>10</v>
      </c>
      <c r="E8" s="190" t="s">
        <v>2</v>
      </c>
      <c r="F8" s="190" t="s">
        <v>175</v>
      </c>
      <c r="G8" s="191"/>
    </row>
    <row r="9" spans="2:8" s="1" customFormat="1" ht="16.5" customHeight="1">
      <c r="B9" s="189"/>
      <c r="C9" s="190"/>
      <c r="D9" s="52"/>
      <c r="E9" s="190"/>
      <c r="F9" s="190"/>
      <c r="G9" s="191"/>
    </row>
    <row r="10" spans="2:8" s="1" customFormat="1" ht="16.5" customHeight="1">
      <c r="B10" s="189"/>
      <c r="C10" s="190"/>
      <c r="D10" s="52"/>
      <c r="E10" s="190"/>
      <c r="F10" s="190"/>
      <c r="G10" s="191"/>
    </row>
    <row r="11" spans="2:8" s="1" customFormat="1" ht="16.5" customHeight="1">
      <c r="B11" s="189"/>
      <c r="C11" s="190"/>
      <c r="D11" s="52"/>
      <c r="E11" s="190"/>
      <c r="F11" s="190"/>
      <c r="G11" s="191"/>
    </row>
    <row r="12" spans="2:8" s="1" customFormat="1" ht="16.5" customHeight="1">
      <c r="B12" s="189"/>
      <c r="C12" s="190"/>
      <c r="D12" s="52"/>
      <c r="E12" s="190"/>
      <c r="F12" s="190"/>
      <c r="G12" s="191"/>
    </row>
    <row r="13" spans="2:8" s="1" customFormat="1" ht="16.5" customHeight="1">
      <c r="B13" s="189"/>
      <c r="C13" s="190"/>
      <c r="D13" s="52"/>
      <c r="E13" s="190"/>
      <c r="F13" s="190"/>
      <c r="G13" s="191"/>
    </row>
    <row r="14" spans="2:8" s="1" customFormat="1" ht="16.5" customHeight="1">
      <c r="B14" s="189"/>
      <c r="C14" s="190"/>
      <c r="D14" s="52"/>
      <c r="E14" s="190"/>
      <c r="F14" s="190"/>
      <c r="G14" s="191"/>
    </row>
    <row r="15" spans="2:8" s="1" customFormat="1" ht="16.5" customHeight="1">
      <c r="B15" s="189"/>
      <c r="C15" s="190"/>
      <c r="D15" s="52"/>
      <c r="E15" s="190"/>
      <c r="F15" s="190"/>
      <c r="G15" s="191"/>
    </row>
    <row r="16" spans="2:8" s="1" customFormat="1" ht="16.5" customHeight="1">
      <c r="B16" s="192" t="s">
        <v>1</v>
      </c>
      <c r="C16" s="193"/>
      <c r="D16" s="194">
        <f>SUBTOTAL(109,ExpJul4[Amount])</f>
        <v>316.7</v>
      </c>
      <c r="E16" s="193"/>
      <c r="F16" s="193"/>
      <c r="G16" s="192"/>
    </row>
    <row r="17" spans="2:7" s="1" customFormat="1" ht="16.5" customHeight="1">
      <c r="B17" s="336"/>
      <c r="C17" s="196"/>
      <c r="D17" s="105"/>
      <c r="E17" s="196"/>
      <c r="F17" s="196"/>
      <c r="G17" s="101"/>
    </row>
    <row r="18" spans="2:7" s="1" customFormat="1" ht="24.75" customHeight="1">
      <c r="B18" s="205" t="s">
        <v>52</v>
      </c>
      <c r="C18" s="36"/>
      <c r="D18" s="36"/>
      <c r="E18" s="36"/>
      <c r="F18" s="36"/>
      <c r="G18" s="36"/>
    </row>
    <row r="19" spans="2:7" s="1" customFormat="1" ht="16.5" customHeight="1">
      <c r="B19" s="36"/>
      <c r="C19" s="36"/>
      <c r="D19" s="36"/>
      <c r="E19" s="36"/>
      <c r="F19" s="36"/>
      <c r="G19" s="36"/>
    </row>
    <row r="20" spans="2:7" s="1" customFormat="1" ht="16.5" customHeight="1">
      <c r="B20" s="206" t="s">
        <v>50</v>
      </c>
      <c r="C20" s="207" t="s">
        <v>53</v>
      </c>
      <c r="D20" s="206" t="s">
        <v>48</v>
      </c>
      <c r="E20" s="207" t="s">
        <v>47</v>
      </c>
      <c r="F20" s="207" t="s">
        <v>46</v>
      </c>
      <c r="G20" s="206" t="s">
        <v>45</v>
      </c>
    </row>
    <row r="21" spans="2:7" s="1" customFormat="1" ht="16.5" customHeight="1">
      <c r="B21" s="25">
        <v>42952</v>
      </c>
      <c r="C21" s="51">
        <v>10684</v>
      </c>
      <c r="D21" s="211">
        <v>36.08</v>
      </c>
      <c r="E21" s="51" t="s">
        <v>3</v>
      </c>
      <c r="F21" s="51" t="s">
        <v>181</v>
      </c>
      <c r="G21" s="27" t="s">
        <v>182</v>
      </c>
    </row>
    <row r="22" spans="2:7" s="1" customFormat="1" ht="16.5" customHeight="1">
      <c r="B22" s="25">
        <v>42952</v>
      </c>
      <c r="C22" s="51">
        <v>10684</v>
      </c>
      <c r="D22" s="211">
        <v>31.26</v>
      </c>
      <c r="E22" s="51" t="s">
        <v>3</v>
      </c>
      <c r="F22" s="51" t="s">
        <v>183</v>
      </c>
      <c r="G22" s="27" t="s">
        <v>184</v>
      </c>
    </row>
    <row r="23" spans="2:7" s="1" customFormat="1" ht="16.5" customHeight="1">
      <c r="B23" s="25">
        <v>42952</v>
      </c>
      <c r="C23" s="51">
        <v>10684</v>
      </c>
      <c r="D23" s="211">
        <v>60</v>
      </c>
      <c r="E23" s="51" t="s">
        <v>2</v>
      </c>
      <c r="F23" s="51" t="s">
        <v>185</v>
      </c>
      <c r="G23" s="27"/>
    </row>
    <row r="24" spans="2:7" s="1" customFormat="1" ht="16.5" customHeight="1">
      <c r="B24" s="25">
        <v>42958</v>
      </c>
      <c r="C24" s="51">
        <v>10704</v>
      </c>
      <c r="D24" s="211">
        <v>7.83</v>
      </c>
      <c r="E24" s="51" t="s">
        <v>5</v>
      </c>
      <c r="F24" s="51" t="s">
        <v>186</v>
      </c>
      <c r="G24" s="27" t="s">
        <v>187</v>
      </c>
    </row>
    <row r="25" spans="2:7" s="1" customFormat="1" ht="16.5" customHeight="1">
      <c r="B25" s="25">
        <v>42958</v>
      </c>
      <c r="C25" s="51">
        <v>10704</v>
      </c>
      <c r="D25" s="211">
        <v>10</v>
      </c>
      <c r="E25" s="51" t="s">
        <v>2</v>
      </c>
      <c r="F25" s="51" t="s">
        <v>33</v>
      </c>
      <c r="G25" s="27"/>
    </row>
    <row r="26" spans="2:7" s="1" customFormat="1" ht="16.5" customHeight="1">
      <c r="B26" s="25">
        <v>42965</v>
      </c>
      <c r="C26" s="51">
        <v>10732</v>
      </c>
      <c r="D26" s="211">
        <v>27.47</v>
      </c>
      <c r="E26" s="51" t="s">
        <v>3</v>
      </c>
      <c r="F26" s="51" t="s">
        <v>188</v>
      </c>
      <c r="G26" s="27" t="s">
        <v>189</v>
      </c>
    </row>
    <row r="27" spans="2:7" s="1" customFormat="1" ht="16.5" customHeight="1">
      <c r="B27" s="337">
        <v>42965</v>
      </c>
      <c r="C27" s="338">
        <v>10732</v>
      </c>
      <c r="D27" s="339">
        <v>10</v>
      </c>
      <c r="E27" s="338" t="s">
        <v>2</v>
      </c>
      <c r="F27" s="338" t="s">
        <v>33</v>
      </c>
      <c r="G27" s="340"/>
    </row>
    <row r="28" spans="2:7" s="1" customFormat="1" ht="16.5" customHeight="1">
      <c r="B28" s="341">
        <v>42971</v>
      </c>
      <c r="C28" s="342">
        <v>10739</v>
      </c>
      <c r="D28" s="343">
        <v>2.87</v>
      </c>
      <c r="E28" s="342" t="s">
        <v>17</v>
      </c>
      <c r="F28" s="342" t="s">
        <v>190</v>
      </c>
      <c r="G28" s="342" t="s">
        <v>191</v>
      </c>
    </row>
    <row r="29" spans="2:7" s="1" customFormat="1" ht="16.5" customHeight="1">
      <c r="B29" s="341">
        <v>42971</v>
      </c>
      <c r="C29" s="342">
        <v>10739</v>
      </c>
      <c r="D29" s="343">
        <v>73.3</v>
      </c>
      <c r="E29" s="342" t="s">
        <v>17</v>
      </c>
      <c r="F29" s="342" t="s">
        <v>192</v>
      </c>
      <c r="G29" s="342" t="s">
        <v>193</v>
      </c>
    </row>
    <row r="30" spans="2:7" s="1" customFormat="1" ht="16.5" customHeight="1">
      <c r="B30" s="341">
        <v>42971</v>
      </c>
      <c r="C30" s="342">
        <v>10739</v>
      </c>
      <c r="D30" s="343">
        <v>264.8</v>
      </c>
      <c r="E30" s="342" t="s">
        <v>17</v>
      </c>
      <c r="F30" s="342" t="s">
        <v>194</v>
      </c>
      <c r="G30" s="342" t="s">
        <v>195</v>
      </c>
    </row>
    <row r="31" spans="2:7" s="1" customFormat="1" ht="16.5" customHeight="1">
      <c r="B31" s="341">
        <v>42971</v>
      </c>
      <c r="C31" s="342">
        <v>10739</v>
      </c>
      <c r="D31" s="343">
        <v>12</v>
      </c>
      <c r="E31" s="342" t="s">
        <v>17</v>
      </c>
      <c r="F31" s="342" t="s">
        <v>196</v>
      </c>
      <c r="G31" s="342" t="s">
        <v>197</v>
      </c>
    </row>
    <row r="32" spans="2:7" s="1" customFormat="1" ht="16.5" customHeight="1">
      <c r="B32" s="341">
        <v>42971</v>
      </c>
      <c r="C32" s="342">
        <v>10739</v>
      </c>
      <c r="D32" s="343">
        <v>120</v>
      </c>
      <c r="E32" s="342" t="s">
        <v>17</v>
      </c>
      <c r="F32" s="342" t="s">
        <v>198</v>
      </c>
      <c r="G32" s="342"/>
    </row>
    <row r="33" spans="2:7" s="1" customFormat="1" ht="16.5" customHeight="1">
      <c r="B33" s="337"/>
      <c r="C33" s="338"/>
      <c r="D33" s="339"/>
      <c r="E33" s="338"/>
      <c r="F33" s="338"/>
      <c r="G33" s="340"/>
    </row>
    <row r="34" spans="2:7" s="1" customFormat="1" ht="16.5" customHeight="1">
      <c r="B34" s="212" t="s">
        <v>1</v>
      </c>
      <c r="C34" s="213"/>
      <c r="D34" s="214">
        <f>SUBTOTAL(109,ExpAug[Amount])</f>
        <v>655.61</v>
      </c>
      <c r="E34" s="213"/>
      <c r="F34" s="213"/>
      <c r="G34" s="212"/>
    </row>
    <row r="36" spans="2:7" s="1" customFormat="1" ht="24" customHeight="1">
      <c r="B36" s="205" t="s">
        <v>56</v>
      </c>
      <c r="C36" s="117"/>
      <c r="D36" s="117"/>
      <c r="E36" s="117"/>
      <c r="F36" s="117"/>
      <c r="G36" s="117"/>
    </row>
    <row r="37" spans="2:7" s="1" customFormat="1" ht="16.5" customHeight="1">
      <c r="B37" s="117"/>
      <c r="C37" s="117"/>
      <c r="D37" s="117"/>
      <c r="E37" s="117"/>
      <c r="F37" s="117"/>
      <c r="G37" s="117"/>
    </row>
    <row r="38" spans="2:7" s="1" customFormat="1" ht="16.5" customHeight="1">
      <c r="B38" s="206" t="s">
        <v>50</v>
      </c>
      <c r="C38" s="207" t="s">
        <v>53</v>
      </c>
      <c r="D38" s="206" t="s">
        <v>48</v>
      </c>
      <c r="E38" s="207" t="s">
        <v>47</v>
      </c>
      <c r="F38" s="207" t="s">
        <v>46</v>
      </c>
      <c r="G38" s="206" t="s">
        <v>45</v>
      </c>
    </row>
    <row r="39" spans="2:7" s="1" customFormat="1" ht="16.5" customHeight="1">
      <c r="B39" s="25">
        <v>42997</v>
      </c>
      <c r="C39" s="51" t="s">
        <v>199</v>
      </c>
      <c r="D39" s="211">
        <v>12</v>
      </c>
      <c r="E39" s="51" t="s">
        <v>171</v>
      </c>
      <c r="F39" s="51" t="s">
        <v>200</v>
      </c>
      <c r="G39" s="27" t="s">
        <v>201</v>
      </c>
    </row>
    <row r="40" spans="2:7" s="1" customFormat="1" ht="16.5" customHeight="1">
      <c r="B40" s="25"/>
      <c r="C40" s="51"/>
      <c r="D40" s="211"/>
      <c r="E40" s="51"/>
      <c r="F40" s="51"/>
      <c r="G40" s="27"/>
    </row>
    <row r="41" spans="2:7" s="1" customFormat="1" ht="16.5" customHeight="1">
      <c r="B41" s="25"/>
      <c r="C41" s="51"/>
      <c r="D41" s="211"/>
      <c r="E41" s="51"/>
      <c r="F41" s="51"/>
      <c r="G41" s="27"/>
    </row>
    <row r="42" spans="2:7" s="1" customFormat="1" ht="16.5" customHeight="1">
      <c r="B42" s="25"/>
      <c r="C42" s="51"/>
      <c r="D42" s="211"/>
      <c r="E42" s="51"/>
      <c r="F42" s="51"/>
      <c r="G42" s="27"/>
    </row>
    <row r="43" spans="2:7" s="1" customFormat="1" ht="16.5" customHeight="1">
      <c r="B43" s="25"/>
      <c r="C43" s="51"/>
      <c r="D43" s="211"/>
      <c r="E43" s="51"/>
      <c r="F43" s="51"/>
      <c r="G43" s="27"/>
    </row>
    <row r="44" spans="2:7" s="1" customFormat="1" ht="16.5" customHeight="1">
      <c r="B44" s="25"/>
      <c r="C44" s="51"/>
      <c r="D44" s="211"/>
      <c r="E44" s="51"/>
      <c r="F44" s="51"/>
      <c r="G44" s="27"/>
    </row>
    <row r="45" spans="2:7" s="1" customFormat="1" ht="16.5" customHeight="1">
      <c r="B45" s="25"/>
      <c r="C45" s="51"/>
      <c r="D45" s="211"/>
      <c r="E45" s="51"/>
      <c r="F45" s="51"/>
      <c r="G45" s="27"/>
    </row>
    <row r="46" spans="2:7" s="1" customFormat="1" ht="16.5" customHeight="1">
      <c r="B46" s="25"/>
      <c r="C46" s="51"/>
      <c r="D46" s="211"/>
      <c r="E46" s="51"/>
      <c r="F46" s="51"/>
      <c r="G46" s="27"/>
    </row>
    <row r="47" spans="2:7" s="1" customFormat="1" ht="16.5" customHeight="1">
      <c r="B47" s="25"/>
      <c r="C47" s="51"/>
      <c r="D47" s="211"/>
      <c r="E47" s="51"/>
      <c r="F47" s="51"/>
      <c r="G47" s="27"/>
    </row>
    <row r="48" spans="2:7" s="1" customFormat="1" ht="16.5" customHeight="1">
      <c r="B48" s="25"/>
      <c r="C48" s="51"/>
      <c r="D48" s="211"/>
      <c r="E48" s="51"/>
      <c r="F48" s="51"/>
      <c r="G48" s="27"/>
    </row>
    <row r="49" spans="2:7" s="1" customFormat="1" ht="16.5" customHeight="1">
      <c r="B49" s="212" t="s">
        <v>1</v>
      </c>
      <c r="C49" s="213"/>
      <c r="D49" s="214">
        <f>SUBTOTAL(109,ExpSep[Amount])</f>
        <v>12</v>
      </c>
      <c r="E49" s="213"/>
      <c r="F49" s="213"/>
      <c r="G49" s="212"/>
    </row>
    <row r="51" spans="2:7" s="1" customFormat="1" ht="24" customHeight="1">
      <c r="B51" s="205" t="s">
        <v>70</v>
      </c>
      <c r="C51" s="117"/>
      <c r="D51" s="117"/>
      <c r="E51" s="117"/>
      <c r="F51" s="117"/>
      <c r="G51" s="117"/>
    </row>
    <row r="52" spans="2:7" s="1" customFormat="1" ht="16.5" customHeight="1">
      <c r="B52" s="117"/>
      <c r="C52" s="117"/>
      <c r="D52" s="117"/>
      <c r="E52" s="117"/>
      <c r="F52" s="117"/>
      <c r="G52" s="117"/>
    </row>
    <row r="53" spans="2:7" s="1" customFormat="1" ht="16.5" customHeight="1">
      <c r="B53" s="206" t="s">
        <v>50</v>
      </c>
      <c r="C53" s="207" t="s">
        <v>71</v>
      </c>
      <c r="D53" s="206" t="s">
        <v>48</v>
      </c>
      <c r="E53" s="207" t="s">
        <v>47</v>
      </c>
      <c r="F53" s="207" t="s">
        <v>46</v>
      </c>
      <c r="G53" s="206" t="s">
        <v>45</v>
      </c>
    </row>
    <row r="54" spans="2:7" s="1" customFormat="1" ht="16.5" customHeight="1">
      <c r="B54" s="25">
        <v>43018</v>
      </c>
      <c r="C54" s="51" t="s">
        <v>202</v>
      </c>
      <c r="D54" s="211">
        <v>12</v>
      </c>
      <c r="E54" s="51" t="s">
        <v>171</v>
      </c>
      <c r="F54" s="51" t="s">
        <v>203</v>
      </c>
      <c r="G54" s="27"/>
    </row>
    <row r="55" spans="2:7" s="1" customFormat="1" ht="16.5" customHeight="1">
      <c r="B55" s="25">
        <v>43019</v>
      </c>
      <c r="C55" s="51">
        <v>10860</v>
      </c>
      <c r="D55" s="211">
        <v>529.6</v>
      </c>
      <c r="E55" s="51" t="s">
        <v>1670</v>
      </c>
      <c r="F55" s="51" t="s">
        <v>1671</v>
      </c>
      <c r="G55" s="27" t="s">
        <v>1672</v>
      </c>
    </row>
    <row r="56" spans="2:7" s="1" customFormat="1" ht="16.5" customHeight="1">
      <c r="B56" s="25">
        <v>43019</v>
      </c>
      <c r="C56" s="51">
        <v>10860</v>
      </c>
      <c r="D56" s="211">
        <v>40</v>
      </c>
      <c r="E56" s="51" t="s">
        <v>1673</v>
      </c>
      <c r="F56" s="51" t="s">
        <v>1440</v>
      </c>
      <c r="G56" s="27"/>
    </row>
    <row r="57" spans="2:7" s="1" customFormat="1" ht="16.5" customHeight="1">
      <c r="B57" s="25">
        <v>43020</v>
      </c>
      <c r="C57" s="51">
        <v>10864</v>
      </c>
      <c r="D57" s="211">
        <v>7.83</v>
      </c>
      <c r="E57" s="51" t="s">
        <v>5</v>
      </c>
      <c r="F57" s="51" t="s">
        <v>1691</v>
      </c>
      <c r="G57" s="27" t="s">
        <v>1692</v>
      </c>
    </row>
    <row r="58" spans="2:7" s="1" customFormat="1" ht="16.5" customHeight="1">
      <c r="B58" s="25">
        <v>43020</v>
      </c>
      <c r="C58" s="51">
        <v>10864</v>
      </c>
      <c r="D58" s="211">
        <v>10</v>
      </c>
      <c r="E58" s="51" t="s">
        <v>2</v>
      </c>
      <c r="F58" s="51" t="s">
        <v>555</v>
      </c>
      <c r="G58" s="27"/>
    </row>
    <row r="59" spans="2:7" s="1" customFormat="1" ht="16.5" customHeight="1">
      <c r="B59" s="25">
        <v>43025</v>
      </c>
      <c r="C59" s="51" t="s">
        <v>1727</v>
      </c>
      <c r="D59" s="211">
        <v>12</v>
      </c>
      <c r="E59" s="51" t="s">
        <v>171</v>
      </c>
      <c r="F59" s="51" t="s">
        <v>1728</v>
      </c>
      <c r="G59" s="27"/>
    </row>
    <row r="60" spans="2:7" s="1" customFormat="1" ht="16.5" customHeight="1">
      <c r="B60" s="25"/>
      <c r="C60" s="51"/>
      <c r="D60" s="211"/>
      <c r="E60" s="51"/>
      <c r="F60" s="51"/>
      <c r="G60" s="27"/>
    </row>
    <row r="61" spans="2:7" s="1" customFormat="1" ht="16.5" customHeight="1">
      <c r="B61" s="25"/>
      <c r="C61" s="51"/>
      <c r="D61" s="211"/>
      <c r="E61" s="51"/>
      <c r="F61" s="51"/>
      <c r="G61" s="27"/>
    </row>
    <row r="62" spans="2:7" s="1" customFormat="1" ht="16.5" customHeight="1">
      <c r="B62" s="25"/>
      <c r="C62" s="51"/>
      <c r="D62" s="211"/>
      <c r="E62" s="51"/>
      <c r="F62" s="51"/>
      <c r="G62" s="27"/>
    </row>
    <row r="63" spans="2:7" s="1" customFormat="1" ht="16.5" customHeight="1">
      <c r="B63" s="25"/>
      <c r="C63" s="51"/>
      <c r="D63" s="211"/>
      <c r="E63" s="51"/>
      <c r="F63" s="51"/>
      <c r="G63" s="27"/>
    </row>
    <row r="64" spans="2:7" s="1" customFormat="1" ht="16.5" customHeight="1">
      <c r="B64" s="25"/>
      <c r="C64" s="51"/>
      <c r="D64" s="211"/>
      <c r="E64" s="51"/>
      <c r="F64" s="51"/>
      <c r="G64" s="27"/>
    </row>
    <row r="65" spans="2:7" s="1" customFormat="1" ht="16.5" customHeight="1">
      <c r="B65" s="212" t="s">
        <v>1</v>
      </c>
      <c r="C65" s="213"/>
      <c r="D65" s="214">
        <f>SUBTOTAL(109,ExpOct7[Amount])</f>
        <v>611.43000000000006</v>
      </c>
      <c r="E65" s="213"/>
      <c r="F65" s="213"/>
      <c r="G65" s="212"/>
    </row>
    <row r="67" spans="2:7" s="1" customFormat="1" ht="30" customHeight="1">
      <c r="B67" s="205" t="s">
        <v>159</v>
      </c>
      <c r="C67" s="117"/>
      <c r="D67" s="117"/>
      <c r="E67" s="117"/>
      <c r="F67" s="117"/>
      <c r="G67" s="117"/>
    </row>
    <row r="68" spans="2:7" s="1" customFormat="1" ht="16.5" customHeight="1">
      <c r="B68" s="117"/>
      <c r="C68" s="117"/>
      <c r="D68" s="117"/>
      <c r="E68" s="117"/>
      <c r="F68" s="117"/>
      <c r="G68" s="117"/>
    </row>
    <row r="69" spans="2:7" s="1" customFormat="1" ht="16.5" customHeight="1">
      <c r="B69" s="206" t="s">
        <v>50</v>
      </c>
      <c r="C69" s="207" t="s">
        <v>71</v>
      </c>
      <c r="D69" s="206" t="s">
        <v>48</v>
      </c>
      <c r="E69" s="207" t="s">
        <v>47</v>
      </c>
      <c r="F69" s="207" t="s">
        <v>161</v>
      </c>
      <c r="G69" s="206" t="s">
        <v>160</v>
      </c>
    </row>
    <row r="70" spans="2:7" s="1" customFormat="1" ht="16.5" customHeight="1">
      <c r="B70" s="25"/>
      <c r="C70" s="51"/>
      <c r="D70" s="211"/>
      <c r="E70" s="51"/>
      <c r="F70" s="51"/>
      <c r="G70" s="27"/>
    </row>
    <row r="71" spans="2:7" s="1" customFormat="1" ht="16.5" customHeight="1">
      <c r="B71" s="25"/>
      <c r="C71" s="51"/>
      <c r="D71" s="211"/>
      <c r="E71" s="51"/>
      <c r="F71" s="51"/>
      <c r="G71" s="27"/>
    </row>
    <row r="72" spans="2:7" s="1" customFormat="1" ht="16.5" customHeight="1">
      <c r="B72" s="25"/>
      <c r="C72" s="51"/>
      <c r="D72" s="211"/>
      <c r="E72" s="51"/>
      <c r="F72" s="51"/>
      <c r="G72" s="27"/>
    </row>
    <row r="73" spans="2:7" s="1" customFormat="1" ht="16.5" customHeight="1">
      <c r="B73" s="25"/>
      <c r="C73" s="51"/>
      <c r="D73" s="211"/>
      <c r="E73" s="51"/>
      <c r="F73" s="51"/>
      <c r="G73" s="27"/>
    </row>
    <row r="74" spans="2:7" s="1" customFormat="1" ht="16.5" customHeight="1">
      <c r="B74" s="25"/>
      <c r="C74" s="51"/>
      <c r="D74" s="211"/>
      <c r="E74" s="51"/>
      <c r="F74" s="51"/>
      <c r="G74" s="27"/>
    </row>
    <row r="75" spans="2:7" s="1" customFormat="1" ht="16.5" customHeight="1">
      <c r="B75" s="25"/>
      <c r="C75" s="51"/>
      <c r="D75" s="211"/>
      <c r="E75" s="51"/>
      <c r="F75" s="51"/>
      <c r="G75" s="27"/>
    </row>
    <row r="76" spans="2:7" s="1" customFormat="1" ht="16.5" customHeight="1">
      <c r="B76" s="25"/>
      <c r="C76" s="51"/>
      <c r="D76" s="211"/>
      <c r="E76" s="51"/>
      <c r="F76" s="51"/>
      <c r="G76" s="27"/>
    </row>
    <row r="77" spans="2:7" s="1" customFormat="1" ht="16.5" customHeight="1">
      <c r="B77" s="25"/>
      <c r="C77" s="51"/>
      <c r="D77" s="211"/>
      <c r="E77" s="51"/>
      <c r="F77" s="51"/>
      <c r="G77" s="27"/>
    </row>
    <row r="78" spans="2:7" s="1" customFormat="1" ht="16.5" customHeight="1">
      <c r="B78" s="212" t="s">
        <v>1</v>
      </c>
      <c r="C78" s="213"/>
      <c r="D78" s="214">
        <f>SUBTOTAL(109,ExpNov8[Amount])</f>
        <v>0</v>
      </c>
      <c r="E78" s="213"/>
      <c r="F78" s="213"/>
      <c r="G78" s="212"/>
    </row>
    <row r="80" spans="2:7" s="1" customFormat="1" ht="24" customHeight="1">
      <c r="B80" s="205" t="s">
        <v>162</v>
      </c>
      <c r="C80" s="117"/>
      <c r="D80" s="117"/>
      <c r="E80" s="117"/>
      <c r="F80" s="117"/>
      <c r="G80" s="117"/>
    </row>
    <row r="81" spans="2:7" s="1" customFormat="1" ht="16.5" customHeight="1">
      <c r="B81" s="117"/>
      <c r="C81" s="117"/>
      <c r="D81" s="117"/>
      <c r="E81" s="117"/>
      <c r="F81" s="117"/>
      <c r="G81" s="117"/>
    </row>
    <row r="82" spans="2:7" s="1" customFormat="1" ht="16.5" customHeight="1">
      <c r="B82" s="206" t="s">
        <v>50</v>
      </c>
      <c r="C82" s="207" t="s">
        <v>71</v>
      </c>
      <c r="D82" s="206" t="s">
        <v>48</v>
      </c>
      <c r="E82" s="207" t="s">
        <v>47</v>
      </c>
      <c r="F82" s="207" t="s">
        <v>161</v>
      </c>
      <c r="G82" s="206" t="s">
        <v>160</v>
      </c>
    </row>
    <row r="83" spans="2:7" s="1" customFormat="1" ht="16.5" customHeight="1">
      <c r="B83" s="25"/>
      <c r="C83" s="51"/>
      <c r="D83" s="211"/>
      <c r="E83" s="51"/>
      <c r="F83" s="51"/>
      <c r="G83" s="27"/>
    </row>
    <row r="84" spans="2:7" s="1" customFormat="1" ht="16.5" customHeight="1">
      <c r="B84" s="25"/>
      <c r="C84" s="51"/>
      <c r="D84" s="211"/>
      <c r="E84" s="51"/>
      <c r="F84" s="51"/>
      <c r="G84" s="27"/>
    </row>
    <row r="85" spans="2:7" s="1" customFormat="1" ht="16.5" customHeight="1">
      <c r="B85" s="25"/>
      <c r="C85" s="51"/>
      <c r="D85" s="211"/>
      <c r="E85" s="51"/>
      <c r="F85" s="51"/>
      <c r="G85" s="27"/>
    </row>
    <row r="86" spans="2:7" s="1" customFormat="1" ht="16.5" customHeight="1">
      <c r="B86" s="25"/>
      <c r="C86" s="51"/>
      <c r="D86" s="211"/>
      <c r="E86" s="51"/>
      <c r="F86" s="51"/>
      <c r="G86" s="27"/>
    </row>
    <row r="87" spans="2:7" s="1" customFormat="1" ht="16.5" customHeight="1">
      <c r="B87" s="25"/>
      <c r="C87" s="51"/>
      <c r="D87" s="211"/>
      <c r="E87" s="51"/>
      <c r="F87" s="51"/>
      <c r="G87" s="27"/>
    </row>
    <row r="88" spans="2:7" s="1" customFormat="1" ht="16.5" customHeight="1">
      <c r="B88" s="25"/>
      <c r="C88" s="51"/>
      <c r="D88" s="211"/>
      <c r="E88" s="51"/>
      <c r="F88" s="51"/>
      <c r="G88" s="27"/>
    </row>
    <row r="89" spans="2:7" s="1" customFormat="1" ht="16.5" customHeight="1">
      <c r="B89" s="212" t="s">
        <v>1</v>
      </c>
      <c r="C89" s="213"/>
      <c r="D89" s="214">
        <f>SUBTOTAL(109,ExpDec10[Amount])</f>
        <v>0</v>
      </c>
      <c r="E89" s="213"/>
      <c r="F89" s="213"/>
      <c r="G89" s="212"/>
    </row>
    <row r="91" spans="2:7" s="1" customFormat="1" ht="24.75" customHeight="1">
      <c r="B91" s="205" t="s">
        <v>163</v>
      </c>
      <c r="C91" s="117"/>
      <c r="D91" s="117"/>
      <c r="E91" s="117"/>
      <c r="F91" s="117"/>
      <c r="G91" s="117"/>
    </row>
    <row r="92" spans="2:7" s="1" customFormat="1" ht="16.5" customHeight="1">
      <c r="B92" s="117"/>
      <c r="C92" s="117"/>
      <c r="D92" s="117"/>
      <c r="E92" s="117"/>
      <c r="F92" s="117"/>
      <c r="G92" s="117"/>
    </row>
    <row r="93" spans="2:7" s="1" customFormat="1" ht="16.5" customHeight="1">
      <c r="B93" s="206" t="s">
        <v>50</v>
      </c>
      <c r="C93" s="207" t="s">
        <v>164</v>
      </c>
      <c r="D93" s="206" t="s">
        <v>48</v>
      </c>
      <c r="E93" s="207" t="s">
        <v>47</v>
      </c>
      <c r="F93" s="207" t="s">
        <v>161</v>
      </c>
      <c r="G93" s="206" t="s">
        <v>160</v>
      </c>
    </row>
    <row r="94" spans="2:7" s="1" customFormat="1" ht="16.5" customHeight="1">
      <c r="B94" s="25"/>
      <c r="C94" s="51"/>
      <c r="D94" s="211"/>
      <c r="E94" s="51"/>
      <c r="F94" s="51"/>
      <c r="G94" s="27"/>
    </row>
    <row r="95" spans="2:7" s="1" customFormat="1" ht="16.5" customHeight="1">
      <c r="B95" s="25"/>
      <c r="C95" s="51"/>
      <c r="D95" s="211"/>
      <c r="E95" s="51"/>
      <c r="F95" s="51"/>
      <c r="G95" s="27"/>
    </row>
    <row r="96" spans="2:7" s="1" customFormat="1" ht="16.5" customHeight="1">
      <c r="B96" s="25"/>
      <c r="C96" s="51"/>
      <c r="D96" s="211"/>
      <c r="E96" s="51"/>
      <c r="F96" s="51"/>
      <c r="G96" s="27"/>
    </row>
    <row r="97" spans="2:7" s="1" customFormat="1" ht="16.5" customHeight="1">
      <c r="B97" s="25"/>
      <c r="C97" s="51"/>
      <c r="D97" s="211"/>
      <c r="E97" s="51"/>
      <c r="F97" s="51"/>
      <c r="G97" s="27"/>
    </row>
    <row r="98" spans="2:7" s="1" customFormat="1" ht="16.5" customHeight="1">
      <c r="B98" s="25"/>
      <c r="C98" s="51"/>
      <c r="D98" s="211"/>
      <c r="E98" s="51"/>
      <c r="F98" s="51"/>
      <c r="G98" s="27"/>
    </row>
    <row r="99" spans="2:7" s="1" customFormat="1" ht="16.5" customHeight="1">
      <c r="B99" s="25"/>
      <c r="C99" s="51"/>
      <c r="D99" s="211"/>
      <c r="E99" s="51"/>
      <c r="F99" s="51"/>
      <c r="G99" s="27"/>
    </row>
    <row r="100" spans="2:7" s="1" customFormat="1" ht="16.5" customHeight="1">
      <c r="B100" s="25"/>
      <c r="C100" s="26"/>
      <c r="D100" s="211"/>
      <c r="E100" s="26"/>
      <c r="F100" s="26"/>
      <c r="G100" s="27"/>
    </row>
    <row r="101" spans="2:7" s="1" customFormat="1" ht="16.5" customHeight="1">
      <c r="B101" s="25"/>
      <c r="C101" s="26"/>
      <c r="D101" s="211"/>
      <c r="E101" s="26"/>
      <c r="F101" s="26"/>
      <c r="G101" s="27"/>
    </row>
    <row r="102" spans="2:7" s="1" customFormat="1" ht="16.5" customHeight="1">
      <c r="B102" s="25"/>
      <c r="C102" s="26"/>
      <c r="D102" s="211"/>
      <c r="E102" s="26"/>
      <c r="F102" s="26"/>
      <c r="G102" s="27"/>
    </row>
    <row r="103" spans="2:7" s="1" customFormat="1" ht="16.5" customHeight="1">
      <c r="B103" s="25"/>
      <c r="C103" s="26"/>
      <c r="D103" s="211"/>
      <c r="E103" s="26"/>
      <c r="F103" s="26"/>
      <c r="G103" s="27"/>
    </row>
    <row r="104" spans="2:7" s="1" customFormat="1" ht="16.5" customHeight="1">
      <c r="B104" s="25"/>
      <c r="C104" s="26"/>
      <c r="D104" s="211"/>
      <c r="E104" s="26"/>
      <c r="F104" s="26"/>
      <c r="G104" s="27"/>
    </row>
    <row r="105" spans="2:7" s="1" customFormat="1" ht="16.5" customHeight="1">
      <c r="B105" s="25"/>
      <c r="C105" s="26"/>
      <c r="D105" s="211"/>
      <c r="E105" s="26"/>
      <c r="F105" s="26"/>
      <c r="G105" s="27"/>
    </row>
    <row r="106" spans="2:7" s="1" customFormat="1" ht="16.5" customHeight="1">
      <c r="B106" s="27"/>
      <c r="C106" s="26"/>
      <c r="D106" s="211"/>
      <c r="E106" s="26"/>
      <c r="F106" s="26"/>
      <c r="G106" s="27"/>
    </row>
    <row r="107" spans="2:7" s="1" customFormat="1" ht="16.5" customHeight="1">
      <c r="B107" s="212" t="s">
        <v>1</v>
      </c>
      <c r="C107" s="213"/>
      <c r="D107" s="214">
        <f>SUBTOTAL(109,ExpJan13[Amount])</f>
        <v>0</v>
      </c>
      <c r="E107" s="213"/>
      <c r="F107" s="213"/>
      <c r="G107" s="212"/>
    </row>
    <row r="109" spans="2:7" s="1" customFormat="1" ht="24.75" customHeight="1">
      <c r="B109" s="205" t="s">
        <v>165</v>
      </c>
      <c r="C109" s="117"/>
      <c r="D109" s="117"/>
      <c r="E109" s="117"/>
      <c r="F109" s="117"/>
      <c r="G109" s="117"/>
    </row>
    <row r="110" spans="2:7" s="1" customFormat="1" ht="16.5" customHeight="1">
      <c r="B110" s="117"/>
      <c r="C110" s="117"/>
      <c r="D110" s="117"/>
      <c r="E110" s="117"/>
      <c r="F110" s="117"/>
      <c r="G110" s="117"/>
    </row>
    <row r="111" spans="2:7" s="1" customFormat="1" ht="16.5" customHeight="1">
      <c r="B111" s="206" t="s">
        <v>50</v>
      </c>
      <c r="C111" s="207" t="s">
        <v>71</v>
      </c>
      <c r="D111" s="206" t="s">
        <v>48</v>
      </c>
      <c r="E111" s="207" t="s">
        <v>47</v>
      </c>
      <c r="F111" s="207" t="s">
        <v>161</v>
      </c>
      <c r="G111" s="206" t="s">
        <v>160</v>
      </c>
    </row>
    <row r="112" spans="2:7" s="1" customFormat="1" ht="16.5" customHeight="1">
      <c r="B112" s="25"/>
      <c r="C112" s="51"/>
      <c r="D112" s="211"/>
      <c r="E112" s="51"/>
      <c r="F112" s="51"/>
      <c r="G112" s="27"/>
    </row>
    <row r="113" spans="2:7" s="1" customFormat="1" ht="16.5" customHeight="1">
      <c r="B113" s="25"/>
      <c r="C113" s="51"/>
      <c r="D113" s="211"/>
      <c r="E113" s="51"/>
      <c r="F113" s="51"/>
      <c r="G113" s="27"/>
    </row>
    <row r="114" spans="2:7" s="1" customFormat="1" ht="16.5" customHeight="1">
      <c r="B114" s="25"/>
      <c r="C114" s="51"/>
      <c r="D114" s="211"/>
      <c r="E114" s="51"/>
      <c r="F114" s="51"/>
      <c r="G114" s="27"/>
    </row>
    <row r="115" spans="2:7" s="1" customFormat="1" ht="16.5" customHeight="1">
      <c r="B115" s="25"/>
      <c r="C115" s="51"/>
      <c r="D115" s="211"/>
      <c r="E115" s="51"/>
      <c r="F115" s="51"/>
      <c r="G115" s="27"/>
    </row>
    <row r="116" spans="2:7" s="1" customFormat="1" ht="16.5" customHeight="1">
      <c r="B116" s="25"/>
      <c r="C116" s="51"/>
      <c r="D116" s="211"/>
      <c r="E116" s="51"/>
      <c r="F116" s="51"/>
      <c r="G116" s="27"/>
    </row>
    <row r="117" spans="2:7" s="1" customFormat="1" ht="16.5" customHeight="1">
      <c r="B117" s="25"/>
      <c r="C117" s="51"/>
      <c r="D117" s="211"/>
      <c r="E117" s="51"/>
      <c r="F117" s="51"/>
      <c r="G117" s="27"/>
    </row>
    <row r="118" spans="2:7" s="1" customFormat="1" ht="16.5" customHeight="1">
      <c r="B118" s="25"/>
      <c r="C118" s="51"/>
      <c r="D118" s="211"/>
      <c r="E118" s="51"/>
      <c r="F118" s="51"/>
      <c r="G118" s="27"/>
    </row>
    <row r="119" spans="2:7" s="1" customFormat="1" ht="16.5" customHeight="1">
      <c r="B119" s="25"/>
      <c r="C119" s="51"/>
      <c r="D119" s="211"/>
      <c r="E119" s="51"/>
      <c r="F119" s="51"/>
      <c r="G119" s="27"/>
    </row>
    <row r="120" spans="2:7" s="1" customFormat="1" ht="16.5" customHeight="1">
      <c r="B120" s="25"/>
      <c r="C120" s="51"/>
      <c r="D120" s="211"/>
      <c r="E120" s="51"/>
      <c r="F120" s="51"/>
      <c r="G120" s="27"/>
    </row>
    <row r="121" spans="2:7" s="1" customFormat="1" ht="16.5" customHeight="1">
      <c r="B121" s="25"/>
      <c r="C121" s="51"/>
      <c r="D121" s="211"/>
      <c r="E121" s="51"/>
      <c r="F121" s="51"/>
      <c r="G121" s="27"/>
    </row>
    <row r="122" spans="2:7" s="1" customFormat="1" ht="16.5" customHeight="1">
      <c r="B122" s="25"/>
      <c r="C122" s="51"/>
      <c r="D122" s="211"/>
      <c r="E122" s="51"/>
      <c r="F122" s="51"/>
      <c r="G122" s="27"/>
    </row>
    <row r="123" spans="2:7" s="1" customFormat="1" ht="16.5" customHeight="1">
      <c r="B123" s="25"/>
      <c r="C123" s="51"/>
      <c r="D123" s="211"/>
      <c r="E123" s="51"/>
      <c r="F123" s="51"/>
      <c r="G123" s="27"/>
    </row>
    <row r="124" spans="2:7" s="1" customFormat="1" ht="16.5" customHeight="1">
      <c r="B124" s="212" t="s">
        <v>1</v>
      </c>
      <c r="C124" s="213"/>
      <c r="D124" s="214">
        <f>SUBTOTAL(109,ExpFeb23[Amount])</f>
        <v>0</v>
      </c>
      <c r="E124" s="213"/>
      <c r="F124" s="213"/>
      <c r="G124" s="212"/>
    </row>
    <row r="126" spans="2:7" s="1" customFormat="1" ht="26.25" customHeight="1">
      <c r="B126" s="205" t="s">
        <v>166</v>
      </c>
      <c r="C126" s="117"/>
      <c r="D126" s="117"/>
      <c r="E126" s="117"/>
      <c r="F126" s="117"/>
      <c r="G126" s="117"/>
    </row>
    <row r="127" spans="2:7" s="1" customFormat="1" ht="16.5" customHeight="1">
      <c r="B127" s="117"/>
      <c r="C127" s="117"/>
      <c r="D127" s="117"/>
      <c r="E127" s="117"/>
      <c r="F127" s="117"/>
      <c r="G127" s="117"/>
    </row>
    <row r="128" spans="2:7" s="1" customFormat="1" ht="16.5" customHeight="1">
      <c r="B128" s="206" t="s">
        <v>50</v>
      </c>
      <c r="C128" s="207" t="s">
        <v>71</v>
      </c>
      <c r="D128" s="206" t="s">
        <v>48</v>
      </c>
      <c r="E128" s="207" t="s">
        <v>47</v>
      </c>
      <c r="F128" s="207" t="s">
        <v>161</v>
      </c>
      <c r="G128" s="206" t="s">
        <v>160</v>
      </c>
    </row>
    <row r="129" spans="2:7" s="1" customFormat="1" ht="16.5" customHeight="1">
      <c r="B129" s="25"/>
      <c r="C129" s="51"/>
      <c r="D129" s="211"/>
      <c r="E129" s="51"/>
      <c r="F129" s="51"/>
      <c r="G129" s="27"/>
    </row>
    <row r="130" spans="2:7" s="1" customFormat="1" ht="16.5" customHeight="1">
      <c r="B130" s="25"/>
      <c r="C130" s="51"/>
      <c r="D130" s="211"/>
      <c r="E130" s="51"/>
      <c r="F130" s="51"/>
      <c r="G130" s="27"/>
    </row>
    <row r="131" spans="2:7" s="1" customFormat="1" ht="16.5" customHeight="1">
      <c r="B131" s="25"/>
      <c r="C131" s="51"/>
      <c r="D131" s="211"/>
      <c r="E131" s="51"/>
      <c r="F131" s="51"/>
      <c r="G131" s="27"/>
    </row>
    <row r="132" spans="2:7" s="1" customFormat="1" ht="16.5" customHeight="1">
      <c r="B132" s="25"/>
      <c r="C132" s="51"/>
      <c r="D132" s="211"/>
      <c r="E132" s="51"/>
      <c r="F132" s="51"/>
      <c r="G132" s="27"/>
    </row>
    <row r="133" spans="2:7" s="1" customFormat="1" ht="16.5" customHeight="1">
      <c r="B133" s="25"/>
      <c r="C133" s="51"/>
      <c r="D133" s="211"/>
      <c r="E133" s="51"/>
      <c r="F133" s="51"/>
      <c r="G133" s="27"/>
    </row>
    <row r="134" spans="2:7" s="1" customFormat="1" ht="16.5" customHeight="1">
      <c r="B134" s="25"/>
      <c r="C134" s="51"/>
      <c r="D134" s="211"/>
      <c r="E134" s="51"/>
      <c r="F134" s="51"/>
      <c r="G134" s="27"/>
    </row>
    <row r="135" spans="2:7" s="1" customFormat="1" ht="16.5" customHeight="1">
      <c r="B135" s="25"/>
      <c r="C135" s="51"/>
      <c r="D135" s="211"/>
      <c r="E135" s="51"/>
      <c r="F135" s="51"/>
      <c r="G135" s="27"/>
    </row>
    <row r="136" spans="2:7" s="1" customFormat="1" ht="16.5" customHeight="1">
      <c r="B136" s="25"/>
      <c r="C136" s="51"/>
      <c r="D136" s="211"/>
      <c r="E136" s="51"/>
      <c r="F136" s="51"/>
      <c r="G136" s="27"/>
    </row>
    <row r="137" spans="2:7" s="1" customFormat="1" ht="16.5" customHeight="1">
      <c r="B137" s="25"/>
      <c r="C137" s="51"/>
      <c r="D137" s="211"/>
      <c r="E137" s="51"/>
      <c r="F137" s="51"/>
      <c r="G137" s="27"/>
    </row>
    <row r="138" spans="2:7" s="1" customFormat="1" ht="16.5" customHeight="1">
      <c r="B138" s="212" t="s">
        <v>1</v>
      </c>
      <c r="C138" s="213"/>
      <c r="D138" s="214">
        <f>SUBTOTAL(109,ExpMar24[Amount])</f>
        <v>0</v>
      </c>
      <c r="E138" s="213"/>
      <c r="F138" s="213"/>
      <c r="G138" s="212"/>
    </row>
    <row r="140" spans="2:7" s="1" customFormat="1" ht="24" customHeight="1">
      <c r="B140" s="205" t="s">
        <v>167</v>
      </c>
      <c r="C140" s="117"/>
      <c r="D140" s="117"/>
      <c r="E140" s="117"/>
      <c r="F140" s="117"/>
      <c r="G140" s="117"/>
    </row>
    <row r="141" spans="2:7" s="1" customFormat="1" ht="16.5" customHeight="1">
      <c r="B141" s="117"/>
      <c r="C141" s="117"/>
      <c r="D141" s="117"/>
      <c r="E141" s="117"/>
      <c r="F141" s="117"/>
      <c r="G141" s="117"/>
    </row>
    <row r="142" spans="2:7" s="1" customFormat="1" ht="16.5" customHeight="1">
      <c r="B142" s="206" t="s">
        <v>50</v>
      </c>
      <c r="C142" s="207" t="s">
        <v>168</v>
      </c>
      <c r="D142" s="206" t="s">
        <v>48</v>
      </c>
      <c r="E142" s="207" t="s">
        <v>47</v>
      </c>
      <c r="F142" s="207" t="s">
        <v>161</v>
      </c>
      <c r="G142" s="206" t="s">
        <v>160</v>
      </c>
    </row>
    <row r="143" spans="2:7" s="1" customFormat="1" ht="16.5" customHeight="1">
      <c r="B143" s="25"/>
      <c r="C143" s="51"/>
      <c r="D143" s="211"/>
      <c r="E143" s="51"/>
      <c r="F143" s="51"/>
      <c r="G143" s="27"/>
    </row>
    <row r="144" spans="2:7" s="1" customFormat="1" ht="16.5" customHeight="1">
      <c r="B144" s="25"/>
      <c r="C144" s="51"/>
      <c r="D144" s="211"/>
      <c r="E144" s="51"/>
      <c r="F144" s="51"/>
      <c r="G144" s="27"/>
    </row>
    <row r="145" spans="2:7" s="1" customFormat="1" ht="16.5" customHeight="1">
      <c r="B145" s="25"/>
      <c r="C145" s="51"/>
      <c r="D145" s="211"/>
      <c r="E145" s="51"/>
      <c r="F145" s="51"/>
      <c r="G145" s="27"/>
    </row>
    <row r="146" spans="2:7" s="1" customFormat="1" ht="16.5" customHeight="1">
      <c r="B146" s="25"/>
      <c r="C146" s="51"/>
      <c r="D146" s="211"/>
      <c r="E146" s="51"/>
      <c r="F146" s="51"/>
      <c r="G146" s="27"/>
    </row>
    <row r="147" spans="2:7" s="1" customFormat="1" ht="16.5" customHeight="1">
      <c r="B147" s="25"/>
      <c r="C147" s="51"/>
      <c r="D147" s="211"/>
      <c r="E147" s="51"/>
      <c r="F147" s="51"/>
      <c r="G147" s="27"/>
    </row>
    <row r="148" spans="2:7" s="1" customFormat="1" ht="16.5" customHeight="1">
      <c r="B148" s="25"/>
      <c r="C148" s="51"/>
      <c r="D148" s="211"/>
      <c r="E148" s="51"/>
      <c r="F148" s="51"/>
      <c r="G148" s="27"/>
    </row>
    <row r="149" spans="2:7" s="1" customFormat="1" ht="16.5" customHeight="1">
      <c r="B149" s="25"/>
      <c r="C149" s="51"/>
      <c r="D149" s="211"/>
      <c r="E149" s="51"/>
      <c r="F149" s="51"/>
      <c r="G149" s="27"/>
    </row>
    <row r="150" spans="2:7" s="1" customFormat="1" ht="16.5" customHeight="1">
      <c r="B150" s="25"/>
      <c r="C150" s="51"/>
      <c r="D150" s="211"/>
      <c r="E150" s="51"/>
      <c r="F150" s="51"/>
      <c r="G150" s="27"/>
    </row>
    <row r="151" spans="2:7" s="1" customFormat="1" ht="16.5" customHeight="1">
      <c r="B151" s="25"/>
      <c r="C151" s="51"/>
      <c r="D151" s="211"/>
      <c r="E151" s="51"/>
      <c r="F151" s="51"/>
      <c r="G151" s="27"/>
    </row>
    <row r="152" spans="2:7" s="1" customFormat="1" ht="16.5" customHeight="1">
      <c r="B152" s="212" t="s">
        <v>1</v>
      </c>
      <c r="C152" s="213"/>
      <c r="D152" s="214">
        <f>SUBTOTAL(109,ExpApr25[Amount])</f>
        <v>0</v>
      </c>
      <c r="E152" s="213"/>
      <c r="F152" s="213"/>
      <c r="G152" s="212"/>
    </row>
    <row r="154" spans="2:7" s="1" customFormat="1" ht="25.5" customHeight="1">
      <c r="B154" s="205" t="s">
        <v>169</v>
      </c>
      <c r="C154" s="36"/>
      <c r="D154" s="36"/>
      <c r="E154" s="36"/>
      <c r="F154" s="36"/>
      <c r="G154" s="36"/>
    </row>
    <row r="155" spans="2:7" s="1" customFormat="1" ht="16.5" customHeight="1">
      <c r="B155" s="36"/>
      <c r="C155" s="36"/>
      <c r="D155" s="36"/>
      <c r="E155" s="36"/>
      <c r="F155" s="36"/>
      <c r="G155" s="36"/>
    </row>
    <row r="156" spans="2:7" s="1" customFormat="1" ht="16.5" customHeight="1">
      <c r="B156" s="39" t="s">
        <v>50</v>
      </c>
      <c r="C156" s="39" t="s">
        <v>71</v>
      </c>
      <c r="D156" s="39" t="s">
        <v>48</v>
      </c>
      <c r="E156" s="39" t="s">
        <v>47</v>
      </c>
      <c r="F156" s="39" t="s">
        <v>46</v>
      </c>
      <c r="G156" s="344" t="s">
        <v>45</v>
      </c>
    </row>
    <row r="157" spans="2:7" s="1" customFormat="1" ht="16.5" customHeight="1">
      <c r="B157" s="38"/>
      <c r="C157" s="37"/>
      <c r="D157" s="37"/>
      <c r="E157" s="37"/>
      <c r="F157" s="37"/>
      <c r="G157" s="345"/>
    </row>
    <row r="158" spans="2:7" s="1" customFormat="1" ht="16.5" customHeight="1">
      <c r="B158" s="38"/>
      <c r="C158" s="37"/>
      <c r="D158" s="37"/>
      <c r="E158" s="37"/>
      <c r="F158" s="37"/>
      <c r="G158" s="345"/>
    </row>
    <row r="159" spans="2:7" s="1" customFormat="1" ht="16.5" customHeight="1">
      <c r="B159" s="38"/>
      <c r="C159" s="37"/>
      <c r="D159" s="37"/>
      <c r="E159" s="37"/>
      <c r="F159" s="37"/>
      <c r="G159" s="345"/>
    </row>
    <row r="160" spans="2:7" s="1" customFormat="1" ht="16.5" customHeight="1">
      <c r="B160" s="38"/>
      <c r="C160" s="37"/>
      <c r="D160" s="37"/>
      <c r="E160" s="37"/>
      <c r="F160" s="37"/>
      <c r="G160" s="345"/>
    </row>
    <row r="161" spans="2:7" s="1" customFormat="1" ht="16.5" customHeight="1">
      <c r="B161" s="38"/>
      <c r="C161" s="37"/>
      <c r="D161" s="37"/>
      <c r="E161" s="37"/>
      <c r="F161" s="37"/>
      <c r="G161" s="345"/>
    </row>
    <row r="162" spans="2:7" s="1" customFormat="1" ht="16.5" customHeight="1">
      <c r="B162" s="38"/>
      <c r="C162" s="37"/>
      <c r="D162" s="37"/>
      <c r="E162" s="37"/>
      <c r="F162" s="37"/>
      <c r="G162" s="345"/>
    </row>
    <row r="163" spans="2:7" s="1" customFormat="1" ht="16.5" customHeight="1">
      <c r="B163" s="38"/>
      <c r="C163" s="37"/>
      <c r="D163" s="37"/>
      <c r="E163" s="37"/>
      <c r="F163" s="37"/>
      <c r="G163" s="345"/>
    </row>
    <row r="164" spans="2:7" s="1" customFormat="1" ht="16.5" customHeight="1">
      <c r="B164" s="38"/>
      <c r="C164" s="37"/>
      <c r="D164" s="37"/>
      <c r="E164" s="37"/>
      <c r="F164" s="37"/>
      <c r="G164" s="345"/>
    </row>
    <row r="165" spans="2:7" s="1" customFormat="1" ht="16.5" customHeight="1">
      <c r="B165" s="38"/>
      <c r="C165" s="345"/>
      <c r="D165" s="345"/>
      <c r="E165" s="345"/>
      <c r="F165" s="345"/>
      <c r="G165" s="345"/>
    </row>
    <row r="166" spans="2:7" s="1" customFormat="1" ht="16.5" customHeight="1">
      <c r="B166" s="38"/>
      <c r="C166" s="345"/>
      <c r="D166" s="345"/>
      <c r="E166" s="345"/>
      <c r="F166" s="345"/>
      <c r="G166" s="345"/>
    </row>
    <row r="167" spans="2:7" s="1" customFormat="1" ht="16.5" customHeight="1">
      <c r="B167" s="38"/>
      <c r="C167" s="345"/>
      <c r="D167" s="345"/>
      <c r="E167" s="345"/>
      <c r="F167" s="345"/>
      <c r="G167" s="345"/>
    </row>
    <row r="168" spans="2:7" s="1" customFormat="1" ht="16.5" customHeight="1">
      <c r="B168" s="38"/>
      <c r="C168" s="345"/>
      <c r="D168" s="345"/>
      <c r="E168" s="345"/>
      <c r="F168" s="345"/>
      <c r="G168" s="345"/>
    </row>
    <row r="169" spans="2:7" s="1" customFormat="1" ht="16.5" customHeight="1">
      <c r="B169" s="38"/>
      <c r="C169" s="345"/>
      <c r="D169" s="345"/>
      <c r="E169" s="345"/>
      <c r="F169" s="345"/>
      <c r="G169" s="345"/>
    </row>
    <row r="170" spans="2:7" s="1" customFormat="1" ht="16.5" customHeight="1">
      <c r="B170" s="38"/>
      <c r="C170" s="345"/>
      <c r="D170" s="345"/>
      <c r="E170" s="345"/>
      <c r="F170" s="345"/>
      <c r="G170" s="345"/>
    </row>
    <row r="171" spans="2:7" s="1" customFormat="1" ht="16.5" customHeight="1">
      <c r="B171" s="38"/>
      <c r="C171" s="345"/>
      <c r="D171" s="345"/>
      <c r="E171" s="345"/>
      <c r="F171" s="345"/>
      <c r="G171" s="345"/>
    </row>
    <row r="172" spans="2:7" s="1" customFormat="1" ht="16.5" customHeight="1">
      <c r="B172" s="346" t="s">
        <v>1</v>
      </c>
      <c r="C172" s="346"/>
      <c r="D172" s="346">
        <f>SUBTOTAL(109,ExpMay26[Amount])</f>
        <v>0</v>
      </c>
      <c r="E172" s="346"/>
      <c r="F172" s="347"/>
      <c r="G172" s="344"/>
    </row>
    <row r="174" spans="2:7" s="1" customFormat="1" ht="24" customHeight="1">
      <c r="B174" s="205" t="s">
        <v>170</v>
      </c>
      <c r="C174" s="117"/>
      <c r="D174" s="117"/>
      <c r="E174" s="117"/>
      <c r="F174" s="117"/>
      <c r="G174" s="117"/>
    </row>
    <row r="175" spans="2:7" s="1" customFormat="1" ht="16.5" customHeight="1">
      <c r="B175" s="117"/>
      <c r="C175" s="117"/>
      <c r="D175" s="117"/>
      <c r="E175" s="117"/>
      <c r="F175" s="117"/>
      <c r="G175" s="117"/>
    </row>
    <row r="176" spans="2:7" s="1" customFormat="1" ht="16.5" customHeight="1">
      <c r="B176" s="206" t="s">
        <v>50</v>
      </c>
      <c r="C176" s="207" t="s">
        <v>155</v>
      </c>
      <c r="D176" s="206" t="s">
        <v>48</v>
      </c>
      <c r="E176" s="207" t="s">
        <v>47</v>
      </c>
      <c r="F176" s="207" t="s">
        <v>46</v>
      </c>
      <c r="G176" s="206" t="s">
        <v>45</v>
      </c>
    </row>
    <row r="177" spans="2:7" s="1" customFormat="1" ht="16.5" customHeight="1">
      <c r="B177" s="25"/>
      <c r="C177" s="51"/>
      <c r="D177" s="211"/>
      <c r="E177" s="51"/>
      <c r="F177" s="51"/>
      <c r="G177" s="27"/>
    </row>
    <row r="178" spans="2:7" s="1" customFormat="1" ht="16.5" customHeight="1">
      <c r="B178" s="25"/>
      <c r="C178" s="51"/>
      <c r="D178" s="211"/>
      <c r="E178" s="51"/>
      <c r="F178" s="51"/>
      <c r="G178" s="27"/>
    </row>
    <row r="179" spans="2:7" s="1" customFormat="1" ht="16.5" customHeight="1">
      <c r="B179" s="25"/>
      <c r="C179" s="51"/>
      <c r="D179" s="211"/>
      <c r="E179" s="51"/>
      <c r="F179" s="51"/>
      <c r="G179" s="27"/>
    </row>
    <row r="180" spans="2:7" s="1" customFormat="1" ht="16.5" customHeight="1">
      <c r="B180" s="25"/>
      <c r="C180" s="51"/>
      <c r="D180" s="211"/>
      <c r="E180" s="51"/>
      <c r="F180" s="51"/>
      <c r="G180" s="27"/>
    </row>
    <row r="181" spans="2:7" s="1" customFormat="1" ht="16.5" customHeight="1">
      <c r="B181" s="25"/>
      <c r="C181" s="51"/>
      <c r="D181" s="211"/>
      <c r="E181" s="51"/>
      <c r="F181" s="51"/>
      <c r="G181" s="27"/>
    </row>
    <row r="182" spans="2:7" s="1" customFormat="1" ht="16.5" customHeight="1">
      <c r="B182" s="25"/>
      <c r="C182" s="51"/>
      <c r="D182" s="211"/>
      <c r="E182" s="51"/>
      <c r="F182" s="51"/>
      <c r="G182" s="27"/>
    </row>
    <row r="183" spans="2:7" s="1" customFormat="1" ht="16.5" customHeight="1">
      <c r="B183" s="25"/>
      <c r="C183" s="51"/>
      <c r="D183" s="211"/>
      <c r="E183" s="51"/>
      <c r="F183" s="51"/>
      <c r="G183" s="27"/>
    </row>
    <row r="184" spans="2:7" s="1" customFormat="1" ht="16.5" customHeight="1">
      <c r="B184" s="25"/>
      <c r="C184" s="51"/>
      <c r="D184" s="211"/>
      <c r="E184" s="51"/>
      <c r="F184" s="51"/>
      <c r="G184" s="27"/>
    </row>
    <row r="185" spans="2:7" s="1" customFormat="1" ht="16.5" customHeight="1">
      <c r="B185" s="25"/>
      <c r="C185" s="51"/>
      <c r="D185" s="211"/>
      <c r="E185" s="51"/>
      <c r="F185" s="51"/>
      <c r="G185" s="27"/>
    </row>
    <row r="186" spans="2:7" s="1" customFormat="1" ht="16.5" customHeight="1">
      <c r="B186" s="25"/>
      <c r="C186" s="51"/>
      <c r="D186" s="211"/>
      <c r="E186" s="51"/>
      <c r="F186" s="51"/>
      <c r="G186" s="27"/>
    </row>
    <row r="187" spans="2:7" s="1" customFormat="1" ht="16.5" customHeight="1">
      <c r="B187" s="25"/>
      <c r="C187" s="51"/>
      <c r="D187" s="211"/>
      <c r="E187" s="51"/>
      <c r="F187" s="51"/>
      <c r="G187" s="27"/>
    </row>
    <row r="188" spans="2:7" s="1" customFormat="1" ht="16.5" customHeight="1">
      <c r="B188" s="25"/>
      <c r="C188" s="51"/>
      <c r="D188" s="211"/>
      <c r="E188" s="51"/>
      <c r="F188" s="51"/>
      <c r="G188" s="27"/>
    </row>
    <row r="189" spans="2:7" s="1" customFormat="1" ht="16.5" customHeight="1">
      <c r="B189" s="25"/>
      <c r="C189" s="51"/>
      <c r="D189" s="211"/>
      <c r="E189" s="51"/>
      <c r="F189" s="51"/>
      <c r="G189" s="27"/>
    </row>
    <row r="190" spans="2:7" s="1" customFormat="1" ht="16.5" customHeight="1">
      <c r="B190" s="224" t="s">
        <v>1</v>
      </c>
      <c r="C190" s="225"/>
      <c r="D190" s="226">
        <f>SUBTOTAL(109,ExpJun27[Amount])</f>
        <v>0</v>
      </c>
      <c r="E190" s="225"/>
      <c r="F190" s="225"/>
      <c r="G190" s="224"/>
    </row>
  </sheetData>
  <dataValidations count="14">
    <dataValidation type="custom" errorStyle="warning" allowBlank="1" showInputMessage="1" showErrorMessage="1" errorTitle="Amount Validation" error="Amount should be a number." sqref="D5:D15 D17 D21:D33 D39:D48 D54:D64 D70:D77 D83:D88 D94:D106 D112:D123 D129:D137 D143:D151 D157:D171 D177:D189">
      <formula1>ISNUMBER($D5)</formula1>
    </dataValidation>
    <dataValidation type="custom" errorStyle="warning" allowBlank="1" showInputMessage="1" showErrorMessage="1" errorTitle="Date Validation" error="A date in July needs be entered  in order for this expense to be added to the Summary sheet." sqref="B5:B15 B17">
      <formula1>MONTH($B5)=7</formula1>
    </dataValidation>
    <dataValidation type="list" errorStyle="warning" allowBlank="1" showInputMessage="1" showErrorMessage="1" errorTitle="Unknown Category" error="An expense from the drop down should be selected in order for it to be included on the Summary sheet." sqref="E5:F15 E17:F17 E21:F33 E39:F48 E54:F64 E70:F77 E83:F88 E94:F106 E112:F123 E129:F137 E143:F151 E157:E171 E177:F189">
      <formula1>ExpenseCategories</formula1>
    </dataValidation>
    <dataValidation type="custom" errorStyle="warning" allowBlank="1" showInputMessage="1" showErrorMessage="1" errorTitle="Date Validation" error="A date in August needs be entered  in order for this expense to be added to the Summary sheet." sqref="B21:B33">
      <formula1>MONTH($B21)=8</formula1>
    </dataValidation>
    <dataValidation type="custom" errorStyle="warning" allowBlank="1" showInputMessage="1" showErrorMessage="1" errorTitle="Date Validation" error="A date in September needs be entered  in order for this expense to be added to the Summary sheet." sqref="B39:B48">
      <formula1>MONTH($B39)=9</formula1>
    </dataValidation>
    <dataValidation type="custom" errorStyle="warning" allowBlank="1" showInputMessage="1" showErrorMessage="1" errorTitle="Date Validation" error="A date in October needs be entered  in order for this expense to be added to the Summary sheet." sqref="B54:B64">
      <formula1>MONTH($B54)=10</formula1>
    </dataValidation>
    <dataValidation type="custom" errorStyle="warning" allowBlank="1" showInputMessage="1" showErrorMessage="1" errorTitle="Date Validation" error="A date in November needs be entered  in order for this expense to be added to the Summary sheet." sqref="B70:B77">
      <formula1>MONTH($B70)=11</formula1>
    </dataValidation>
    <dataValidation type="custom" errorStyle="warning" allowBlank="1" showInputMessage="1" showErrorMessage="1" errorTitle="Date Validation" error="A date in December needs be entered  in order for this expense to be added to the Summary sheet." sqref="B83:B88">
      <formula1>MONTH($B83)=12</formula1>
    </dataValidation>
    <dataValidation type="custom" errorStyle="warning" allowBlank="1" showInputMessage="1" showErrorMessage="1" errorTitle="Date Validation" error="A date in January needs be entered in order for this expense to be added to the Summary sheet." sqref="B94:B106">
      <formula1>MONTH($B94)=1</formula1>
    </dataValidation>
    <dataValidation type="custom" errorStyle="warning" allowBlank="1" showInputMessage="1" showErrorMessage="1" errorTitle="Date Validation" error="A date in February needs be entered in order for this expense to be added to the Summary sheet." sqref="B112:B123">
      <formula1>MONTH($B112)=2</formula1>
    </dataValidation>
    <dataValidation type="custom" errorStyle="warning" allowBlank="1" showInputMessage="1" showErrorMessage="1" errorTitle="Date Validation" error="A date in March needs be entered in order for this expense to be added to the Summary sheet." sqref="B129:B137">
      <formula1>MONTH($B129)=3</formula1>
    </dataValidation>
    <dataValidation type="custom" errorStyle="warning" allowBlank="1" showInputMessage="1" showErrorMessage="1" errorTitle="Date Validation" error="A date in April needs be entered  in order for this expense to be added to the Summary sheet." sqref="B143:B151">
      <formula1>MONTH($B143)=4</formula1>
    </dataValidation>
    <dataValidation type="custom" errorStyle="warning" allowBlank="1" showInputMessage="1" showErrorMessage="1" errorTitle="Date Validation" error="A date in May needs be entered  in order for this expense to be added to the Summary sheet." sqref="B157:B171">
      <formula1>MONTH($B157)=5</formula1>
    </dataValidation>
    <dataValidation type="custom" errorStyle="warning" allowBlank="1" showInputMessage="1" showErrorMessage="1" errorTitle="Date Validation" error="A date in June needs be entered  in order for this expense to be added to the Summary sheet." sqref="B177:B189">
      <formula1>MONTH($B177)=6</formula1>
    </dataValidation>
  </dataValidations>
  <printOptions horizontalCentered="1"/>
  <pageMargins left="0.25" right="0.25" top="0.75" bottom="0.75" header="0.3" footer="0.3"/>
  <pageSetup fitToHeight="0" orientation="landscape"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194"/>
  <sheetViews>
    <sheetView showGridLines="0" topLeftCell="A88" zoomScale="115" zoomScaleNormal="115" workbookViewId="0">
      <selection activeCell="I98" sqref="A1:XFD1048576"/>
    </sheetView>
  </sheetViews>
  <sheetFormatPr defaultColWidth="9.140625" defaultRowHeight="16.5" customHeight="1"/>
  <cols>
    <col min="1" max="1" width="3.140625" style="1" customWidth="1"/>
    <col min="2" max="4" width="12.28515625" style="1" customWidth="1"/>
    <col min="5" max="5" width="15.7109375" style="1" customWidth="1"/>
    <col min="6" max="6" width="41.85546875"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660</v>
      </c>
      <c r="G4" s="185" t="s">
        <v>45</v>
      </c>
    </row>
    <row r="5" spans="2:8" s="1" customFormat="1" ht="16.5" customHeight="1">
      <c r="B5" s="568"/>
      <c r="C5" s="190"/>
      <c r="D5" s="46"/>
      <c r="E5" s="190"/>
      <c r="F5" s="190"/>
      <c r="G5" s="190"/>
    </row>
    <row r="6" spans="2:8" s="1" customFormat="1" ht="16.5" customHeight="1">
      <c r="B6" s="568"/>
      <c r="C6" s="190"/>
      <c r="D6" s="46"/>
      <c r="E6" s="190"/>
      <c r="F6" s="190"/>
      <c r="G6" s="190"/>
    </row>
    <row r="7" spans="2:8" s="1" customFormat="1" ht="16.5" customHeight="1">
      <c r="B7" s="568"/>
      <c r="C7" s="190"/>
      <c r="D7" s="46"/>
      <c r="E7" s="190"/>
      <c r="F7" s="190"/>
      <c r="G7" s="190"/>
    </row>
    <row r="8" spans="2:8" s="1" customFormat="1" ht="16.5" customHeight="1">
      <c r="B8" s="568"/>
      <c r="C8" s="190"/>
      <c r="D8" s="46"/>
      <c r="E8" s="190"/>
      <c r="F8" s="190"/>
      <c r="G8" s="190"/>
    </row>
    <row r="9" spans="2:8" s="1" customFormat="1" ht="16.5" customHeight="1">
      <c r="B9" s="568"/>
      <c r="C9" s="190"/>
      <c r="D9" s="46"/>
      <c r="E9" s="190"/>
      <c r="F9" s="190"/>
      <c r="G9" s="190"/>
    </row>
    <row r="10" spans="2:8" s="1" customFormat="1" ht="16.5" customHeight="1">
      <c r="B10" s="568"/>
      <c r="C10" s="190"/>
      <c r="D10" s="46"/>
      <c r="E10" s="190"/>
      <c r="F10" s="190"/>
      <c r="G10" s="190"/>
    </row>
    <row r="11" spans="2:8" s="1" customFormat="1" ht="16.5" customHeight="1">
      <c r="B11" s="568"/>
      <c r="C11" s="190"/>
      <c r="D11" s="46"/>
      <c r="E11" s="190"/>
      <c r="F11" s="190"/>
      <c r="G11" s="190"/>
    </row>
    <row r="12" spans="2:8" s="1" customFormat="1" ht="16.5" customHeight="1">
      <c r="B12" s="568"/>
      <c r="C12" s="190"/>
      <c r="D12" s="46"/>
      <c r="E12" s="190"/>
      <c r="F12" s="190"/>
      <c r="G12" s="190"/>
    </row>
    <row r="13" spans="2:8" s="1" customFormat="1" ht="16.5" customHeight="1">
      <c r="B13" s="568"/>
      <c r="C13" s="190"/>
      <c r="D13" s="46"/>
      <c r="E13" s="190"/>
      <c r="F13" s="190"/>
      <c r="G13" s="190"/>
    </row>
    <row r="14" spans="2:8" s="1" customFormat="1" ht="16.5" customHeight="1">
      <c r="B14" s="568"/>
      <c r="C14" s="190"/>
      <c r="D14" s="46"/>
      <c r="E14" s="190"/>
      <c r="F14" s="190"/>
      <c r="G14" s="190"/>
    </row>
    <row r="15" spans="2:8" s="1" customFormat="1" ht="16.5" customHeight="1">
      <c r="B15" s="568"/>
      <c r="C15" s="190"/>
      <c r="D15" s="46"/>
      <c r="E15" s="190"/>
      <c r="F15" s="190"/>
      <c r="G15" s="190"/>
    </row>
    <row r="16" spans="2:8" s="1" customFormat="1" ht="16.5" customHeight="1">
      <c r="B16" s="568"/>
      <c r="C16" s="190"/>
      <c r="D16" s="46"/>
      <c r="E16" s="190"/>
      <c r="F16" s="190"/>
      <c r="G16" s="190"/>
    </row>
    <row r="17" spans="2:7" s="1" customFormat="1" ht="16.5" customHeight="1">
      <c r="B17" s="568"/>
      <c r="C17" s="190"/>
      <c r="D17" s="46"/>
      <c r="E17" s="190"/>
      <c r="F17" s="190"/>
      <c r="G17" s="190"/>
    </row>
    <row r="18" spans="2:7" s="1" customFormat="1" ht="16.5" customHeight="1">
      <c r="B18" s="192" t="s">
        <v>1</v>
      </c>
      <c r="C18" s="193"/>
      <c r="D18" s="194">
        <f>SUBTOTAL(109,ExpJul215228241[Amount])</f>
        <v>0</v>
      </c>
      <c r="E18" s="193"/>
      <c r="F18" s="193"/>
      <c r="G18" s="192"/>
    </row>
    <row r="19" spans="2:7" s="1" customFormat="1" ht="16.5" customHeight="1">
      <c r="B19" s="195"/>
      <c r="C19" s="196"/>
      <c r="D19" s="197"/>
      <c r="E19" s="196"/>
      <c r="F19" s="196"/>
      <c r="G19" s="196"/>
    </row>
    <row r="20" spans="2:7" s="1" customFormat="1" ht="29.25" customHeight="1">
      <c r="B20" s="205" t="s">
        <v>52</v>
      </c>
      <c r="C20" s="36"/>
      <c r="D20" s="36"/>
      <c r="E20" s="36"/>
      <c r="F20" s="36"/>
      <c r="G20" s="36"/>
    </row>
    <row r="21" spans="2:7" s="1" customFormat="1" ht="16.5" customHeight="1">
      <c r="B21" s="36"/>
      <c r="C21" s="36"/>
      <c r="D21" s="36"/>
      <c r="E21" s="36"/>
      <c r="F21" s="36"/>
      <c r="G21" s="36"/>
    </row>
    <row r="22" spans="2:7" s="1" customFormat="1" ht="16.5" customHeight="1">
      <c r="B22" s="206" t="s">
        <v>50</v>
      </c>
      <c r="C22" s="207" t="s">
        <v>53</v>
      </c>
      <c r="D22" s="206" t="s">
        <v>48</v>
      </c>
      <c r="E22" s="207" t="s">
        <v>47</v>
      </c>
      <c r="F22" s="207" t="s">
        <v>660</v>
      </c>
      <c r="G22" s="206" t="s">
        <v>45</v>
      </c>
    </row>
    <row r="23" spans="2:7" s="1" customFormat="1" ht="16.5" customHeight="1">
      <c r="B23" s="215"/>
      <c r="C23" s="51"/>
      <c r="D23" s="216"/>
      <c r="E23" s="51"/>
      <c r="F23" s="51"/>
      <c r="G23" s="51"/>
    </row>
    <row r="24" spans="2:7" s="1" customFormat="1" ht="16.5" customHeight="1">
      <c r="B24" s="215"/>
      <c r="C24" s="51"/>
      <c r="D24" s="216"/>
      <c r="E24" s="51"/>
      <c r="F24" s="51"/>
      <c r="G24" s="51"/>
    </row>
    <row r="25" spans="2:7" s="1" customFormat="1" ht="16.5" customHeight="1">
      <c r="B25" s="215"/>
      <c r="C25" s="51"/>
      <c r="D25" s="216"/>
      <c r="E25" s="51"/>
      <c r="F25" s="51"/>
      <c r="G25" s="51"/>
    </row>
    <row r="26" spans="2:7" s="1" customFormat="1" ht="16.5" customHeight="1">
      <c r="B26" s="215"/>
      <c r="C26" s="51"/>
      <c r="D26" s="216"/>
      <c r="E26" s="51"/>
      <c r="F26" s="51"/>
      <c r="G26" s="51"/>
    </row>
    <row r="27" spans="2:7" s="1" customFormat="1" ht="16.5" customHeight="1">
      <c r="B27" s="215"/>
      <c r="C27" s="51"/>
      <c r="D27" s="216"/>
      <c r="E27" s="51"/>
      <c r="F27" s="51"/>
      <c r="G27" s="51"/>
    </row>
    <row r="28" spans="2:7" s="1" customFormat="1" ht="16.5" customHeight="1">
      <c r="B28" s="215"/>
      <c r="C28" s="51"/>
      <c r="D28" s="216"/>
      <c r="E28" s="51"/>
      <c r="F28" s="51"/>
      <c r="G28" s="51"/>
    </row>
    <row r="29" spans="2:7" s="1" customFormat="1" ht="16.5" customHeight="1">
      <c r="B29" s="215"/>
      <c r="C29" s="51"/>
      <c r="D29" s="216"/>
      <c r="E29" s="51"/>
      <c r="F29" s="51"/>
      <c r="G29" s="51"/>
    </row>
    <row r="30" spans="2:7" s="1" customFormat="1" ht="16.5" customHeight="1">
      <c r="B30" s="215"/>
      <c r="C30" s="51"/>
      <c r="D30" s="216"/>
      <c r="E30" s="51"/>
      <c r="F30" s="51"/>
      <c r="G30" s="51"/>
    </row>
    <row r="31" spans="2:7" s="1" customFormat="1" ht="16.5" customHeight="1">
      <c r="B31" s="215"/>
      <c r="C31" s="51"/>
      <c r="D31" s="216"/>
      <c r="E31" s="51"/>
      <c r="F31" s="51"/>
      <c r="G31" s="51"/>
    </row>
    <row r="32" spans="2:7" s="1" customFormat="1" ht="16.5" customHeight="1">
      <c r="B32" s="215"/>
      <c r="C32" s="51"/>
      <c r="D32" s="216"/>
      <c r="E32" s="51"/>
      <c r="F32" s="51"/>
      <c r="G32" s="51"/>
    </row>
    <row r="33" spans="2:7" s="1" customFormat="1" ht="16.5" customHeight="1">
      <c r="B33" s="215"/>
      <c r="C33" s="51"/>
      <c r="D33" s="216"/>
      <c r="E33" s="51"/>
      <c r="F33" s="51"/>
      <c r="G33" s="51"/>
    </row>
    <row r="34" spans="2:7" s="1" customFormat="1" ht="16.5" customHeight="1">
      <c r="B34" s="431"/>
      <c r="C34" s="338"/>
      <c r="D34" s="432"/>
      <c r="E34" s="338"/>
      <c r="F34" s="338"/>
      <c r="G34" s="338"/>
    </row>
    <row r="35" spans="2:7" s="1" customFormat="1" ht="16.5" customHeight="1">
      <c r="B35" s="431"/>
      <c r="C35" s="338"/>
      <c r="D35" s="432"/>
      <c r="E35" s="338"/>
      <c r="F35" s="338"/>
      <c r="G35" s="338"/>
    </row>
    <row r="36" spans="2:7" s="1" customFormat="1" ht="16.5" customHeight="1">
      <c r="B36" s="431"/>
      <c r="C36" s="338"/>
      <c r="D36" s="432"/>
      <c r="E36" s="338"/>
      <c r="F36" s="338"/>
      <c r="G36" s="338"/>
    </row>
    <row r="37" spans="2:7" s="1" customFormat="1" ht="16.5" customHeight="1">
      <c r="B37" s="431"/>
      <c r="C37" s="338"/>
      <c r="D37" s="432"/>
      <c r="E37" s="338"/>
      <c r="F37" s="338"/>
      <c r="G37" s="338"/>
    </row>
    <row r="38" spans="2:7" s="1" customFormat="1" ht="16.5" customHeight="1">
      <c r="B38" s="431"/>
      <c r="C38" s="338"/>
      <c r="D38" s="432"/>
      <c r="E38" s="338"/>
      <c r="F38" s="338"/>
      <c r="G38" s="338"/>
    </row>
    <row r="39" spans="2:7" s="1" customFormat="1" ht="16.5" customHeight="1">
      <c r="B39" s="431"/>
      <c r="C39" s="338"/>
      <c r="D39" s="432"/>
      <c r="E39" s="338"/>
      <c r="F39" s="338"/>
      <c r="G39" s="338"/>
    </row>
    <row r="40" spans="2:7" s="1" customFormat="1" ht="16.5" customHeight="1">
      <c r="B40" s="215"/>
      <c r="C40" s="51"/>
      <c r="D40" s="216"/>
      <c r="E40" s="51"/>
      <c r="F40" s="51"/>
      <c r="G40" s="51"/>
    </row>
    <row r="41" spans="2:7" s="1" customFormat="1" ht="16.5" customHeight="1">
      <c r="B41" s="212" t="s">
        <v>1</v>
      </c>
      <c r="C41" s="213"/>
      <c r="D41" s="214">
        <f>SUBTOTAL(109,ExpAug216229242[Amount])</f>
        <v>0</v>
      </c>
      <c r="E41" s="213"/>
      <c r="F41" s="213"/>
      <c r="G41" s="212"/>
    </row>
    <row r="42" spans="2:7" s="1" customFormat="1" ht="16.5" customHeight="1">
      <c r="B42" s="36"/>
      <c r="C42" s="36"/>
      <c r="D42" s="36"/>
      <c r="E42" s="36"/>
      <c r="F42" s="56"/>
      <c r="G42" s="36"/>
    </row>
    <row r="44" spans="2:7" s="1" customFormat="1" ht="25.5" customHeight="1">
      <c r="B44" s="205" t="s">
        <v>56</v>
      </c>
      <c r="C44" s="117"/>
      <c r="D44" s="117"/>
      <c r="E44" s="117"/>
      <c r="F44" s="117"/>
      <c r="G44" s="117"/>
    </row>
    <row r="45" spans="2:7" s="1" customFormat="1" ht="16.5" customHeight="1">
      <c r="B45" s="117"/>
      <c r="C45" s="117"/>
      <c r="D45" s="117"/>
      <c r="E45" s="117"/>
      <c r="F45" s="117"/>
      <c r="G45" s="117"/>
    </row>
    <row r="46" spans="2:7" s="1" customFormat="1" ht="16.5" customHeight="1">
      <c r="B46" s="206" t="s">
        <v>50</v>
      </c>
      <c r="C46" s="207" t="s">
        <v>53</v>
      </c>
      <c r="D46" s="206" t="s">
        <v>48</v>
      </c>
      <c r="E46" s="207" t="s">
        <v>47</v>
      </c>
      <c r="F46" s="207" t="s">
        <v>660</v>
      </c>
      <c r="G46" s="206" t="s">
        <v>45</v>
      </c>
    </row>
    <row r="47" spans="2:7" s="1" customFormat="1" ht="16.5" customHeight="1">
      <c r="B47" s="25"/>
      <c r="C47" s="51"/>
      <c r="D47" s="211"/>
      <c r="E47" s="51"/>
      <c r="F47" s="51"/>
      <c r="G47" s="27"/>
    </row>
    <row r="48" spans="2:7" s="1" customFormat="1" ht="16.5" customHeight="1">
      <c r="B48" s="25"/>
      <c r="C48" s="51"/>
      <c r="D48" s="211"/>
      <c r="E48" s="51"/>
      <c r="F48" s="51"/>
      <c r="G48" s="27"/>
    </row>
    <row r="49" spans="2:7" s="1" customFormat="1" ht="16.5" customHeight="1">
      <c r="B49" s="25"/>
      <c r="C49" s="51"/>
      <c r="D49" s="211"/>
      <c r="E49" s="51"/>
      <c r="F49" s="51"/>
      <c r="G49" s="27"/>
    </row>
    <row r="50" spans="2:7" s="1" customFormat="1" ht="16.5" customHeight="1">
      <c r="B50" s="25"/>
      <c r="C50" s="51"/>
      <c r="D50" s="211"/>
      <c r="E50" s="51"/>
      <c r="F50" s="51"/>
      <c r="G50" s="27"/>
    </row>
    <row r="51" spans="2:7" s="1" customFormat="1" ht="16.5" customHeight="1">
      <c r="B51" s="25"/>
      <c r="C51" s="51"/>
      <c r="D51" s="211"/>
      <c r="E51" s="51"/>
      <c r="F51" s="51"/>
      <c r="G51" s="27"/>
    </row>
    <row r="52" spans="2:7" s="1" customFormat="1" ht="16.5" customHeight="1">
      <c r="B52" s="25"/>
      <c r="C52" s="51"/>
      <c r="D52" s="211"/>
      <c r="E52" s="51"/>
      <c r="F52" s="51"/>
      <c r="G52" s="27"/>
    </row>
    <row r="53" spans="2:7" s="1" customFormat="1" ht="16.5" customHeight="1">
      <c r="B53" s="25"/>
      <c r="C53" s="51"/>
      <c r="D53" s="211"/>
      <c r="E53" s="51"/>
      <c r="F53" s="51"/>
      <c r="G53" s="27"/>
    </row>
    <row r="54" spans="2:7" s="1" customFormat="1" ht="16.5" customHeight="1">
      <c r="B54" s="25"/>
      <c r="C54" s="51"/>
      <c r="D54" s="211"/>
      <c r="E54" s="51"/>
      <c r="F54" s="51"/>
      <c r="G54" s="27"/>
    </row>
    <row r="55" spans="2:7" s="1" customFormat="1" ht="16.5" customHeight="1">
      <c r="B55" s="25"/>
      <c r="C55" s="51"/>
      <c r="D55" s="211"/>
      <c r="E55" s="51"/>
      <c r="F55" s="51"/>
      <c r="G55" s="27"/>
    </row>
    <row r="56" spans="2:7" s="1" customFormat="1" ht="16.5" customHeight="1">
      <c r="B56" s="212" t="s">
        <v>1</v>
      </c>
      <c r="C56" s="213"/>
      <c r="D56" s="214">
        <f>SUBTOTAL(109,ExpSep217230243[Amount])</f>
        <v>0</v>
      </c>
      <c r="E56" s="213"/>
      <c r="F56" s="213"/>
      <c r="G56" s="212"/>
    </row>
    <row r="57" spans="2:7" s="1" customFormat="1" ht="16.5" customHeight="1">
      <c r="B57" s="212"/>
      <c r="C57" s="213"/>
      <c r="D57" s="214"/>
      <c r="E57" s="213"/>
      <c r="F57" s="213"/>
      <c r="G57" s="212"/>
    </row>
    <row r="58" spans="2:7" s="1" customFormat="1" ht="27" customHeight="1">
      <c r="B58" s="205" t="s">
        <v>70</v>
      </c>
      <c r="C58" s="117"/>
      <c r="D58" s="117"/>
      <c r="E58" s="117"/>
      <c r="F58" s="117"/>
      <c r="G58" s="117"/>
    </row>
    <row r="59" spans="2:7" s="1" customFormat="1" ht="16.5" customHeight="1">
      <c r="B59" s="117"/>
      <c r="C59" s="117"/>
      <c r="D59" s="117"/>
      <c r="E59" s="117"/>
      <c r="F59" s="117"/>
      <c r="G59" s="117"/>
    </row>
    <row r="60" spans="2:7" s="1" customFormat="1" ht="16.5" customHeight="1">
      <c r="B60" s="206" t="s">
        <v>50</v>
      </c>
      <c r="C60" s="207" t="s">
        <v>71</v>
      </c>
      <c r="D60" s="206" t="s">
        <v>48</v>
      </c>
      <c r="E60" s="207" t="s">
        <v>47</v>
      </c>
      <c r="F60" s="207" t="s">
        <v>660</v>
      </c>
      <c r="G60" s="206" t="s">
        <v>45</v>
      </c>
    </row>
    <row r="61" spans="2:7" s="1" customFormat="1" ht="16.5" customHeight="1">
      <c r="B61" s="25"/>
      <c r="C61" s="51"/>
      <c r="D61" s="211"/>
      <c r="E61" s="51"/>
      <c r="F61" s="51"/>
      <c r="G61" s="27"/>
    </row>
    <row r="62" spans="2:7" s="1" customFormat="1" ht="16.5" customHeight="1">
      <c r="B62" s="25"/>
      <c r="C62" s="51"/>
      <c r="D62" s="211"/>
      <c r="E62" s="51"/>
      <c r="F62" s="51"/>
      <c r="G62" s="27"/>
    </row>
    <row r="63" spans="2:7" s="1" customFormat="1" ht="16.5" customHeight="1">
      <c r="B63" s="25"/>
      <c r="C63" s="51"/>
      <c r="D63" s="211"/>
      <c r="E63" s="51"/>
      <c r="F63" s="51"/>
      <c r="G63" s="27"/>
    </row>
    <row r="64" spans="2:7" s="1" customFormat="1" ht="16.5" customHeight="1">
      <c r="B64" s="25"/>
      <c r="C64" s="51"/>
      <c r="D64" s="211"/>
      <c r="E64" s="51"/>
      <c r="F64" s="51"/>
      <c r="G64" s="27"/>
    </row>
    <row r="65" spans="2:7" s="1" customFormat="1" ht="16.5" customHeight="1">
      <c r="B65" s="25"/>
      <c r="C65" s="51"/>
      <c r="D65" s="211"/>
      <c r="E65" s="51"/>
      <c r="F65" s="51"/>
      <c r="G65" s="27"/>
    </row>
    <row r="66" spans="2:7" s="1" customFormat="1" ht="16.5" customHeight="1">
      <c r="B66" s="25"/>
      <c r="C66" s="51"/>
      <c r="D66" s="211"/>
      <c r="E66" s="51"/>
      <c r="F66" s="51"/>
      <c r="G66" s="27"/>
    </row>
    <row r="67" spans="2:7" s="1" customFormat="1" ht="16.5" customHeight="1">
      <c r="B67" s="25"/>
      <c r="C67" s="51"/>
      <c r="D67" s="211"/>
      <c r="E67" s="51"/>
      <c r="F67" s="51"/>
      <c r="G67" s="27"/>
    </row>
    <row r="68" spans="2:7" s="1" customFormat="1" ht="16.5" customHeight="1">
      <c r="B68" s="25"/>
      <c r="C68" s="51"/>
      <c r="D68" s="211"/>
      <c r="E68" s="51"/>
      <c r="F68" s="51"/>
      <c r="G68" s="27"/>
    </row>
    <row r="69" spans="2:7" s="1" customFormat="1" ht="16.5" customHeight="1">
      <c r="B69" s="25"/>
      <c r="C69" s="51"/>
      <c r="D69" s="211"/>
      <c r="E69" s="51"/>
      <c r="F69" s="51"/>
      <c r="G69" s="27"/>
    </row>
    <row r="70" spans="2:7" s="1" customFormat="1" ht="16.5" customHeight="1">
      <c r="B70" s="25"/>
      <c r="C70" s="51"/>
      <c r="D70" s="211"/>
      <c r="E70" s="51"/>
      <c r="F70" s="51"/>
      <c r="G70" s="27"/>
    </row>
    <row r="71" spans="2:7" s="1" customFormat="1" ht="16.5" customHeight="1">
      <c r="B71" s="25"/>
      <c r="C71" s="51"/>
      <c r="D71" s="211"/>
      <c r="E71" s="51"/>
      <c r="F71" s="51"/>
      <c r="G71" s="27"/>
    </row>
    <row r="72" spans="2:7" s="1" customFormat="1" ht="16.5" customHeight="1">
      <c r="B72" s="212" t="s">
        <v>1</v>
      </c>
      <c r="C72" s="213"/>
      <c r="D72" s="214">
        <f>SUBTOTAL(109,ExpOct205218231244[Amount])</f>
        <v>0</v>
      </c>
      <c r="E72" s="213"/>
      <c r="F72" s="213"/>
      <c r="G72" s="212"/>
    </row>
    <row r="73" spans="2:7" s="1" customFormat="1" ht="16.5" customHeight="1">
      <c r="B73" s="212"/>
      <c r="C73" s="213"/>
      <c r="D73" s="214"/>
      <c r="E73" s="213"/>
      <c r="F73" s="213"/>
      <c r="G73" s="212"/>
    </row>
    <row r="74" spans="2:7" s="1" customFormat="1" ht="26.25" customHeight="1">
      <c r="B74" s="205" t="s">
        <v>159</v>
      </c>
      <c r="C74" s="117"/>
      <c r="D74" s="117"/>
      <c r="E74" s="117"/>
      <c r="F74" s="117"/>
      <c r="G74" s="117"/>
    </row>
    <row r="75" spans="2:7" s="1" customFormat="1" ht="16.5" customHeight="1">
      <c r="B75" s="117"/>
      <c r="C75" s="117"/>
      <c r="D75" s="117"/>
      <c r="E75" s="117"/>
      <c r="F75" s="117"/>
      <c r="G75" s="117"/>
    </row>
    <row r="76" spans="2:7" s="1" customFormat="1" ht="16.5" customHeight="1">
      <c r="B76" s="206" t="s">
        <v>50</v>
      </c>
      <c r="C76" s="207" t="s">
        <v>71</v>
      </c>
      <c r="D76" s="206" t="s">
        <v>48</v>
      </c>
      <c r="E76" s="207" t="s">
        <v>47</v>
      </c>
      <c r="F76" s="207" t="s">
        <v>161</v>
      </c>
      <c r="G76" s="206" t="s">
        <v>160</v>
      </c>
    </row>
    <row r="77" spans="2:7" s="1" customFormat="1" ht="16.5" customHeight="1">
      <c r="B77" s="25"/>
      <c r="C77" s="51"/>
      <c r="D77" s="211"/>
      <c r="E77" s="51"/>
      <c r="F77" s="51"/>
      <c r="G77" s="27"/>
    </row>
    <row r="78" spans="2:7" s="1" customFormat="1" ht="16.5" customHeight="1">
      <c r="B78" s="25"/>
      <c r="C78" s="51"/>
      <c r="D78" s="211"/>
      <c r="E78" s="51"/>
      <c r="F78" s="51"/>
      <c r="G78" s="27"/>
    </row>
    <row r="79" spans="2:7" s="1" customFormat="1" ht="16.5" customHeight="1">
      <c r="B79" s="25"/>
      <c r="C79" s="51"/>
      <c r="D79" s="211"/>
      <c r="E79" s="51"/>
      <c r="F79" s="51"/>
      <c r="G79" s="27"/>
    </row>
    <row r="80" spans="2:7" s="1" customFormat="1" ht="16.5" customHeight="1">
      <c r="B80" s="25"/>
      <c r="C80" s="51"/>
      <c r="D80" s="211"/>
      <c r="E80" s="51"/>
      <c r="F80" s="51"/>
      <c r="G80" s="27"/>
    </row>
    <row r="81" spans="2:7" s="1" customFormat="1" ht="16.5" customHeight="1">
      <c r="B81" s="25"/>
      <c r="C81" s="51"/>
      <c r="D81" s="211"/>
      <c r="E81" s="51"/>
      <c r="F81" s="51"/>
      <c r="G81" s="27"/>
    </row>
    <row r="82" spans="2:7" s="1" customFormat="1" ht="16.5" customHeight="1">
      <c r="B82" s="25"/>
      <c r="C82" s="51"/>
      <c r="D82" s="211"/>
      <c r="E82" s="51"/>
      <c r="F82" s="51"/>
      <c r="G82" s="27"/>
    </row>
    <row r="83" spans="2:7" s="1" customFormat="1" ht="16.5" customHeight="1">
      <c r="B83" s="25"/>
      <c r="C83" s="51"/>
      <c r="D83" s="211"/>
      <c r="E83" s="51"/>
      <c r="F83" s="51"/>
      <c r="G83" s="27"/>
    </row>
    <row r="84" spans="2:7" s="1" customFormat="1" ht="16.5" customHeight="1">
      <c r="B84" s="25"/>
      <c r="C84" s="51"/>
      <c r="D84" s="211"/>
      <c r="E84" s="51"/>
      <c r="F84" s="51"/>
      <c r="G84" s="27"/>
    </row>
    <row r="85" spans="2:7" s="1" customFormat="1" ht="16.5" customHeight="1">
      <c r="B85" s="25"/>
      <c r="C85" s="51"/>
      <c r="D85" s="211"/>
      <c r="E85" s="51"/>
      <c r="F85" s="51"/>
      <c r="G85" s="27"/>
    </row>
    <row r="86" spans="2:7" s="1" customFormat="1" ht="16.5" customHeight="1">
      <c r="B86" s="25"/>
      <c r="C86" s="51"/>
      <c r="D86" s="211"/>
      <c r="E86" s="51"/>
      <c r="F86" s="51"/>
      <c r="G86" s="27"/>
    </row>
    <row r="87" spans="2:7" s="1" customFormat="1" ht="16.5" customHeight="1">
      <c r="B87" s="212" t="s">
        <v>1</v>
      </c>
      <c r="C87" s="213"/>
      <c r="D87" s="214">
        <f>SUBTOTAL(109,ExpNov128141154167180193206219232245[Amount])</f>
        <v>0</v>
      </c>
      <c r="E87" s="213"/>
      <c r="F87" s="213"/>
      <c r="G87" s="212"/>
    </row>
    <row r="89" spans="2:7" s="1" customFormat="1" ht="26.25" customHeight="1">
      <c r="B89" s="205" t="s">
        <v>162</v>
      </c>
      <c r="C89" s="117"/>
      <c r="D89" s="117"/>
      <c r="E89" s="117"/>
      <c r="F89" s="117"/>
      <c r="G89" s="117"/>
    </row>
    <row r="90" spans="2:7" s="1" customFormat="1" ht="16.5" customHeight="1">
      <c r="B90" s="117"/>
      <c r="C90" s="117"/>
      <c r="D90" s="117"/>
      <c r="E90" s="117"/>
      <c r="F90" s="117"/>
      <c r="G90" s="117"/>
    </row>
    <row r="91" spans="2:7" s="1" customFormat="1" ht="16.5" customHeight="1">
      <c r="B91" s="206" t="s">
        <v>50</v>
      </c>
      <c r="C91" s="207" t="s">
        <v>71</v>
      </c>
      <c r="D91" s="206" t="s">
        <v>48</v>
      </c>
      <c r="E91" s="207" t="s">
        <v>47</v>
      </c>
      <c r="F91" s="207" t="s">
        <v>161</v>
      </c>
      <c r="G91" s="206" t="s">
        <v>160</v>
      </c>
    </row>
    <row r="92" spans="2:7" s="1" customFormat="1" ht="16.5" customHeight="1">
      <c r="B92" s="25"/>
      <c r="C92" s="51"/>
      <c r="D92" s="211"/>
      <c r="E92" s="51"/>
      <c r="F92" s="51"/>
      <c r="G92" s="27"/>
    </row>
    <row r="93" spans="2:7" s="1" customFormat="1" ht="16.5" customHeight="1">
      <c r="B93" s="25"/>
      <c r="C93" s="51"/>
      <c r="D93" s="211"/>
      <c r="E93" s="51"/>
      <c r="F93" s="51"/>
      <c r="G93" s="27"/>
    </row>
    <row r="94" spans="2:7" s="1" customFormat="1" ht="16.5" customHeight="1">
      <c r="B94" s="25"/>
      <c r="C94" s="51"/>
      <c r="D94" s="211"/>
      <c r="E94" s="51"/>
      <c r="F94" s="51"/>
      <c r="G94" s="27"/>
    </row>
    <row r="95" spans="2:7" s="1" customFormat="1" ht="16.5" customHeight="1">
      <c r="B95" s="25"/>
      <c r="C95" s="51"/>
      <c r="D95" s="211"/>
      <c r="E95" s="51"/>
      <c r="F95" s="51"/>
      <c r="G95" s="27"/>
    </row>
    <row r="96" spans="2:7" s="1" customFormat="1" ht="16.5" customHeight="1">
      <c r="B96" s="25"/>
      <c r="C96" s="51"/>
      <c r="D96" s="211"/>
      <c r="E96" s="51"/>
      <c r="F96" s="51"/>
      <c r="G96" s="27"/>
    </row>
    <row r="97" spans="2:7" s="1" customFormat="1" ht="16.5" customHeight="1">
      <c r="B97" s="25"/>
      <c r="C97" s="51"/>
      <c r="D97" s="211"/>
      <c r="E97" s="51"/>
      <c r="F97" s="51"/>
      <c r="G97" s="27"/>
    </row>
    <row r="98" spans="2:7" s="1" customFormat="1" ht="16.5" customHeight="1">
      <c r="B98" s="212" t="s">
        <v>1</v>
      </c>
      <c r="C98" s="213"/>
      <c r="D98" s="214">
        <f>SUBTOTAL(109,ExpDec129142155168181194207220233246[Amount])</f>
        <v>0</v>
      </c>
      <c r="E98" s="213"/>
      <c r="F98" s="213"/>
      <c r="G98" s="212"/>
    </row>
    <row r="100" spans="2:7" s="1" customFormat="1" ht="27.75" customHeight="1">
      <c r="B100" s="205" t="s">
        <v>163</v>
      </c>
      <c r="C100" s="117"/>
      <c r="D100" s="117"/>
      <c r="E100" s="117"/>
      <c r="F100" s="117"/>
      <c r="G100" s="117"/>
    </row>
    <row r="101" spans="2:7" s="1" customFormat="1" ht="16.5" customHeight="1">
      <c r="B101" s="117"/>
      <c r="C101" s="117"/>
      <c r="D101" s="117"/>
      <c r="E101" s="117"/>
      <c r="F101" s="117"/>
      <c r="G101" s="117"/>
    </row>
    <row r="102" spans="2:7" s="1" customFormat="1" ht="16.5" customHeight="1">
      <c r="B102" s="206" t="s">
        <v>50</v>
      </c>
      <c r="C102" s="207" t="s">
        <v>164</v>
      </c>
      <c r="D102" s="206" t="s">
        <v>48</v>
      </c>
      <c r="E102" s="207" t="s">
        <v>47</v>
      </c>
      <c r="F102" s="207" t="s">
        <v>161</v>
      </c>
      <c r="G102" s="206" t="s">
        <v>160</v>
      </c>
    </row>
    <row r="103" spans="2:7" s="1" customFormat="1" ht="16.5" customHeight="1">
      <c r="B103" s="25"/>
      <c r="C103" s="51"/>
      <c r="D103" s="211"/>
      <c r="E103" s="51"/>
      <c r="F103" s="51"/>
      <c r="G103" s="27"/>
    </row>
    <row r="104" spans="2:7" s="1" customFormat="1" ht="16.5" customHeight="1">
      <c r="B104" s="25"/>
      <c r="C104" s="51"/>
      <c r="D104" s="211"/>
      <c r="E104" s="51"/>
      <c r="F104" s="51"/>
      <c r="G104" s="27"/>
    </row>
    <row r="105" spans="2:7" s="1" customFormat="1" ht="16.5" customHeight="1">
      <c r="B105" s="25"/>
      <c r="C105" s="51"/>
      <c r="D105" s="211"/>
      <c r="E105" s="51"/>
      <c r="F105" s="51"/>
      <c r="G105" s="27"/>
    </row>
    <row r="106" spans="2:7" s="1" customFormat="1" ht="16.5" customHeight="1">
      <c r="B106" s="27"/>
      <c r="C106" s="26"/>
      <c r="D106" s="211"/>
      <c r="E106" s="26"/>
      <c r="F106" s="26"/>
      <c r="G106" s="27"/>
    </row>
    <row r="107" spans="2:7" s="1" customFormat="1" ht="16.5" customHeight="1">
      <c r="B107" s="27"/>
      <c r="C107" s="26"/>
      <c r="D107" s="211"/>
      <c r="E107" s="26"/>
      <c r="F107" s="26"/>
      <c r="G107" s="27"/>
    </row>
    <row r="108" spans="2:7" s="1" customFormat="1" ht="16.5" customHeight="1">
      <c r="B108" s="27"/>
      <c r="C108" s="26"/>
      <c r="D108" s="211"/>
      <c r="E108" s="26"/>
      <c r="F108" s="26"/>
      <c r="G108" s="27"/>
    </row>
    <row r="109" spans="2:7" s="1" customFormat="1" ht="16.5" customHeight="1">
      <c r="B109" s="27"/>
      <c r="C109" s="26"/>
      <c r="D109" s="211"/>
      <c r="E109" s="26"/>
      <c r="F109" s="26"/>
      <c r="G109" s="27"/>
    </row>
    <row r="110" spans="2:7" s="1" customFormat="1" ht="16.5" customHeight="1">
      <c r="B110" s="27"/>
      <c r="C110" s="26"/>
      <c r="D110" s="211"/>
      <c r="E110" s="26"/>
      <c r="F110" s="26"/>
      <c r="G110" s="27"/>
    </row>
    <row r="111" spans="2:7" s="1" customFormat="1" ht="16.5" customHeight="1">
      <c r="B111" s="212" t="s">
        <v>1</v>
      </c>
      <c r="C111" s="213"/>
      <c r="D111" s="214">
        <f>SUBTOTAL(109,ExpJan130143156169182195208221234247[Amount])</f>
        <v>0</v>
      </c>
      <c r="E111" s="213"/>
      <c r="F111" s="213"/>
      <c r="G111" s="212"/>
    </row>
    <row r="113" spans="2:7" s="1" customFormat="1" ht="24.75" customHeight="1">
      <c r="B113" s="205" t="s">
        <v>165</v>
      </c>
      <c r="C113" s="117"/>
      <c r="D113" s="117"/>
      <c r="E113" s="117"/>
      <c r="F113" s="117"/>
      <c r="G113" s="117"/>
    </row>
    <row r="114" spans="2:7" s="1" customFormat="1" ht="16.5" customHeight="1">
      <c r="B114" s="117"/>
      <c r="C114" s="117"/>
      <c r="D114" s="117"/>
      <c r="E114" s="117"/>
      <c r="F114" s="117"/>
      <c r="G114" s="117"/>
    </row>
    <row r="115" spans="2:7" s="1" customFormat="1" ht="16.5" customHeight="1">
      <c r="B115" s="206" t="s">
        <v>50</v>
      </c>
      <c r="C115" s="207" t="s">
        <v>71</v>
      </c>
      <c r="D115" s="206" t="s">
        <v>48</v>
      </c>
      <c r="E115" s="207" t="s">
        <v>47</v>
      </c>
      <c r="F115" s="206" t="s">
        <v>660</v>
      </c>
      <c r="G115" s="206" t="s">
        <v>45</v>
      </c>
    </row>
    <row r="116" spans="2:7" s="1" customFormat="1" ht="16.5" customHeight="1">
      <c r="B116" s="25"/>
      <c r="C116" s="51"/>
      <c r="D116" s="211"/>
      <c r="E116" s="51"/>
      <c r="F116" s="27"/>
      <c r="G116" s="27"/>
    </row>
    <row r="117" spans="2:7" s="1" customFormat="1" ht="16.5" customHeight="1">
      <c r="B117" s="25"/>
      <c r="C117" s="51"/>
      <c r="D117" s="211"/>
      <c r="E117" s="51"/>
      <c r="F117" s="27"/>
      <c r="G117" s="27"/>
    </row>
    <row r="118" spans="2:7" s="1" customFormat="1" ht="16.5" customHeight="1">
      <c r="B118" s="25"/>
      <c r="C118" s="51"/>
      <c r="D118" s="211"/>
      <c r="E118" s="51"/>
      <c r="F118" s="27"/>
      <c r="G118" s="27"/>
    </row>
    <row r="119" spans="2:7" s="1" customFormat="1" ht="16.5" customHeight="1">
      <c r="B119" s="25"/>
      <c r="C119" s="51"/>
      <c r="D119" s="211"/>
      <c r="E119" s="51"/>
      <c r="F119" s="27"/>
      <c r="G119" s="27"/>
    </row>
    <row r="120" spans="2:7" s="1" customFormat="1" ht="16.5" customHeight="1">
      <c r="B120" s="25"/>
      <c r="C120" s="51"/>
      <c r="D120" s="211"/>
      <c r="E120" s="51"/>
      <c r="F120" s="27"/>
      <c r="G120" s="27"/>
    </row>
    <row r="121" spans="2:7" s="1" customFormat="1" ht="16.5" customHeight="1">
      <c r="B121" s="25"/>
      <c r="C121" s="51"/>
      <c r="D121" s="211"/>
      <c r="E121" s="51"/>
      <c r="F121" s="27"/>
      <c r="G121" s="27"/>
    </row>
    <row r="122" spans="2:7" s="1" customFormat="1" ht="16.5" customHeight="1">
      <c r="B122" s="337"/>
      <c r="C122" s="338"/>
      <c r="D122" s="339"/>
      <c r="E122" s="338"/>
      <c r="F122" s="340"/>
      <c r="G122" s="340"/>
    </row>
    <row r="123" spans="2:7" s="1" customFormat="1" ht="16.5" customHeight="1">
      <c r="B123" s="337"/>
      <c r="C123" s="338"/>
      <c r="D123" s="339"/>
      <c r="E123" s="338"/>
      <c r="F123" s="340"/>
      <c r="G123" s="340"/>
    </row>
    <row r="124" spans="2:7" s="1" customFormat="1" ht="16.5" customHeight="1">
      <c r="B124" s="337"/>
      <c r="C124" s="338"/>
      <c r="D124" s="339"/>
      <c r="E124" s="338"/>
      <c r="F124" s="340"/>
      <c r="G124" s="340"/>
    </row>
    <row r="125" spans="2:7" s="1" customFormat="1" ht="16.5" customHeight="1">
      <c r="B125" s="337"/>
      <c r="C125" s="338"/>
      <c r="D125" s="339"/>
      <c r="E125" s="338"/>
      <c r="F125" s="340"/>
      <c r="G125" s="340"/>
    </row>
    <row r="126" spans="2:7" s="1" customFormat="1" ht="16.5" customHeight="1">
      <c r="B126" s="337"/>
      <c r="C126" s="338"/>
      <c r="D126" s="339"/>
      <c r="E126" s="338"/>
      <c r="F126" s="340"/>
      <c r="G126" s="340"/>
    </row>
    <row r="127" spans="2:7" s="1" customFormat="1" ht="16.5" customHeight="1">
      <c r="B127" s="224" t="s">
        <v>1</v>
      </c>
      <c r="C127" s="225"/>
      <c r="D127" s="226">
        <f>SUBTOTAL(109,ExpFeb131144157170183196209222235248[Amount])</f>
        <v>0</v>
      </c>
      <c r="E127" s="225"/>
      <c r="F127" s="224"/>
      <c r="G127" s="395"/>
    </row>
    <row r="129" spans="2:7" s="1" customFormat="1" ht="24.75" customHeight="1">
      <c r="B129" s="205" t="s">
        <v>166</v>
      </c>
      <c r="C129" s="117"/>
      <c r="D129" s="117"/>
      <c r="E129" s="117"/>
      <c r="F129" s="117"/>
      <c r="G129" s="117"/>
    </row>
    <row r="130" spans="2:7" s="1" customFormat="1" ht="16.5" customHeight="1">
      <c r="B130" s="117"/>
      <c r="C130" s="117"/>
      <c r="D130" s="117"/>
      <c r="E130" s="117"/>
      <c r="F130" s="117"/>
      <c r="G130" s="117"/>
    </row>
    <row r="131" spans="2:7" s="1" customFormat="1" ht="16.5" customHeight="1">
      <c r="B131" s="206" t="s">
        <v>50</v>
      </c>
      <c r="C131" s="207" t="s">
        <v>71</v>
      </c>
      <c r="D131" s="206" t="s">
        <v>48</v>
      </c>
      <c r="E131" s="207" t="s">
        <v>47</v>
      </c>
      <c r="F131" s="207" t="s">
        <v>660</v>
      </c>
      <c r="G131" s="206" t="s">
        <v>45</v>
      </c>
    </row>
    <row r="132" spans="2:7" s="1" customFormat="1" ht="16.5" customHeight="1">
      <c r="B132" s="25"/>
      <c r="C132" s="51"/>
      <c r="D132" s="211"/>
      <c r="E132" s="51"/>
      <c r="F132" s="51"/>
      <c r="G132" s="27"/>
    </row>
    <row r="133" spans="2:7" s="1" customFormat="1" ht="16.5" customHeight="1">
      <c r="B133" s="25"/>
      <c r="C133" s="51"/>
      <c r="D133" s="211"/>
      <c r="E133" s="51"/>
      <c r="F133" s="51"/>
      <c r="G133" s="27"/>
    </row>
    <row r="134" spans="2:7" s="1" customFormat="1" ht="16.5" customHeight="1">
      <c r="B134" s="25"/>
      <c r="C134" s="51"/>
      <c r="D134" s="211"/>
      <c r="E134" s="51"/>
      <c r="F134" s="51"/>
      <c r="G134" s="27"/>
    </row>
    <row r="135" spans="2:7" s="1" customFormat="1" ht="16.5" customHeight="1">
      <c r="B135" s="25"/>
      <c r="C135" s="51"/>
      <c r="D135" s="211"/>
      <c r="E135" s="51"/>
      <c r="F135" s="51"/>
      <c r="G135" s="27"/>
    </row>
    <row r="136" spans="2:7" s="1" customFormat="1" ht="16.5" customHeight="1">
      <c r="B136" s="25"/>
      <c r="C136" s="51"/>
      <c r="D136" s="211"/>
      <c r="E136" s="51"/>
      <c r="F136" s="51"/>
      <c r="G136" s="27"/>
    </row>
    <row r="137" spans="2:7" s="1" customFormat="1" ht="16.5" customHeight="1">
      <c r="B137" s="25"/>
      <c r="C137" s="51"/>
      <c r="D137" s="211"/>
      <c r="E137" s="51"/>
      <c r="F137" s="51"/>
      <c r="G137" s="27"/>
    </row>
    <row r="138" spans="2:7" s="1" customFormat="1" ht="16.5" customHeight="1">
      <c r="B138" s="25"/>
      <c r="C138" s="51"/>
      <c r="D138" s="211"/>
      <c r="E138" s="51"/>
      <c r="F138" s="51"/>
      <c r="G138" s="27"/>
    </row>
    <row r="139" spans="2:7" s="1" customFormat="1" ht="16.5" customHeight="1">
      <c r="B139" s="25"/>
      <c r="C139" s="51"/>
      <c r="D139" s="211"/>
      <c r="E139" s="51"/>
      <c r="F139" s="51"/>
      <c r="G139" s="27"/>
    </row>
    <row r="140" spans="2:7" s="1" customFormat="1" ht="16.5" customHeight="1">
      <c r="B140" s="25"/>
      <c r="C140" s="51"/>
      <c r="D140" s="211"/>
      <c r="E140" s="51"/>
      <c r="F140" s="51"/>
      <c r="G140" s="27"/>
    </row>
    <row r="141" spans="2:7" s="1" customFormat="1" ht="16.5" customHeight="1">
      <c r="B141" s="25"/>
      <c r="C141" s="51"/>
      <c r="D141" s="211"/>
      <c r="E141" s="51"/>
      <c r="F141" s="51"/>
      <c r="G141" s="27"/>
    </row>
    <row r="142" spans="2:7" s="1" customFormat="1" ht="16.5" customHeight="1">
      <c r="B142" s="25"/>
      <c r="C142" s="51"/>
      <c r="D142" s="211"/>
      <c r="E142" s="51"/>
      <c r="F142" s="51"/>
      <c r="G142" s="27"/>
    </row>
    <row r="143" spans="2:7" s="1" customFormat="1" ht="16.5" customHeight="1">
      <c r="B143" s="25"/>
      <c r="C143" s="51"/>
      <c r="D143" s="211"/>
      <c r="E143" s="51"/>
      <c r="F143" s="51"/>
      <c r="G143" s="27"/>
    </row>
    <row r="144" spans="2:7" s="1" customFormat="1" ht="16.5" customHeight="1">
      <c r="B144" s="25"/>
      <c r="C144" s="51"/>
      <c r="D144" s="211"/>
      <c r="E144" s="51"/>
      <c r="F144" s="51"/>
      <c r="G144" s="27"/>
    </row>
    <row r="145" spans="2:7" s="1" customFormat="1" ht="16.5" customHeight="1">
      <c r="B145" s="212" t="s">
        <v>1</v>
      </c>
      <c r="C145" s="213"/>
      <c r="D145" s="214">
        <f>SUBTOTAL(109,ExpMar132145158171184197210223236249[Amount])</f>
        <v>0</v>
      </c>
      <c r="E145" s="213"/>
      <c r="F145" s="213"/>
      <c r="G145" s="212"/>
    </row>
    <row r="147" spans="2:7" s="1" customFormat="1" ht="24.75" customHeight="1">
      <c r="B147" s="205" t="s">
        <v>167</v>
      </c>
      <c r="C147" s="117"/>
      <c r="D147" s="117"/>
      <c r="E147" s="117"/>
      <c r="F147" s="117"/>
      <c r="G147" s="117"/>
    </row>
    <row r="148" spans="2:7" s="1" customFormat="1" ht="16.5" customHeight="1">
      <c r="B148" s="117"/>
      <c r="C148" s="117"/>
      <c r="D148" s="117"/>
      <c r="E148" s="117"/>
      <c r="F148" s="117"/>
      <c r="G148" s="117"/>
    </row>
    <row r="149" spans="2:7" s="1" customFormat="1" ht="16.5" customHeight="1">
      <c r="B149" s="206" t="s">
        <v>50</v>
      </c>
      <c r="C149" s="207" t="s">
        <v>168</v>
      </c>
      <c r="D149" s="206" t="s">
        <v>48</v>
      </c>
      <c r="E149" s="207" t="s">
        <v>47</v>
      </c>
      <c r="F149" s="207" t="s">
        <v>660</v>
      </c>
      <c r="G149" s="206" t="s">
        <v>45</v>
      </c>
    </row>
    <row r="150" spans="2:7" s="1" customFormat="1" ht="16.5" customHeight="1">
      <c r="B150" s="215"/>
      <c r="C150" s="51"/>
      <c r="D150" s="216"/>
      <c r="E150" s="51"/>
      <c r="F150" s="51"/>
      <c r="G150" s="51"/>
    </row>
    <row r="151" spans="2:7" s="1" customFormat="1" ht="16.5" customHeight="1">
      <c r="B151" s="215"/>
      <c r="C151" s="51"/>
      <c r="D151" s="216"/>
      <c r="E151" s="51"/>
      <c r="F151" s="51"/>
      <c r="G151" s="51"/>
    </row>
    <row r="152" spans="2:7" s="1" customFormat="1" ht="16.5" customHeight="1">
      <c r="B152" s="215"/>
      <c r="C152" s="51"/>
      <c r="D152" s="216"/>
      <c r="E152" s="51"/>
      <c r="F152" s="51"/>
      <c r="G152" s="51"/>
    </row>
    <row r="153" spans="2:7" s="1" customFormat="1" ht="16.5" customHeight="1">
      <c r="B153" s="215"/>
      <c r="C153" s="51"/>
      <c r="D153" s="216"/>
      <c r="E153" s="51"/>
      <c r="F153" s="51"/>
      <c r="G153" s="51"/>
    </row>
    <row r="154" spans="2:7" s="1" customFormat="1" ht="16.5" customHeight="1">
      <c r="B154" s="215"/>
      <c r="C154" s="51"/>
      <c r="D154" s="216"/>
      <c r="E154" s="51"/>
      <c r="F154" s="51"/>
      <c r="G154" s="51"/>
    </row>
    <row r="155" spans="2:7" s="1" customFormat="1" ht="16.5" customHeight="1">
      <c r="B155" s="215"/>
      <c r="C155" s="51"/>
      <c r="D155" s="216"/>
      <c r="E155" s="51"/>
      <c r="F155" s="51"/>
      <c r="G155" s="51"/>
    </row>
    <row r="156" spans="2:7" s="1" customFormat="1" ht="16.5" customHeight="1">
      <c r="B156" s="215"/>
      <c r="C156" s="51"/>
      <c r="D156" s="216"/>
      <c r="E156" s="51"/>
      <c r="F156" s="51"/>
      <c r="G156" s="51"/>
    </row>
    <row r="157" spans="2:7" s="1" customFormat="1" ht="16.5" customHeight="1">
      <c r="B157" s="215"/>
      <c r="C157" s="51"/>
      <c r="D157" s="216"/>
      <c r="E157" s="51"/>
      <c r="F157" s="51"/>
      <c r="G157" s="51"/>
    </row>
    <row r="158" spans="2:7" s="1" customFormat="1" ht="16.5" customHeight="1">
      <c r="B158" s="215"/>
      <c r="C158" s="51"/>
      <c r="D158" s="216"/>
      <c r="E158" s="51"/>
      <c r="F158" s="51"/>
      <c r="G158" s="51"/>
    </row>
    <row r="159" spans="2:7" s="1" customFormat="1" ht="16.5" customHeight="1">
      <c r="B159" s="215"/>
      <c r="C159" s="51"/>
      <c r="D159" s="216"/>
      <c r="E159" s="51"/>
      <c r="F159" s="51"/>
      <c r="G159" s="51"/>
    </row>
    <row r="160" spans="2:7" s="1" customFormat="1" ht="16.5" customHeight="1">
      <c r="B160" s="215"/>
      <c r="C160" s="51"/>
      <c r="D160" s="216"/>
      <c r="E160" s="51"/>
      <c r="F160" s="51"/>
      <c r="G160" s="51"/>
    </row>
    <row r="161" spans="2:7" s="1" customFormat="1" ht="16.5" customHeight="1">
      <c r="B161" s="212" t="s">
        <v>1</v>
      </c>
      <c r="C161" s="213"/>
      <c r="D161" s="214">
        <f>SUBTOTAL(109,ExpApr133146159172185198211224237250[Amount])</f>
        <v>0</v>
      </c>
      <c r="E161" s="213"/>
      <c r="F161" s="213"/>
      <c r="G161" s="212"/>
    </row>
    <row r="163" spans="2:7" s="1" customFormat="1" ht="26.25" customHeight="1">
      <c r="B163" s="205" t="s">
        <v>169</v>
      </c>
      <c r="C163" s="117"/>
      <c r="D163" s="117"/>
      <c r="E163" s="117"/>
      <c r="F163" s="117"/>
      <c r="G163" s="117"/>
    </row>
    <row r="164" spans="2:7" s="1" customFormat="1" ht="16.5" customHeight="1">
      <c r="B164" s="117"/>
      <c r="C164" s="117"/>
      <c r="D164" s="117"/>
      <c r="E164" s="117"/>
      <c r="F164" s="117"/>
      <c r="G164" s="117"/>
    </row>
    <row r="165" spans="2:7" s="1" customFormat="1" ht="16.5" customHeight="1">
      <c r="B165" s="206" t="s">
        <v>50</v>
      </c>
      <c r="C165" s="207" t="s">
        <v>71</v>
      </c>
      <c r="D165" s="206" t="s">
        <v>48</v>
      </c>
      <c r="E165" s="207" t="s">
        <v>47</v>
      </c>
      <c r="F165" s="207" t="s">
        <v>660</v>
      </c>
      <c r="G165" s="206" t="s">
        <v>45</v>
      </c>
    </row>
    <row r="166" spans="2:7" s="1" customFormat="1" ht="16.5" customHeight="1">
      <c r="B166" s="25"/>
      <c r="C166" s="51"/>
      <c r="D166" s="211"/>
      <c r="E166" s="51"/>
      <c r="F166" s="51"/>
      <c r="G166" s="27"/>
    </row>
    <row r="167" spans="2:7" s="1" customFormat="1" ht="16.5" customHeight="1">
      <c r="B167" s="25"/>
      <c r="C167" s="51"/>
      <c r="D167" s="211"/>
      <c r="E167" s="51"/>
      <c r="F167" s="51"/>
      <c r="G167" s="27"/>
    </row>
    <row r="168" spans="2:7" s="1" customFormat="1" ht="16.5" customHeight="1">
      <c r="B168" s="25"/>
      <c r="C168" s="51"/>
      <c r="D168" s="211"/>
      <c r="E168" s="51"/>
      <c r="F168" s="51"/>
      <c r="G168" s="27"/>
    </row>
    <row r="169" spans="2:7" s="1" customFormat="1" ht="16.5" customHeight="1">
      <c r="B169" s="25"/>
      <c r="C169" s="51"/>
      <c r="D169" s="211"/>
      <c r="E169" s="51"/>
      <c r="F169" s="51"/>
      <c r="G169" s="27"/>
    </row>
    <row r="170" spans="2:7" s="1" customFormat="1" ht="16.5" customHeight="1">
      <c r="B170" s="25"/>
      <c r="C170" s="51"/>
      <c r="D170" s="211"/>
      <c r="E170" s="51"/>
      <c r="F170" s="51"/>
      <c r="G170" s="27"/>
    </row>
    <row r="171" spans="2:7" s="1" customFormat="1" ht="16.5" customHeight="1">
      <c r="B171" s="25"/>
      <c r="C171" s="51"/>
      <c r="D171" s="211"/>
      <c r="E171" s="51"/>
      <c r="F171" s="51"/>
      <c r="G171" s="27"/>
    </row>
    <row r="172" spans="2:7" s="1" customFormat="1" ht="16.5" customHeight="1">
      <c r="B172" s="25"/>
      <c r="C172" s="51"/>
      <c r="D172" s="211"/>
      <c r="E172" s="51"/>
      <c r="F172" s="51"/>
      <c r="G172" s="27"/>
    </row>
    <row r="173" spans="2:7" s="1" customFormat="1" ht="16.5" customHeight="1">
      <c r="B173" s="25"/>
      <c r="C173" s="51"/>
      <c r="D173" s="211"/>
      <c r="E173" s="51"/>
      <c r="F173" s="51"/>
      <c r="G173" s="27"/>
    </row>
    <row r="174" spans="2:7" s="1" customFormat="1" ht="16.5" customHeight="1">
      <c r="B174" s="25"/>
      <c r="C174" s="51"/>
      <c r="D174" s="211"/>
      <c r="E174" s="51"/>
      <c r="F174" s="51"/>
      <c r="G174" s="27"/>
    </row>
    <row r="175" spans="2:7" s="1" customFormat="1" ht="16.5" customHeight="1">
      <c r="B175" s="25"/>
      <c r="C175" s="51"/>
      <c r="D175" s="211"/>
      <c r="E175" s="51"/>
      <c r="F175" s="51"/>
      <c r="G175" s="27"/>
    </row>
    <row r="176" spans="2:7" s="1" customFormat="1" ht="16.5" customHeight="1">
      <c r="B176" s="25"/>
      <c r="C176" s="51"/>
      <c r="D176" s="211"/>
      <c r="E176" s="51"/>
      <c r="F176" s="51"/>
      <c r="G176" s="27"/>
    </row>
    <row r="177" spans="2:7" s="1" customFormat="1" ht="16.5" customHeight="1">
      <c r="B177" s="25"/>
      <c r="C177" s="51"/>
      <c r="D177" s="211"/>
      <c r="E177" s="51"/>
      <c r="F177" s="51"/>
      <c r="G177" s="27"/>
    </row>
    <row r="178" spans="2:7" s="1" customFormat="1" ht="16.5" customHeight="1">
      <c r="B178" s="224" t="s">
        <v>1</v>
      </c>
      <c r="C178" s="225"/>
      <c r="D178" s="226">
        <f>SUBTOTAL(109,ExpMay134147160173186199212225238251[Amount])</f>
        <v>0</v>
      </c>
      <c r="E178" s="225"/>
      <c r="F178" s="225"/>
      <c r="G178" s="224"/>
    </row>
    <row r="180" spans="2:7" s="1" customFormat="1" ht="26.25" customHeight="1">
      <c r="B180" s="205" t="s">
        <v>170</v>
      </c>
      <c r="C180" s="117"/>
      <c r="D180" s="117"/>
      <c r="E180" s="117"/>
      <c r="F180" s="117"/>
      <c r="G180" s="117"/>
    </row>
    <row r="181" spans="2:7" s="1" customFormat="1" ht="16.5" customHeight="1">
      <c r="B181" s="117"/>
      <c r="C181" s="117"/>
      <c r="D181" s="117"/>
      <c r="E181" s="117"/>
      <c r="F181" s="117"/>
      <c r="G181" s="117"/>
    </row>
    <row r="182" spans="2:7" s="1" customFormat="1" ht="16.5" customHeight="1">
      <c r="B182" s="206" t="s">
        <v>50</v>
      </c>
      <c r="C182" s="207" t="s">
        <v>155</v>
      </c>
      <c r="D182" s="206" t="s">
        <v>48</v>
      </c>
      <c r="E182" s="207" t="s">
        <v>47</v>
      </c>
      <c r="F182" s="207" t="s">
        <v>660</v>
      </c>
      <c r="G182" s="206" t="s">
        <v>45</v>
      </c>
    </row>
    <row r="183" spans="2:7" s="1" customFormat="1" ht="16.5" customHeight="1">
      <c r="B183" s="215"/>
      <c r="C183" s="51"/>
      <c r="D183" s="216"/>
      <c r="E183" s="51"/>
      <c r="F183" s="51"/>
      <c r="G183" s="51"/>
    </row>
    <row r="184" spans="2:7" s="1" customFormat="1" ht="16.5" customHeight="1">
      <c r="B184" s="215"/>
      <c r="C184" s="51"/>
      <c r="D184" s="216"/>
      <c r="E184" s="51"/>
      <c r="F184" s="51"/>
      <c r="G184" s="51"/>
    </row>
    <row r="185" spans="2:7" s="1" customFormat="1" ht="16.5" customHeight="1">
      <c r="B185" s="215"/>
      <c r="C185" s="51"/>
      <c r="D185" s="216"/>
      <c r="E185" s="51"/>
      <c r="F185" s="51"/>
      <c r="G185" s="51"/>
    </row>
    <row r="186" spans="2:7" s="1" customFormat="1" ht="16.5" customHeight="1">
      <c r="B186" s="215"/>
      <c r="C186" s="51"/>
      <c r="D186" s="216"/>
      <c r="E186" s="51"/>
      <c r="F186" s="51"/>
      <c r="G186" s="51"/>
    </row>
    <row r="187" spans="2:7" s="1" customFormat="1" ht="16.5" customHeight="1">
      <c r="B187" s="215"/>
      <c r="C187" s="51"/>
      <c r="D187" s="216"/>
      <c r="E187" s="51"/>
      <c r="F187" s="51"/>
      <c r="G187" s="51"/>
    </row>
    <row r="188" spans="2:7" s="1" customFormat="1" ht="16.5" customHeight="1">
      <c r="B188" s="215"/>
      <c r="C188" s="51"/>
      <c r="D188" s="216"/>
      <c r="E188" s="51"/>
      <c r="F188" s="51"/>
      <c r="G188" s="51"/>
    </row>
    <row r="189" spans="2:7" s="1" customFormat="1" ht="16.5" customHeight="1">
      <c r="B189" s="215"/>
      <c r="C189" s="51"/>
      <c r="D189" s="216"/>
      <c r="E189" s="51"/>
      <c r="F189" s="51"/>
      <c r="G189" s="51"/>
    </row>
    <row r="190" spans="2:7" s="1" customFormat="1" ht="16.5" customHeight="1">
      <c r="B190" s="215"/>
      <c r="C190" s="51"/>
      <c r="D190" s="216"/>
      <c r="E190" s="51"/>
      <c r="F190" s="51"/>
      <c r="G190" s="51"/>
    </row>
    <row r="191" spans="2:7" s="1" customFormat="1" ht="16.5" customHeight="1">
      <c r="B191" s="215"/>
      <c r="C191" s="51"/>
      <c r="D191" s="216"/>
      <c r="E191" s="51"/>
      <c r="F191" s="51"/>
      <c r="G191" s="51"/>
    </row>
    <row r="192" spans="2:7" s="1" customFormat="1" ht="16.5" customHeight="1">
      <c r="B192" s="215"/>
      <c r="C192" s="51"/>
      <c r="D192" s="216"/>
      <c r="E192" s="51"/>
      <c r="F192" s="51"/>
      <c r="G192" s="51"/>
    </row>
    <row r="193" spans="2:7" s="1" customFormat="1" ht="16.5" customHeight="1">
      <c r="B193" s="215"/>
      <c r="C193" s="51"/>
      <c r="D193" s="216"/>
      <c r="E193" s="51"/>
      <c r="F193" s="51"/>
      <c r="G193" s="51"/>
    </row>
    <row r="194" spans="2:7" s="1" customFormat="1" ht="16.5" customHeight="1">
      <c r="B194" s="224" t="s">
        <v>1</v>
      </c>
      <c r="C194" s="225"/>
      <c r="D194" s="226">
        <f>SUBTOTAL(109,ExpJun135148161174187200213226239252[Amount])</f>
        <v>0</v>
      </c>
      <c r="E194" s="225"/>
      <c r="F194" s="225"/>
      <c r="G194" s="224"/>
    </row>
  </sheetData>
  <dataValidations count="14">
    <dataValidation type="custom" errorStyle="warning" allowBlank="1" showInputMessage="1" showErrorMessage="1" errorTitle="Amount Validation" error="Amount should be a number." sqref="D5:D17 D19 D23:D40 D47:D55 D61:D71 D77:D86 D92:D97 D103:D110 D116:D126 D132:D144 D150:D160 D166:D177 D183:D193">
      <formula1>ISNUMBER($D5)</formula1>
    </dataValidation>
    <dataValidation type="custom" errorStyle="warning" allowBlank="1" showInputMessage="1" showErrorMessage="1" errorTitle="Date Validation" error="A date in July needs be entered  in order for this expense to be added to the Summary sheet." sqref="B5:B17 B19">
      <formula1>MONTH($B5)=7</formula1>
    </dataValidation>
    <dataValidation type="list" errorStyle="warning" allowBlank="1" showInputMessage="1" showErrorMessage="1" errorTitle="Unknown Category" error="An expense from the drop down should be selected in order for it to be included on the Summary sheet." sqref="E5:F17 E19:F19 E23:F40 E47:F55 E61:F71 E77:F86 E92:F97 E103:F110 E116:E126 E132:F144 E150:F160 E166:F177 E183:F193">
      <formula1>ExpenseCategories</formula1>
    </dataValidation>
    <dataValidation type="custom" errorStyle="warning" allowBlank="1" showInputMessage="1" showErrorMessage="1" errorTitle="Date Validation" error="A date in August needs be entered  in order for this expense to be added to the Summary sheet." sqref="B23:B40">
      <formula1>MONTH($B23)=8</formula1>
    </dataValidation>
    <dataValidation type="custom" errorStyle="warning" allowBlank="1" showInputMessage="1" showErrorMessage="1" errorTitle="Date Validation" error="A date in September needs be entered  in order for this expense to be added to the Summary sheet." sqref="B47:B55">
      <formula1>MONTH($B47)=9</formula1>
    </dataValidation>
    <dataValidation type="custom" errorStyle="warning" allowBlank="1" showInputMessage="1" showErrorMessage="1" errorTitle="Date Validation" error="A date in June needs be entered  in order for this expense to be added to the Summary sheet." sqref="B183:B193">
      <formula1>MONTH($B183)=6</formula1>
    </dataValidation>
    <dataValidation type="custom" errorStyle="warning" allowBlank="1" showInputMessage="1" showErrorMessage="1" errorTitle="Date Validation" error="A date in May needs be entered  in order for this expense to be added to the Summary sheet." sqref="B166:B177">
      <formula1>MONTH($B166)=5</formula1>
    </dataValidation>
    <dataValidation type="custom" errorStyle="warning" allowBlank="1" showInputMessage="1" showErrorMessage="1" errorTitle="Date Validation" error="A date in April needs be entered  in order for this expense to be added to the Summary sheet." sqref="B150:B160">
      <formula1>MONTH($B150)=4</formula1>
    </dataValidation>
    <dataValidation type="custom" errorStyle="warning" allowBlank="1" showInputMessage="1" showErrorMessage="1" errorTitle="Date Validation" error="A date in March needs be entered in order for this expense to be added to the Summary sheet." sqref="B132:B144">
      <formula1>MONTH($B132)=3</formula1>
    </dataValidation>
    <dataValidation type="custom" errorStyle="warning" allowBlank="1" showInputMessage="1" showErrorMessage="1" errorTitle="Date Validation" error="A date in February needs be entered in order for this expense to be added to the Summary sheet." sqref="B116:B126">
      <formula1>MONTH($B116)=2</formula1>
    </dataValidation>
    <dataValidation type="custom" errorStyle="warning" allowBlank="1" showInputMessage="1" showErrorMessage="1" errorTitle="Date Validation" error="A date in January needs be entered in order for this expense to be added to the Summary sheet." sqref="B103:B110">
      <formula1>MONTH($B103)=1</formula1>
    </dataValidation>
    <dataValidation type="custom" errorStyle="warning" allowBlank="1" showInputMessage="1" showErrorMessage="1" errorTitle="Date Validation" error="A date in December needs be entered  in order for this expense to be added to the Summary sheet." sqref="B92:B97">
      <formula1>MONTH($B92)=12</formula1>
    </dataValidation>
    <dataValidation type="custom" errorStyle="warning" allowBlank="1" showInputMessage="1" showErrorMessage="1" errorTitle="Date Validation" error="A date in November needs be entered  in order for this expense to be added to the Summary sheet." sqref="B77:B86">
      <formula1>MONTH($B77)=11</formula1>
    </dataValidation>
    <dataValidation type="custom" errorStyle="warning" allowBlank="1" showInputMessage="1" showErrorMessage="1" errorTitle="Date Validation" error="A date in October needs be entered  in order for this expense to be added to the Summary sheet." sqref="B61:B71">
      <formula1>MONTH($B61)=10</formula1>
    </dataValidation>
  </dataValidations>
  <printOptions horizontalCentered="1"/>
  <pageMargins left="0.25" right="0.25" top="0.75" bottom="0.75" header="0.3" footer="0.3"/>
  <pageSetup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80"/>
  <sheetViews>
    <sheetView topLeftCell="A43" workbookViewId="0">
      <selection activeCell="M58" sqref="A1:XFD1048576"/>
    </sheetView>
  </sheetViews>
  <sheetFormatPr defaultColWidth="9.140625" defaultRowHeight="12.75"/>
  <cols>
    <col min="1" max="1" width="16.140625" style="260" customWidth="1"/>
    <col min="2" max="2" width="13.42578125" style="260" customWidth="1"/>
    <col min="3" max="3" width="11.42578125" style="260" customWidth="1"/>
    <col min="4" max="4" width="14" style="260" customWidth="1"/>
    <col min="5" max="5" width="14.140625" style="260" customWidth="1"/>
    <col min="6" max="6" width="12.7109375" style="260" customWidth="1"/>
    <col min="7" max="7" width="13.28515625" style="260" customWidth="1"/>
    <col min="8" max="16384" width="9.140625" style="260"/>
  </cols>
  <sheetData>
    <row r="1" spans="1:7" ht="13.5" customHeight="1">
      <c r="A1" s="278" t="s">
        <v>155</v>
      </c>
      <c r="B1" s="279" t="s">
        <v>154</v>
      </c>
      <c r="C1" s="280"/>
      <c r="D1" s="279" t="s">
        <v>153</v>
      </c>
      <c r="E1" s="280"/>
      <c r="F1" s="279" t="s">
        <v>152</v>
      </c>
      <c r="G1" s="280"/>
    </row>
    <row r="2" spans="1:7" ht="22.5">
      <c r="A2" s="516"/>
      <c r="B2" s="517" t="str">
        <f t="shared" ref="B2:B39" si="0">D1</f>
        <v>Current PM Date &amp; Mileage</v>
      </c>
      <c r="C2" s="361"/>
      <c r="D2" s="518"/>
      <c r="E2" s="352"/>
      <c r="F2" s="519">
        <f t="shared" ref="F2:F39" si="1">SUM(E2-E1)</f>
        <v>0</v>
      </c>
      <c r="G2" s="520"/>
    </row>
    <row r="3" spans="1:7">
      <c r="A3" s="516"/>
      <c r="B3" s="354">
        <f t="shared" si="0"/>
        <v>0</v>
      </c>
      <c r="C3" s="355"/>
      <c r="D3" s="521" t="s">
        <v>1558</v>
      </c>
      <c r="E3" s="357">
        <v>5113</v>
      </c>
      <c r="F3" s="358">
        <f t="shared" si="1"/>
        <v>5113</v>
      </c>
      <c r="G3" s="359" t="b">
        <f t="shared" ref="G3:G27" si="2">IF(F3&gt;5250,"OVER")</f>
        <v>0</v>
      </c>
    </row>
    <row r="4" spans="1:7">
      <c r="A4" s="516">
        <v>9769</v>
      </c>
      <c r="B4" s="354" t="str">
        <f t="shared" si="0"/>
        <v>4.19.16</v>
      </c>
      <c r="C4" s="355">
        <v>5113</v>
      </c>
      <c r="D4" s="521" t="s">
        <v>210</v>
      </c>
      <c r="E4" s="357">
        <v>10095</v>
      </c>
      <c r="F4" s="358">
        <f t="shared" si="1"/>
        <v>4982</v>
      </c>
      <c r="G4" s="359" t="b">
        <f t="shared" si="2"/>
        <v>0</v>
      </c>
    </row>
    <row r="5" spans="1:7">
      <c r="A5" s="516">
        <v>9830</v>
      </c>
      <c r="B5" s="354" t="str">
        <f t="shared" si="0"/>
        <v>5.27.16</v>
      </c>
      <c r="C5" s="355">
        <v>10095</v>
      </c>
      <c r="D5" s="521" t="s">
        <v>1557</v>
      </c>
      <c r="E5" s="357">
        <v>15063</v>
      </c>
      <c r="F5" s="358">
        <f t="shared" si="1"/>
        <v>4968</v>
      </c>
      <c r="G5" s="359" t="b">
        <f t="shared" si="2"/>
        <v>0</v>
      </c>
    </row>
    <row r="6" spans="1:7">
      <c r="A6" s="516">
        <v>9891</v>
      </c>
      <c r="B6" s="354" t="str">
        <f t="shared" si="0"/>
        <v>7.1.16</v>
      </c>
      <c r="C6" s="355">
        <v>15063</v>
      </c>
      <c r="D6" s="521" t="s">
        <v>1556</v>
      </c>
      <c r="E6" s="357">
        <v>20121</v>
      </c>
      <c r="F6" s="358">
        <f t="shared" si="1"/>
        <v>5058</v>
      </c>
      <c r="G6" s="359" t="b">
        <f t="shared" si="2"/>
        <v>0</v>
      </c>
    </row>
    <row r="7" spans="1:7">
      <c r="A7" s="516">
        <v>9952</v>
      </c>
      <c r="B7" s="354" t="str">
        <f t="shared" si="0"/>
        <v>8.4.16</v>
      </c>
      <c r="C7" s="355">
        <v>20121</v>
      </c>
      <c r="D7" s="521" t="s">
        <v>1555</v>
      </c>
      <c r="E7" s="357">
        <v>25103</v>
      </c>
      <c r="F7" s="358">
        <f t="shared" si="1"/>
        <v>4982</v>
      </c>
      <c r="G7" s="359" t="b">
        <f t="shared" si="2"/>
        <v>0</v>
      </c>
    </row>
    <row r="8" spans="1:7">
      <c r="A8" s="516">
        <v>10021</v>
      </c>
      <c r="B8" s="354" t="str">
        <f t="shared" si="0"/>
        <v>9.8.16</v>
      </c>
      <c r="C8" s="355">
        <v>25103</v>
      </c>
      <c r="D8" s="521" t="s">
        <v>1554</v>
      </c>
      <c r="E8" s="357">
        <v>30140</v>
      </c>
      <c r="F8" s="358">
        <f t="shared" si="1"/>
        <v>5037</v>
      </c>
      <c r="G8" s="359" t="b">
        <f t="shared" si="2"/>
        <v>0</v>
      </c>
    </row>
    <row r="9" spans="1:7">
      <c r="A9" s="516">
        <v>10118</v>
      </c>
      <c r="B9" s="354" t="str">
        <f t="shared" si="0"/>
        <v>10.28.16</v>
      </c>
      <c r="C9" s="355">
        <v>30140</v>
      </c>
      <c r="D9" s="521" t="s">
        <v>1553</v>
      </c>
      <c r="E9" s="357">
        <v>34955</v>
      </c>
      <c r="F9" s="358">
        <f t="shared" si="1"/>
        <v>4815</v>
      </c>
      <c r="G9" s="359" t="b">
        <f t="shared" si="2"/>
        <v>0</v>
      </c>
    </row>
    <row r="10" spans="1:7">
      <c r="A10" s="516">
        <v>10167</v>
      </c>
      <c r="B10" s="354" t="str">
        <f t="shared" si="0"/>
        <v>11.28.16</v>
      </c>
      <c r="C10" s="355">
        <v>34955</v>
      </c>
      <c r="D10" s="521" t="s">
        <v>1552</v>
      </c>
      <c r="E10" s="357">
        <v>39927</v>
      </c>
      <c r="F10" s="358">
        <f t="shared" si="1"/>
        <v>4972</v>
      </c>
      <c r="G10" s="359" t="b">
        <f t="shared" si="2"/>
        <v>0</v>
      </c>
    </row>
    <row r="11" spans="1:7">
      <c r="A11" s="516">
        <v>10214</v>
      </c>
      <c r="B11" s="354" t="str">
        <f t="shared" si="0"/>
        <v>12.30.16</v>
      </c>
      <c r="C11" s="355">
        <v>39927</v>
      </c>
      <c r="D11" s="521" t="s">
        <v>1551</v>
      </c>
      <c r="E11" s="357">
        <v>44789</v>
      </c>
      <c r="F11" s="358">
        <f t="shared" si="1"/>
        <v>4862</v>
      </c>
      <c r="G11" s="359" t="b">
        <f t="shared" si="2"/>
        <v>0</v>
      </c>
    </row>
    <row r="12" spans="1:7">
      <c r="A12" s="516">
        <v>10273</v>
      </c>
      <c r="B12" s="354" t="str">
        <f t="shared" si="0"/>
        <v>1.31.17</v>
      </c>
      <c r="C12" s="355">
        <v>44789</v>
      </c>
      <c r="D12" s="521" t="s">
        <v>1550</v>
      </c>
      <c r="E12" s="357">
        <v>49898</v>
      </c>
      <c r="F12" s="358">
        <f t="shared" si="1"/>
        <v>5109</v>
      </c>
      <c r="G12" s="359" t="b">
        <f t="shared" si="2"/>
        <v>0</v>
      </c>
    </row>
    <row r="13" spans="1:7">
      <c r="A13" s="516">
        <v>10338</v>
      </c>
      <c r="B13" s="354" t="str">
        <f t="shared" si="0"/>
        <v>3.4.17</v>
      </c>
      <c r="C13" s="355">
        <v>49898</v>
      </c>
      <c r="D13" s="521" t="s">
        <v>1549</v>
      </c>
      <c r="E13" s="357">
        <v>54864</v>
      </c>
      <c r="F13" s="358">
        <f t="shared" si="1"/>
        <v>4966</v>
      </c>
      <c r="G13" s="359" t="b">
        <f t="shared" si="2"/>
        <v>0</v>
      </c>
    </row>
    <row r="14" spans="1:7">
      <c r="A14" s="516">
        <v>10392</v>
      </c>
      <c r="B14" s="354" t="str">
        <f t="shared" si="0"/>
        <v>4.3.17</v>
      </c>
      <c r="C14" s="355">
        <v>54864</v>
      </c>
      <c r="D14" s="521" t="s">
        <v>1548</v>
      </c>
      <c r="E14" s="357">
        <v>59813</v>
      </c>
      <c r="F14" s="358">
        <f t="shared" si="1"/>
        <v>4949</v>
      </c>
      <c r="G14" s="359" t="b">
        <f t="shared" si="2"/>
        <v>0</v>
      </c>
    </row>
    <row r="15" spans="1:7">
      <c r="A15" s="516">
        <v>10458</v>
      </c>
      <c r="B15" s="354" t="str">
        <f t="shared" si="0"/>
        <v>5.5.17</v>
      </c>
      <c r="C15" s="355">
        <v>59813</v>
      </c>
      <c r="D15" s="521"/>
      <c r="E15" s="538"/>
      <c r="F15" s="358">
        <f t="shared" si="1"/>
        <v>-59813</v>
      </c>
      <c r="G15" s="359" t="b">
        <f t="shared" si="2"/>
        <v>0</v>
      </c>
    </row>
    <row r="16" spans="1:7">
      <c r="A16" s="516"/>
      <c r="B16" s="354">
        <f t="shared" si="0"/>
        <v>0</v>
      </c>
      <c r="C16" s="361"/>
      <c r="D16" s="522"/>
      <c r="E16" s="363"/>
      <c r="F16" s="358">
        <f t="shared" si="1"/>
        <v>0</v>
      </c>
      <c r="G16" s="359" t="b">
        <f t="shared" si="2"/>
        <v>0</v>
      </c>
    </row>
    <row r="17" spans="1:7" ht="13.5" thickBot="1">
      <c r="A17" s="523"/>
      <c r="B17" s="354">
        <f t="shared" si="0"/>
        <v>0</v>
      </c>
      <c r="C17" s="365"/>
      <c r="D17" s="524"/>
      <c r="E17" s="367"/>
      <c r="F17" s="358">
        <f t="shared" si="1"/>
        <v>0</v>
      </c>
      <c r="G17" s="359" t="b">
        <f t="shared" si="2"/>
        <v>0</v>
      </c>
    </row>
    <row r="18" spans="1:7" ht="13.5" thickBot="1">
      <c r="A18" s="525"/>
      <c r="B18" s="354">
        <f t="shared" si="0"/>
        <v>0</v>
      </c>
      <c r="C18" s="370"/>
      <c r="D18" s="526"/>
      <c r="E18" s="372"/>
      <c r="F18" s="358">
        <f t="shared" si="1"/>
        <v>0</v>
      </c>
      <c r="G18" s="359" t="b">
        <f t="shared" si="2"/>
        <v>0</v>
      </c>
    </row>
    <row r="19" spans="1:7">
      <c r="A19" s="527"/>
      <c r="B19" s="354">
        <f t="shared" si="0"/>
        <v>0</v>
      </c>
      <c r="C19" s="375"/>
      <c r="D19" s="528"/>
      <c r="E19" s="377"/>
      <c r="F19" s="358">
        <f t="shared" si="1"/>
        <v>0</v>
      </c>
      <c r="G19" s="359" t="b">
        <f t="shared" si="2"/>
        <v>0</v>
      </c>
    </row>
    <row r="20" spans="1:7">
      <c r="A20" s="516"/>
      <c r="B20" s="354">
        <f t="shared" si="0"/>
        <v>0</v>
      </c>
      <c r="C20" s="355"/>
      <c r="D20" s="521"/>
      <c r="E20" s="357"/>
      <c r="F20" s="358">
        <f t="shared" si="1"/>
        <v>0</v>
      </c>
      <c r="G20" s="359" t="b">
        <f t="shared" si="2"/>
        <v>0</v>
      </c>
    </row>
    <row r="21" spans="1:7">
      <c r="A21" s="516"/>
      <c r="B21" s="354">
        <f t="shared" si="0"/>
        <v>0</v>
      </c>
      <c r="C21" s="355"/>
      <c r="D21" s="521"/>
      <c r="E21" s="357"/>
      <c r="F21" s="358">
        <f t="shared" si="1"/>
        <v>0</v>
      </c>
      <c r="G21" s="359" t="b">
        <f t="shared" si="2"/>
        <v>0</v>
      </c>
    </row>
    <row r="22" spans="1:7">
      <c r="A22" s="516"/>
      <c r="B22" s="354">
        <f t="shared" si="0"/>
        <v>0</v>
      </c>
      <c r="C22" s="355"/>
      <c r="D22" s="521"/>
      <c r="E22" s="357"/>
      <c r="F22" s="358">
        <f t="shared" si="1"/>
        <v>0</v>
      </c>
      <c r="G22" s="359" t="b">
        <f t="shared" si="2"/>
        <v>0</v>
      </c>
    </row>
    <row r="23" spans="1:7">
      <c r="A23" s="516"/>
      <c r="B23" s="354">
        <f t="shared" si="0"/>
        <v>0</v>
      </c>
      <c r="C23" s="355"/>
      <c r="D23" s="521"/>
      <c r="E23" s="357"/>
      <c r="F23" s="358">
        <f t="shared" si="1"/>
        <v>0</v>
      </c>
      <c r="G23" s="359" t="b">
        <f t="shared" si="2"/>
        <v>0</v>
      </c>
    </row>
    <row r="24" spans="1:7">
      <c r="A24" s="516"/>
      <c r="B24" s="354">
        <f t="shared" si="0"/>
        <v>0</v>
      </c>
      <c r="C24" s="355"/>
      <c r="D24" s="521"/>
      <c r="E24" s="357"/>
      <c r="F24" s="358">
        <f t="shared" si="1"/>
        <v>0</v>
      </c>
      <c r="G24" s="359" t="b">
        <f t="shared" si="2"/>
        <v>0</v>
      </c>
    </row>
    <row r="25" spans="1:7">
      <c r="A25" s="516"/>
      <c r="B25" s="354">
        <f t="shared" si="0"/>
        <v>0</v>
      </c>
      <c r="C25" s="355"/>
      <c r="D25" s="521"/>
      <c r="E25" s="357"/>
      <c r="F25" s="358">
        <f t="shared" si="1"/>
        <v>0</v>
      </c>
      <c r="G25" s="359" t="b">
        <f t="shared" si="2"/>
        <v>0</v>
      </c>
    </row>
    <row r="26" spans="1:7">
      <c r="A26" s="516"/>
      <c r="B26" s="354">
        <f t="shared" si="0"/>
        <v>0</v>
      </c>
      <c r="C26" s="355"/>
      <c r="D26" s="521"/>
      <c r="E26" s="357"/>
      <c r="F26" s="358">
        <f t="shared" si="1"/>
        <v>0</v>
      </c>
      <c r="G26" s="359" t="b">
        <f t="shared" si="2"/>
        <v>0</v>
      </c>
    </row>
    <row r="27" spans="1:7">
      <c r="A27" s="516"/>
      <c r="B27" s="354">
        <f t="shared" si="0"/>
        <v>0</v>
      </c>
      <c r="C27" s="355"/>
      <c r="D27" s="521"/>
      <c r="E27" s="357"/>
      <c r="F27" s="358">
        <f t="shared" si="1"/>
        <v>0</v>
      </c>
      <c r="G27" s="359" t="b">
        <f t="shared" si="2"/>
        <v>0</v>
      </c>
    </row>
    <row r="28" spans="1:7">
      <c r="A28" s="516"/>
      <c r="B28" s="354">
        <f t="shared" si="0"/>
        <v>0</v>
      </c>
      <c r="C28" s="355"/>
      <c r="D28" s="521"/>
      <c r="E28" s="357"/>
      <c r="F28" s="358">
        <f t="shared" si="1"/>
        <v>0</v>
      </c>
      <c r="G28" s="359"/>
    </row>
    <row r="29" spans="1:7">
      <c r="A29" s="516"/>
      <c r="B29" s="354">
        <f t="shared" si="0"/>
        <v>0</v>
      </c>
      <c r="C29" s="355"/>
      <c r="D29" s="521"/>
      <c r="E29" s="357"/>
      <c r="F29" s="358">
        <f t="shared" si="1"/>
        <v>0</v>
      </c>
      <c r="G29" s="359"/>
    </row>
    <row r="30" spans="1:7">
      <c r="A30" s="516"/>
      <c r="B30" s="354">
        <f t="shared" si="0"/>
        <v>0</v>
      </c>
      <c r="C30" s="355"/>
      <c r="D30" s="521"/>
      <c r="E30" s="357"/>
      <c r="F30" s="358">
        <f t="shared" si="1"/>
        <v>0</v>
      </c>
      <c r="G30" s="359"/>
    </row>
    <row r="31" spans="1:7">
      <c r="A31" s="516"/>
      <c r="B31" s="354">
        <f t="shared" si="0"/>
        <v>0</v>
      </c>
      <c r="C31" s="355"/>
      <c r="D31" s="521"/>
      <c r="E31" s="357"/>
      <c r="F31" s="358">
        <f t="shared" si="1"/>
        <v>0</v>
      </c>
      <c r="G31" s="359"/>
    </row>
    <row r="32" spans="1:7">
      <c r="A32" s="516"/>
      <c r="B32" s="354">
        <f t="shared" si="0"/>
        <v>0</v>
      </c>
      <c r="C32" s="355"/>
      <c r="D32" s="521"/>
      <c r="E32" s="357"/>
      <c r="F32" s="358">
        <f t="shared" si="1"/>
        <v>0</v>
      </c>
      <c r="G32" s="359"/>
    </row>
    <row r="33" spans="1:7">
      <c r="A33" s="516"/>
      <c r="B33" s="354">
        <f t="shared" si="0"/>
        <v>0</v>
      </c>
      <c r="C33" s="355"/>
      <c r="D33" s="521"/>
      <c r="E33" s="357"/>
      <c r="F33" s="358">
        <f t="shared" si="1"/>
        <v>0</v>
      </c>
      <c r="G33" s="359"/>
    </row>
    <row r="34" spans="1:7">
      <c r="A34" s="516"/>
      <c r="B34" s="354">
        <f t="shared" si="0"/>
        <v>0</v>
      </c>
      <c r="C34" s="355"/>
      <c r="D34" s="521"/>
      <c r="E34" s="357"/>
      <c r="F34" s="358">
        <f t="shared" si="1"/>
        <v>0</v>
      </c>
      <c r="G34" s="359"/>
    </row>
    <row r="35" spans="1:7">
      <c r="A35" s="516"/>
      <c r="B35" s="354">
        <f t="shared" si="0"/>
        <v>0</v>
      </c>
      <c r="C35" s="355"/>
      <c r="D35" s="521"/>
      <c r="E35" s="357"/>
      <c r="F35" s="358">
        <f t="shared" si="1"/>
        <v>0</v>
      </c>
      <c r="G35" s="359"/>
    </row>
    <row r="36" spans="1:7">
      <c r="A36" s="516"/>
      <c r="B36" s="354">
        <f t="shared" si="0"/>
        <v>0</v>
      </c>
      <c r="C36" s="355"/>
      <c r="D36" s="521"/>
      <c r="E36" s="357"/>
      <c r="F36" s="358">
        <f t="shared" si="1"/>
        <v>0</v>
      </c>
      <c r="G36" s="359"/>
    </row>
    <row r="37" spans="1:7">
      <c r="A37" s="516"/>
      <c r="B37" s="354">
        <f t="shared" si="0"/>
        <v>0</v>
      </c>
      <c r="C37" s="355"/>
      <c r="D37" s="521"/>
      <c r="E37" s="357"/>
      <c r="F37" s="358">
        <f t="shared" si="1"/>
        <v>0</v>
      </c>
      <c r="G37" s="359"/>
    </row>
    <row r="38" spans="1:7">
      <c r="A38" s="516"/>
      <c r="B38" s="354">
        <f t="shared" si="0"/>
        <v>0</v>
      </c>
      <c r="C38" s="355"/>
      <c r="D38" s="521"/>
      <c r="E38" s="357"/>
      <c r="F38" s="358">
        <f t="shared" si="1"/>
        <v>0</v>
      </c>
      <c r="G38" s="359"/>
    </row>
    <row r="39" spans="1:7">
      <c r="A39" s="516"/>
      <c r="B39" s="354">
        <f t="shared" si="0"/>
        <v>0</v>
      </c>
      <c r="C39" s="355"/>
      <c r="D39" s="521"/>
      <c r="E39" s="357"/>
      <c r="F39" s="358">
        <f t="shared" si="1"/>
        <v>0</v>
      </c>
      <c r="G39" s="359"/>
    </row>
    <row r="41" spans="1:7" ht="13.5" thickBot="1">
      <c r="A41" s="504" t="s">
        <v>836</v>
      </c>
    </row>
    <row r="42" spans="1:7">
      <c r="A42" s="278" t="s">
        <v>155</v>
      </c>
      <c r="B42" s="279" t="s">
        <v>154</v>
      </c>
      <c r="C42" s="280"/>
      <c r="D42" s="279" t="s">
        <v>153</v>
      </c>
      <c r="E42" s="280"/>
      <c r="F42" s="279" t="s">
        <v>152</v>
      </c>
      <c r="G42" s="280"/>
    </row>
    <row r="43" spans="1:7" ht="22.5">
      <c r="A43" s="516"/>
      <c r="B43" s="517" t="str">
        <f t="shared" ref="B43" si="3">D42</f>
        <v>Current PM Date &amp; Mileage</v>
      </c>
      <c r="C43" s="361"/>
      <c r="D43" s="518"/>
      <c r="E43" s="352"/>
      <c r="F43" s="519">
        <f t="shared" ref="F43:F80" si="4">SUM(E43-E42)</f>
        <v>0</v>
      </c>
      <c r="G43" s="520"/>
    </row>
    <row r="44" spans="1:7">
      <c r="A44" s="516"/>
      <c r="B44" s="559"/>
      <c r="C44" s="355"/>
      <c r="D44" s="521"/>
      <c r="E44" s="357"/>
      <c r="F44" s="358">
        <f t="shared" si="4"/>
        <v>0</v>
      </c>
      <c r="G44" s="359" t="b">
        <f t="shared" ref="G44:G68" si="5">IF(F44&gt;5250,"OVER")</f>
        <v>0</v>
      </c>
    </row>
    <row r="45" spans="1:7">
      <c r="A45" s="516"/>
      <c r="B45" s="559"/>
      <c r="C45" s="355"/>
      <c r="D45" s="521"/>
      <c r="E45" s="357"/>
      <c r="F45" s="358">
        <f t="shared" si="4"/>
        <v>0</v>
      </c>
      <c r="G45" s="359" t="b">
        <f t="shared" si="5"/>
        <v>0</v>
      </c>
    </row>
    <row r="46" spans="1:7">
      <c r="A46" s="516"/>
      <c r="B46" s="559"/>
      <c r="C46" s="355"/>
      <c r="D46" s="521"/>
      <c r="E46" s="357"/>
      <c r="F46" s="358">
        <f t="shared" si="4"/>
        <v>0</v>
      </c>
      <c r="G46" s="359" t="b">
        <f t="shared" si="5"/>
        <v>0</v>
      </c>
    </row>
    <row r="47" spans="1:7">
      <c r="A47" s="516"/>
      <c r="B47" s="559"/>
      <c r="C47" s="355"/>
      <c r="D47" s="521"/>
      <c r="E47" s="357"/>
      <c r="F47" s="358">
        <f t="shared" si="4"/>
        <v>0</v>
      </c>
      <c r="G47" s="359" t="b">
        <f t="shared" si="5"/>
        <v>0</v>
      </c>
    </row>
    <row r="48" spans="1:7">
      <c r="A48" s="516"/>
      <c r="B48" s="559"/>
      <c r="C48" s="355"/>
      <c r="D48" s="521"/>
      <c r="E48" s="357"/>
      <c r="F48" s="358">
        <f t="shared" si="4"/>
        <v>0</v>
      </c>
      <c r="G48" s="359" t="b">
        <f t="shared" si="5"/>
        <v>0</v>
      </c>
    </row>
    <row r="49" spans="1:7">
      <c r="A49" s="516"/>
      <c r="B49" s="559"/>
      <c r="C49" s="355"/>
      <c r="D49" s="521"/>
      <c r="E49" s="357"/>
      <c r="F49" s="358">
        <f t="shared" si="4"/>
        <v>0</v>
      </c>
      <c r="G49" s="359" t="b">
        <f t="shared" si="5"/>
        <v>0</v>
      </c>
    </row>
    <row r="50" spans="1:7">
      <c r="A50" s="516"/>
      <c r="B50" s="559"/>
      <c r="C50" s="355"/>
      <c r="D50" s="521"/>
      <c r="E50" s="357"/>
      <c r="F50" s="358">
        <f t="shared" si="4"/>
        <v>0</v>
      </c>
      <c r="G50" s="359" t="b">
        <f t="shared" si="5"/>
        <v>0</v>
      </c>
    </row>
    <row r="51" spans="1:7">
      <c r="A51" s="516"/>
      <c r="B51" s="559"/>
      <c r="C51" s="355"/>
      <c r="D51" s="521"/>
      <c r="E51" s="357"/>
      <c r="F51" s="358">
        <f t="shared" si="4"/>
        <v>0</v>
      </c>
      <c r="G51" s="359" t="b">
        <f t="shared" si="5"/>
        <v>0</v>
      </c>
    </row>
    <row r="52" spans="1:7">
      <c r="A52" s="516"/>
      <c r="B52" s="559"/>
      <c r="C52" s="355"/>
      <c r="D52" s="521"/>
      <c r="E52" s="357"/>
      <c r="F52" s="358">
        <f t="shared" si="4"/>
        <v>0</v>
      </c>
      <c r="G52" s="359" t="b">
        <f t="shared" si="5"/>
        <v>0</v>
      </c>
    </row>
    <row r="53" spans="1:7">
      <c r="A53" s="516"/>
      <c r="B53" s="559"/>
      <c r="C53" s="355"/>
      <c r="D53" s="521"/>
      <c r="E53" s="357"/>
      <c r="F53" s="358">
        <f t="shared" si="4"/>
        <v>0</v>
      </c>
      <c r="G53" s="359" t="b">
        <f t="shared" si="5"/>
        <v>0</v>
      </c>
    </row>
    <row r="54" spans="1:7">
      <c r="A54" s="516"/>
      <c r="B54" s="559"/>
      <c r="C54" s="355"/>
      <c r="D54" s="521"/>
      <c r="E54" s="357"/>
      <c r="F54" s="358">
        <f t="shared" si="4"/>
        <v>0</v>
      </c>
      <c r="G54" s="359" t="b">
        <f t="shared" si="5"/>
        <v>0</v>
      </c>
    </row>
    <row r="55" spans="1:7">
      <c r="A55" s="516"/>
      <c r="B55" s="559"/>
      <c r="C55" s="355"/>
      <c r="D55" s="521"/>
      <c r="E55" s="357"/>
      <c r="F55" s="358">
        <f t="shared" si="4"/>
        <v>0</v>
      </c>
      <c r="G55" s="359" t="b">
        <f t="shared" si="5"/>
        <v>0</v>
      </c>
    </row>
    <row r="56" spans="1:7">
      <c r="A56" s="516"/>
      <c r="B56" s="559"/>
      <c r="C56" s="355"/>
      <c r="D56" s="521"/>
      <c r="E56" s="538"/>
      <c r="F56" s="358">
        <f t="shared" si="4"/>
        <v>0</v>
      </c>
      <c r="G56" s="359" t="b">
        <f t="shared" si="5"/>
        <v>0</v>
      </c>
    </row>
    <row r="57" spans="1:7">
      <c r="A57" s="516"/>
      <c r="B57" s="559"/>
      <c r="C57" s="361"/>
      <c r="D57" s="522"/>
      <c r="E57" s="363"/>
      <c r="F57" s="358">
        <f t="shared" si="4"/>
        <v>0</v>
      </c>
      <c r="G57" s="359" t="b">
        <f t="shared" si="5"/>
        <v>0</v>
      </c>
    </row>
    <row r="58" spans="1:7" ht="13.5" thickBot="1">
      <c r="A58" s="523"/>
      <c r="B58" s="559"/>
      <c r="C58" s="365"/>
      <c r="D58" s="524"/>
      <c r="E58" s="367"/>
      <c r="F58" s="358">
        <f t="shared" si="4"/>
        <v>0</v>
      </c>
      <c r="G58" s="359" t="b">
        <f t="shared" si="5"/>
        <v>0</v>
      </c>
    </row>
    <row r="59" spans="1:7" ht="13.5" thickBot="1">
      <c r="A59" s="525"/>
      <c r="B59" s="559"/>
      <c r="C59" s="370"/>
      <c r="D59" s="526"/>
      <c r="E59" s="372"/>
      <c r="F59" s="358">
        <f t="shared" si="4"/>
        <v>0</v>
      </c>
      <c r="G59" s="359" t="b">
        <f t="shared" si="5"/>
        <v>0</v>
      </c>
    </row>
    <row r="60" spans="1:7">
      <c r="A60" s="527"/>
      <c r="B60" s="559"/>
      <c r="C60" s="375"/>
      <c r="D60" s="528"/>
      <c r="E60" s="377"/>
      <c r="F60" s="358">
        <f t="shared" si="4"/>
        <v>0</v>
      </c>
      <c r="G60" s="359" t="b">
        <f t="shared" si="5"/>
        <v>0</v>
      </c>
    </row>
    <row r="61" spans="1:7">
      <c r="A61" s="516"/>
      <c r="B61" s="559"/>
      <c r="C61" s="355"/>
      <c r="D61" s="521"/>
      <c r="E61" s="357"/>
      <c r="F61" s="358">
        <f t="shared" si="4"/>
        <v>0</v>
      </c>
      <c r="G61" s="359" t="b">
        <f t="shared" si="5"/>
        <v>0</v>
      </c>
    </row>
    <row r="62" spans="1:7">
      <c r="A62" s="516"/>
      <c r="B62" s="559"/>
      <c r="C62" s="355"/>
      <c r="D62" s="521"/>
      <c r="E62" s="357"/>
      <c r="F62" s="358">
        <f t="shared" si="4"/>
        <v>0</v>
      </c>
      <c r="G62" s="359" t="b">
        <f t="shared" si="5"/>
        <v>0</v>
      </c>
    </row>
    <row r="63" spans="1:7">
      <c r="A63" s="516"/>
      <c r="B63" s="559"/>
      <c r="C63" s="355"/>
      <c r="D63" s="521"/>
      <c r="E63" s="357"/>
      <c r="F63" s="358">
        <f t="shared" si="4"/>
        <v>0</v>
      </c>
      <c r="G63" s="359" t="b">
        <f t="shared" si="5"/>
        <v>0</v>
      </c>
    </row>
    <row r="64" spans="1:7">
      <c r="A64" s="516"/>
      <c r="B64" s="559"/>
      <c r="C64" s="355"/>
      <c r="D64" s="521"/>
      <c r="E64" s="357"/>
      <c r="F64" s="358">
        <f t="shared" si="4"/>
        <v>0</v>
      </c>
      <c r="G64" s="359" t="b">
        <f t="shared" si="5"/>
        <v>0</v>
      </c>
    </row>
    <row r="65" spans="1:7">
      <c r="A65" s="516"/>
      <c r="B65" s="559"/>
      <c r="C65" s="355"/>
      <c r="D65" s="521"/>
      <c r="E65" s="357"/>
      <c r="F65" s="358">
        <f t="shared" si="4"/>
        <v>0</v>
      </c>
      <c r="G65" s="359" t="b">
        <f t="shared" si="5"/>
        <v>0</v>
      </c>
    </row>
    <row r="66" spans="1:7">
      <c r="A66" s="516"/>
      <c r="B66" s="559"/>
      <c r="C66" s="355"/>
      <c r="D66" s="521"/>
      <c r="E66" s="357"/>
      <c r="F66" s="358">
        <f t="shared" si="4"/>
        <v>0</v>
      </c>
      <c r="G66" s="359" t="b">
        <f t="shared" si="5"/>
        <v>0</v>
      </c>
    </row>
    <row r="67" spans="1:7">
      <c r="A67" s="516"/>
      <c r="B67" s="559"/>
      <c r="C67" s="355"/>
      <c r="D67" s="521"/>
      <c r="E67" s="357"/>
      <c r="F67" s="358">
        <f t="shared" si="4"/>
        <v>0</v>
      </c>
      <c r="G67" s="359" t="b">
        <f t="shared" si="5"/>
        <v>0</v>
      </c>
    </row>
    <row r="68" spans="1:7">
      <c r="A68" s="516"/>
      <c r="B68" s="559"/>
      <c r="C68" s="355"/>
      <c r="D68" s="521"/>
      <c r="E68" s="357"/>
      <c r="F68" s="358">
        <f t="shared" si="4"/>
        <v>0</v>
      </c>
      <c r="G68" s="359" t="b">
        <f t="shared" si="5"/>
        <v>0</v>
      </c>
    </row>
    <row r="69" spans="1:7">
      <c r="A69" s="516"/>
      <c r="B69" s="559"/>
      <c r="C69" s="355"/>
      <c r="D69" s="521"/>
      <c r="E69" s="357"/>
      <c r="F69" s="358">
        <f t="shared" si="4"/>
        <v>0</v>
      </c>
      <c r="G69" s="359"/>
    </row>
    <row r="70" spans="1:7">
      <c r="A70" s="516"/>
      <c r="B70" s="559"/>
      <c r="C70" s="355"/>
      <c r="D70" s="521"/>
      <c r="E70" s="357"/>
      <c r="F70" s="358">
        <f t="shared" si="4"/>
        <v>0</v>
      </c>
      <c r="G70" s="359"/>
    </row>
    <row r="71" spans="1:7">
      <c r="A71" s="516"/>
      <c r="B71" s="559"/>
      <c r="C71" s="355"/>
      <c r="D71" s="521"/>
      <c r="E71" s="357"/>
      <c r="F71" s="358">
        <f t="shared" si="4"/>
        <v>0</v>
      </c>
      <c r="G71" s="359"/>
    </row>
    <row r="72" spans="1:7">
      <c r="A72" s="516"/>
      <c r="B72" s="559"/>
      <c r="C72" s="355"/>
      <c r="D72" s="521"/>
      <c r="E72" s="357"/>
      <c r="F72" s="358">
        <f t="shared" si="4"/>
        <v>0</v>
      </c>
      <c r="G72" s="359"/>
    </row>
    <row r="73" spans="1:7">
      <c r="A73" s="516"/>
      <c r="B73" s="559"/>
      <c r="C73" s="355"/>
      <c r="D73" s="521"/>
      <c r="E73" s="357"/>
      <c r="F73" s="358">
        <f t="shared" si="4"/>
        <v>0</v>
      </c>
      <c r="G73" s="359"/>
    </row>
    <row r="74" spans="1:7">
      <c r="A74" s="516"/>
      <c r="B74" s="559"/>
      <c r="C74" s="355"/>
      <c r="D74" s="521"/>
      <c r="E74" s="357"/>
      <c r="F74" s="358">
        <f t="shared" si="4"/>
        <v>0</v>
      </c>
      <c r="G74" s="359"/>
    </row>
    <row r="75" spans="1:7">
      <c r="A75" s="516"/>
      <c r="B75" s="559"/>
      <c r="C75" s="355"/>
      <c r="D75" s="521"/>
      <c r="E75" s="357"/>
      <c r="F75" s="358">
        <f t="shared" si="4"/>
        <v>0</v>
      </c>
      <c r="G75" s="359"/>
    </row>
    <row r="76" spans="1:7">
      <c r="A76" s="516"/>
      <c r="B76" s="559"/>
      <c r="C76" s="355"/>
      <c r="D76" s="521"/>
      <c r="E76" s="357"/>
      <c r="F76" s="358">
        <f t="shared" si="4"/>
        <v>0</v>
      </c>
      <c r="G76" s="359"/>
    </row>
    <row r="77" spans="1:7">
      <c r="A77" s="516"/>
      <c r="B77" s="559"/>
      <c r="C77" s="355"/>
      <c r="D77" s="521"/>
      <c r="E77" s="357"/>
      <c r="F77" s="358">
        <f t="shared" si="4"/>
        <v>0</v>
      </c>
      <c r="G77" s="359"/>
    </row>
    <row r="78" spans="1:7">
      <c r="A78" s="516"/>
      <c r="B78" s="559"/>
      <c r="C78" s="355"/>
      <c r="D78" s="521"/>
      <c r="E78" s="357"/>
      <c r="F78" s="358">
        <f t="shared" si="4"/>
        <v>0</v>
      </c>
      <c r="G78" s="359"/>
    </row>
    <row r="79" spans="1:7">
      <c r="A79" s="516"/>
      <c r="B79" s="559"/>
      <c r="C79" s="355"/>
      <c r="D79" s="521"/>
      <c r="E79" s="357"/>
      <c r="F79" s="358">
        <f t="shared" si="4"/>
        <v>0</v>
      </c>
      <c r="G79" s="359"/>
    </row>
    <row r="80" spans="1:7">
      <c r="A80" s="516"/>
      <c r="B80" s="559"/>
      <c r="C80" s="355"/>
      <c r="D80" s="521"/>
      <c r="E80" s="357"/>
      <c r="F80" s="358">
        <f t="shared" si="4"/>
        <v>0</v>
      </c>
      <c r="G80" s="359"/>
    </row>
  </sheetData>
  <mergeCells count="6">
    <mergeCell ref="B1:C1"/>
    <mergeCell ref="D1:E1"/>
    <mergeCell ref="F1:G1"/>
    <mergeCell ref="B42:C42"/>
    <mergeCell ref="D42:E42"/>
    <mergeCell ref="F42:G42"/>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P18"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'[7]Projected Maint Practices'!Q7</f>
        <v>4913</v>
      </c>
      <c r="D6" s="264">
        <f>'[7]True Maint Practices'!Q7</f>
        <v>2827</v>
      </c>
    </row>
    <row r="7" spans="1:6" ht="15">
      <c r="B7" s="263">
        <v>2</v>
      </c>
      <c r="C7" s="264">
        <f>'[7]Projected Maint Practices'!Q8</f>
        <v>4913</v>
      </c>
      <c r="D7" s="264">
        <f>'[7]True Maint Practices'!Q8</f>
        <v>2499</v>
      </c>
    </row>
    <row r="8" spans="1:6" ht="15">
      <c r="B8" s="263">
        <v>3</v>
      </c>
      <c r="C8" s="264">
        <f>'[7]Projected Maint Practices'!Q9</f>
        <v>4913</v>
      </c>
      <c r="D8" s="264">
        <f>'[7]True Maint Practices'!Q9</f>
        <v>3530.5</v>
      </c>
    </row>
    <row r="9" spans="1:6" ht="15">
      <c r="B9" s="263">
        <v>4</v>
      </c>
      <c r="C9" s="264">
        <f>'[7]Projected Maint Practices'!Q10</f>
        <v>4913</v>
      </c>
      <c r="D9" s="264">
        <f>'[7]True Maint Practices'!Q10</f>
        <v>125</v>
      </c>
    </row>
    <row r="10" spans="1:6" ht="15">
      <c r="B10" s="263">
        <v>5</v>
      </c>
      <c r="C10" s="264">
        <f>'[7]Projected Maint Practices'!Q11</f>
        <v>17239.669999999998</v>
      </c>
      <c r="D10" s="264">
        <f>'[7]True Maint Practices'!Q11</f>
        <v>0</v>
      </c>
    </row>
    <row r="11" spans="1:6" ht="15">
      <c r="B11" s="263">
        <v>6</v>
      </c>
      <c r="C11" s="264">
        <f>'[7]Projected Maint Practices'!Q12</f>
        <v>4913</v>
      </c>
      <c r="D11" s="264">
        <f>'[7]True Maint Practices'!Q12</f>
        <v>0</v>
      </c>
    </row>
    <row r="12" spans="1:6" ht="15">
      <c r="B12" s="263">
        <v>7</v>
      </c>
      <c r="C12" s="264">
        <f>'[7]Projected Maint Practices'!Q13</f>
        <v>4913</v>
      </c>
      <c r="D12" s="264">
        <f>'[7]True Maint Practices'!Q13</f>
        <v>0</v>
      </c>
    </row>
    <row r="13" spans="1:6" ht="15">
      <c r="B13" s="263">
        <v>8</v>
      </c>
      <c r="C13" s="264">
        <f>'[7]Projected Maint Practices'!Q14</f>
        <v>4913</v>
      </c>
      <c r="D13" s="264">
        <f>'[7]True Maint Practices'!Q14</f>
        <v>0</v>
      </c>
    </row>
    <row r="14" spans="1:6" ht="15">
      <c r="B14" s="263">
        <v>9</v>
      </c>
      <c r="C14" s="264">
        <f>'[7]Projected Maint Practices'!Q15</f>
        <v>4913</v>
      </c>
      <c r="D14" s="264">
        <f>'[7]True Maint Practices'!Q15</f>
        <v>0</v>
      </c>
    </row>
    <row r="15" spans="1:6" ht="15">
      <c r="B15" s="263">
        <v>10</v>
      </c>
      <c r="C15" s="264">
        <f>'[7]Projected Maint Practices'!Q16</f>
        <v>4913</v>
      </c>
      <c r="D15" s="264">
        <f>'[7]True Maint Practices'!Q16</f>
        <v>0</v>
      </c>
    </row>
    <row r="16" spans="1:6" ht="15">
      <c r="B16" s="263">
        <v>11</v>
      </c>
      <c r="C16" s="264">
        <f>'[7]Projected Maint Practices'!Q17</f>
        <v>4913</v>
      </c>
      <c r="D16" s="264">
        <f>'[7]True Maint Practices'!Q17</f>
        <v>0</v>
      </c>
    </row>
    <row r="17" spans="2:4" ht="15">
      <c r="B17" s="263">
        <v>12</v>
      </c>
      <c r="C17" s="264">
        <f>'[7]Projected Maint Practices'!Q18</f>
        <v>4913</v>
      </c>
      <c r="D17" s="264">
        <f>'[7]True Maint Practices'!Q18</f>
        <v>0</v>
      </c>
    </row>
    <row r="18" spans="2:4" ht="15">
      <c r="B18" s="260" t="s">
        <v>1</v>
      </c>
      <c r="C18" s="264">
        <f>SUM(C6:C17)</f>
        <v>71282.67</v>
      </c>
      <c r="D18" s="264">
        <f>SUM(D6:D17)</f>
        <v>8981.5</v>
      </c>
    </row>
  </sheetData>
  <printOptions horizontalCentered="1" verticalCentered="1"/>
  <pageMargins left="0.5" right="0.5" top="0.75" bottom="0.75" header="0.5" footer="0.5"/>
  <pageSetup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fitToPage="1"/>
  </sheetPr>
  <dimension ref="B1:V105"/>
  <sheetViews>
    <sheetView showGridLines="0" zoomScaleNormal="100" workbookViewId="0">
      <selection activeCell="E76" sqref="E76:R76"/>
    </sheetView>
  </sheetViews>
  <sheetFormatPr defaultColWidth="9.140625" defaultRowHeight="16.5" customHeight="1"/>
  <cols>
    <col min="1" max="1" width="3.140625" style="1" customWidth="1"/>
    <col min="2" max="2" width="16" style="1" customWidth="1"/>
    <col min="3" max="3" width="9.85546875" style="1" customWidth="1"/>
    <col min="4" max="14" width="9.7109375" style="1" customWidth="1"/>
    <col min="15" max="15" width="11.28515625" style="1" customWidth="1"/>
    <col min="16" max="16" width="11.42578125" style="1" customWidth="1"/>
    <col min="17" max="17" width="10.42578125" style="1" customWidth="1"/>
    <col min="18" max="18" width="10.140625" style="1" customWidth="1"/>
    <col min="19" max="19" width="8" style="1" customWidth="1"/>
    <col min="20" max="16384" width="9.140625" style="1"/>
  </cols>
  <sheetData>
    <row r="1" spans="2:22" ht="16.5" customHeight="1">
      <c r="C1" s="43"/>
      <c r="D1" s="43"/>
      <c r="E1" s="43"/>
      <c r="F1" s="43"/>
      <c r="G1" s="43"/>
      <c r="H1" s="43"/>
      <c r="I1" s="43"/>
      <c r="J1" s="43"/>
      <c r="K1" s="43"/>
      <c r="L1" s="43"/>
      <c r="M1" s="43"/>
      <c r="N1" s="43"/>
      <c r="O1" s="43"/>
      <c r="P1" s="43"/>
    </row>
    <row r="2" spans="2:22" ht="31.5" customHeight="1">
      <c r="B2" s="184" t="s">
        <v>1655</v>
      </c>
      <c r="C2" s="43"/>
      <c r="D2" s="43"/>
      <c r="E2" s="43"/>
      <c r="F2" s="43"/>
      <c r="G2" s="43"/>
      <c r="H2" s="43"/>
      <c r="I2" s="43"/>
      <c r="J2" s="43"/>
      <c r="K2" s="43"/>
      <c r="L2" s="43"/>
      <c r="M2" s="43"/>
      <c r="N2" s="43"/>
      <c r="O2" s="43" t="s">
        <v>1528</v>
      </c>
      <c r="P2" s="43"/>
    </row>
    <row r="3" spans="2:22" ht="16.5" customHeight="1">
      <c r="C3" s="43"/>
      <c r="D3" s="43"/>
      <c r="E3" s="43"/>
      <c r="F3" s="43"/>
      <c r="G3" s="43"/>
      <c r="H3" s="43"/>
      <c r="I3" s="43"/>
      <c r="J3" s="43"/>
      <c r="K3" s="43"/>
      <c r="L3" s="43"/>
      <c r="M3" s="43"/>
      <c r="N3" s="43"/>
      <c r="O3" s="43"/>
      <c r="P3" s="43"/>
    </row>
    <row r="12" spans="2:22" ht="16.5" customHeight="1">
      <c r="V12" s="1" t="s">
        <v>32</v>
      </c>
    </row>
    <row r="18" spans="2:16" ht="16.5" customHeight="1">
      <c r="B18" s="99" t="s">
        <v>31</v>
      </c>
      <c r="C18" s="100" t="s">
        <v>30</v>
      </c>
      <c r="D18" s="99" t="s">
        <v>29</v>
      </c>
      <c r="E18" s="100" t="s">
        <v>28</v>
      </c>
      <c r="F18" s="99" t="s">
        <v>27</v>
      </c>
      <c r="G18" s="100" t="s">
        <v>26</v>
      </c>
      <c r="H18" s="99" t="s">
        <v>25</v>
      </c>
      <c r="I18" s="100" t="s">
        <v>24</v>
      </c>
      <c r="J18" s="99" t="s">
        <v>23</v>
      </c>
      <c r="K18" s="100" t="s">
        <v>22</v>
      </c>
      <c r="L18" s="99" t="s">
        <v>21</v>
      </c>
      <c r="M18" s="100" t="s">
        <v>20</v>
      </c>
      <c r="N18" s="99" t="s">
        <v>19</v>
      </c>
      <c r="O18" s="100" t="s">
        <v>1</v>
      </c>
      <c r="P18" s="99" t="s">
        <v>18</v>
      </c>
    </row>
    <row r="19" spans="2:16" ht="16.5" customHeight="1">
      <c r="B19" s="101" t="s">
        <v>17</v>
      </c>
      <c r="C19" s="8"/>
      <c r="D19" s="8"/>
      <c r="E19" s="8"/>
      <c r="F19" s="8"/>
      <c r="G19" s="8"/>
      <c r="H19" s="8"/>
      <c r="I19" s="8"/>
      <c r="J19" s="8"/>
      <c r="K19" s="8"/>
      <c r="L19" s="8"/>
      <c r="M19" s="30"/>
      <c r="N19" s="8"/>
      <c r="O19" s="4">
        <f t="shared" ref="O19:O38" si="0">SUM(C19:N19)</f>
        <v>0</v>
      </c>
      <c r="P19" s="102"/>
    </row>
    <row r="20" spans="2:16" ht="16.5" customHeight="1">
      <c r="B20" s="101" t="s">
        <v>16</v>
      </c>
      <c r="C20" s="8"/>
      <c r="D20" s="8"/>
      <c r="E20" s="8"/>
      <c r="F20" s="8"/>
      <c r="G20" s="8"/>
      <c r="H20" s="8"/>
      <c r="I20" s="8"/>
      <c r="J20" s="8"/>
      <c r="K20" s="8"/>
      <c r="L20" s="8"/>
      <c r="M20" s="30"/>
      <c r="N20" s="8"/>
      <c r="O20" s="4">
        <f t="shared" si="0"/>
        <v>0</v>
      </c>
      <c r="P20" s="102"/>
    </row>
    <row r="21" spans="2:16" ht="16.5" customHeight="1">
      <c r="B21" s="101" t="s">
        <v>15</v>
      </c>
      <c r="C21" s="8"/>
      <c r="D21" s="8"/>
      <c r="E21" s="8"/>
      <c r="F21" s="8"/>
      <c r="G21" s="8"/>
      <c r="H21" s="8"/>
      <c r="I21" s="8"/>
      <c r="J21" s="8"/>
      <c r="K21" s="8"/>
      <c r="L21" s="8"/>
      <c r="M21" s="30"/>
      <c r="N21" s="8"/>
      <c r="O21" s="4">
        <f t="shared" si="0"/>
        <v>0</v>
      </c>
      <c r="P21" s="102"/>
    </row>
    <row r="22" spans="2:16" ht="16.5" customHeight="1">
      <c r="B22" s="101" t="s">
        <v>14</v>
      </c>
      <c r="C22" s="8"/>
      <c r="D22" s="8"/>
      <c r="E22" s="8"/>
      <c r="F22" s="8"/>
      <c r="G22" s="8"/>
      <c r="H22" s="8"/>
      <c r="I22" s="8"/>
      <c r="J22" s="8"/>
      <c r="K22" s="8"/>
      <c r="L22" s="8"/>
      <c r="M22" s="30"/>
      <c r="N22" s="8"/>
      <c r="O22" s="4">
        <f t="shared" si="0"/>
        <v>0</v>
      </c>
      <c r="P22" s="102"/>
    </row>
    <row r="23" spans="2:16" ht="16.5" customHeight="1">
      <c r="B23" s="101" t="s">
        <v>13</v>
      </c>
      <c r="C23" s="8"/>
      <c r="D23" s="8"/>
      <c r="E23" s="8"/>
      <c r="F23" s="8"/>
      <c r="G23" s="8"/>
      <c r="H23" s="8"/>
      <c r="I23" s="8"/>
      <c r="J23" s="8"/>
      <c r="K23" s="8"/>
      <c r="L23" s="8"/>
      <c r="M23" s="30"/>
      <c r="N23" s="8"/>
      <c r="O23" s="4">
        <f t="shared" si="0"/>
        <v>0</v>
      </c>
      <c r="P23" s="102"/>
    </row>
    <row r="24" spans="2:16" ht="16.5" customHeight="1">
      <c r="B24" s="103" t="s">
        <v>12</v>
      </c>
      <c r="C24" s="17"/>
      <c r="D24" s="17"/>
      <c r="E24" s="17"/>
      <c r="F24" s="17"/>
      <c r="G24" s="17"/>
      <c r="H24" s="17"/>
      <c r="I24" s="17"/>
      <c r="J24" s="17"/>
      <c r="K24" s="17"/>
      <c r="L24" s="17"/>
      <c r="M24" s="35"/>
      <c r="N24" s="17"/>
      <c r="O24" s="4">
        <f t="shared" si="0"/>
        <v>0</v>
      </c>
      <c r="P24" s="102"/>
    </row>
    <row r="25" spans="2:16" ht="16.5" customHeight="1">
      <c r="B25" s="103" t="s">
        <v>11</v>
      </c>
      <c r="C25" s="17"/>
      <c r="D25" s="17"/>
      <c r="E25" s="17"/>
      <c r="F25" s="17"/>
      <c r="G25" s="17"/>
      <c r="H25" s="17"/>
      <c r="I25" s="17"/>
      <c r="J25" s="17"/>
      <c r="K25" s="17"/>
      <c r="L25" s="17"/>
      <c r="M25" s="35"/>
      <c r="N25" s="17"/>
      <c r="O25" s="4">
        <f t="shared" si="0"/>
        <v>0</v>
      </c>
      <c r="P25" s="102"/>
    </row>
    <row r="26" spans="2:16" ht="16.5" customHeight="1">
      <c r="B26" s="103" t="s">
        <v>10</v>
      </c>
      <c r="C26" s="17"/>
      <c r="D26" s="17"/>
      <c r="E26" s="17"/>
      <c r="F26" s="17"/>
      <c r="G26" s="17"/>
      <c r="H26" s="17"/>
      <c r="I26" s="17"/>
      <c r="J26" s="17"/>
      <c r="K26" s="17"/>
      <c r="L26" s="17"/>
      <c r="M26" s="35"/>
      <c r="N26" s="17"/>
      <c r="O26" s="4">
        <f t="shared" si="0"/>
        <v>0</v>
      </c>
      <c r="P26" s="102"/>
    </row>
    <row r="27" spans="2:16" ht="16.5" customHeight="1">
      <c r="B27" s="103" t="s">
        <v>9</v>
      </c>
      <c r="C27" s="17"/>
      <c r="D27" s="17"/>
      <c r="E27" s="17"/>
      <c r="F27" s="17"/>
      <c r="G27" s="17"/>
      <c r="H27" s="17"/>
      <c r="I27" s="17"/>
      <c r="J27" s="17"/>
      <c r="K27" s="17"/>
      <c r="L27" s="17"/>
      <c r="M27" s="35"/>
      <c r="N27" s="17"/>
      <c r="O27" s="4">
        <f t="shared" si="0"/>
        <v>0</v>
      </c>
      <c r="P27" s="102"/>
    </row>
    <row r="28" spans="2:16" ht="16.5" hidden="1" customHeight="1">
      <c r="B28" s="103"/>
      <c r="C28" s="15"/>
      <c r="D28" s="15"/>
      <c r="E28" s="15"/>
      <c r="F28" s="15"/>
      <c r="G28" s="15"/>
      <c r="H28" s="15"/>
      <c r="I28" s="15"/>
      <c r="J28" s="15"/>
      <c r="K28" s="15"/>
      <c r="L28" s="15"/>
      <c r="M28" s="16"/>
      <c r="N28" s="15"/>
      <c r="O28" s="4">
        <f t="shared" si="0"/>
        <v>0</v>
      </c>
      <c r="P28" s="102"/>
    </row>
    <row r="29" spans="2:16" ht="16.5" hidden="1" customHeight="1">
      <c r="B29" s="103"/>
      <c r="C29" s="15"/>
      <c r="D29" s="15"/>
      <c r="E29" s="15"/>
      <c r="F29" s="15"/>
      <c r="G29" s="15"/>
      <c r="H29" s="15"/>
      <c r="I29" s="15"/>
      <c r="J29" s="15"/>
      <c r="K29" s="15"/>
      <c r="L29" s="15"/>
      <c r="M29" s="16"/>
      <c r="N29" s="15"/>
      <c r="O29" s="4">
        <f t="shared" si="0"/>
        <v>0</v>
      </c>
      <c r="P29" s="102"/>
    </row>
    <row r="30" spans="2:16" ht="16.5" hidden="1" customHeight="1">
      <c r="B30" s="103"/>
      <c r="C30" s="15"/>
      <c r="D30" s="15"/>
      <c r="E30" s="15"/>
      <c r="F30" s="15"/>
      <c r="G30" s="15"/>
      <c r="H30" s="15"/>
      <c r="I30" s="15"/>
      <c r="J30" s="15"/>
      <c r="K30" s="15"/>
      <c r="L30" s="15"/>
      <c r="M30" s="16"/>
      <c r="N30" s="15"/>
      <c r="O30" s="4">
        <f t="shared" si="0"/>
        <v>0</v>
      </c>
      <c r="P30" s="102"/>
    </row>
    <row r="31" spans="2:16" ht="16.5" hidden="1" customHeight="1">
      <c r="B31" s="103"/>
      <c r="C31" s="15"/>
      <c r="D31" s="15"/>
      <c r="E31" s="15"/>
      <c r="F31" s="15"/>
      <c r="G31" s="15"/>
      <c r="H31" s="15"/>
      <c r="I31" s="15"/>
      <c r="J31" s="15"/>
      <c r="K31" s="15"/>
      <c r="L31" s="15"/>
      <c r="M31" s="16"/>
      <c r="N31" s="15"/>
      <c r="O31" s="4">
        <f t="shared" si="0"/>
        <v>0</v>
      </c>
      <c r="P31" s="102"/>
    </row>
    <row r="32" spans="2:16" ht="16.5" customHeight="1">
      <c r="B32" s="103" t="s">
        <v>8</v>
      </c>
      <c r="C32" s="4"/>
      <c r="D32" s="4"/>
      <c r="E32" s="4"/>
      <c r="F32" s="4"/>
      <c r="G32" s="4"/>
      <c r="H32" s="4"/>
      <c r="I32" s="4"/>
      <c r="J32" s="4"/>
      <c r="K32" s="4"/>
      <c r="L32" s="4"/>
      <c r="M32" s="33"/>
      <c r="N32" s="4"/>
      <c r="O32" s="4">
        <f t="shared" si="0"/>
        <v>0</v>
      </c>
      <c r="P32" s="102"/>
    </row>
    <row r="33" spans="2:18" ht="16.5" customHeight="1">
      <c r="B33" s="103" t="s">
        <v>7</v>
      </c>
      <c r="C33" s="12"/>
      <c r="D33" s="12"/>
      <c r="E33" s="12"/>
      <c r="F33" s="12"/>
      <c r="G33" s="12"/>
      <c r="H33" s="12"/>
      <c r="I33" s="12"/>
      <c r="J33" s="12"/>
      <c r="K33" s="12"/>
      <c r="L33" s="12"/>
      <c r="M33" s="32"/>
      <c r="N33" s="12"/>
      <c r="O33" s="4">
        <f t="shared" si="0"/>
        <v>0</v>
      </c>
      <c r="P33" s="102"/>
    </row>
    <row r="34" spans="2:18" ht="16.5" customHeight="1">
      <c r="B34" s="103" t="s">
        <v>6</v>
      </c>
      <c r="C34" s="41"/>
      <c r="D34" s="41"/>
      <c r="E34" s="41"/>
      <c r="F34" s="41"/>
      <c r="G34" s="41"/>
      <c r="H34" s="41"/>
      <c r="I34" s="41"/>
      <c r="J34" s="41"/>
      <c r="K34" s="41"/>
      <c r="L34" s="41"/>
      <c r="M34" s="42"/>
      <c r="N34" s="41"/>
      <c r="O34" s="4">
        <f t="shared" si="0"/>
        <v>0</v>
      </c>
      <c r="P34" s="102"/>
    </row>
    <row r="35" spans="2:18" ht="16.5" customHeight="1">
      <c r="B35" s="103" t="s">
        <v>5</v>
      </c>
      <c r="C35" s="8"/>
      <c r="D35" s="8"/>
      <c r="E35" s="8"/>
      <c r="F35" s="8"/>
      <c r="G35" s="8"/>
      <c r="H35" s="8"/>
      <c r="I35" s="8"/>
      <c r="J35" s="8"/>
      <c r="K35" s="8"/>
      <c r="L35" s="8"/>
      <c r="M35" s="30"/>
      <c r="N35" s="8"/>
      <c r="O35" s="4">
        <f t="shared" si="0"/>
        <v>0</v>
      </c>
      <c r="P35" s="102"/>
    </row>
    <row r="36" spans="2:18" ht="16.5" customHeight="1">
      <c r="B36" s="103" t="s">
        <v>230</v>
      </c>
      <c r="C36" s="8"/>
      <c r="D36" s="8"/>
      <c r="E36" s="8"/>
      <c r="F36" s="8"/>
      <c r="G36" s="8"/>
      <c r="H36" s="8"/>
      <c r="I36" s="8"/>
      <c r="J36" s="8"/>
      <c r="K36" s="8"/>
      <c r="L36" s="8"/>
      <c r="M36" s="30"/>
      <c r="N36" s="8"/>
      <c r="O36" s="4">
        <f t="shared" si="0"/>
        <v>0</v>
      </c>
      <c r="P36" s="102"/>
    </row>
    <row r="37" spans="2:18" ht="16.5" customHeight="1">
      <c r="B37" s="103" t="s">
        <v>1527</v>
      </c>
      <c r="C37" s="41"/>
      <c r="D37" s="41"/>
      <c r="E37" s="41"/>
      <c r="F37" s="41"/>
      <c r="G37" s="41"/>
      <c r="H37" s="41"/>
      <c r="I37" s="41"/>
      <c r="J37" s="41"/>
      <c r="K37" s="41"/>
      <c r="L37" s="41"/>
      <c r="M37" s="42"/>
      <c r="N37" s="41"/>
      <c r="O37" s="4">
        <f t="shared" si="0"/>
        <v>0</v>
      </c>
      <c r="P37" s="102"/>
    </row>
    <row r="38" spans="2:18" ht="16.5" customHeight="1">
      <c r="B38" s="103" t="s">
        <v>2</v>
      </c>
      <c r="C38" s="5"/>
      <c r="D38" s="5"/>
      <c r="E38" s="5"/>
      <c r="F38" s="5"/>
      <c r="G38" s="5"/>
      <c r="H38" s="5"/>
      <c r="I38" s="5"/>
      <c r="J38" s="5"/>
      <c r="K38" s="5"/>
      <c r="L38" s="5"/>
      <c r="M38" s="29"/>
      <c r="N38" s="5"/>
      <c r="O38" s="4">
        <f t="shared" si="0"/>
        <v>0</v>
      </c>
      <c r="P38" s="102"/>
    </row>
    <row r="39" spans="2:18" ht="16.5" customHeight="1">
      <c r="B39" s="103" t="s">
        <v>3</v>
      </c>
      <c r="C39" s="8"/>
      <c r="D39" s="8"/>
      <c r="E39" s="8"/>
      <c r="F39" s="8"/>
      <c r="G39" s="8"/>
      <c r="H39" s="8"/>
      <c r="I39" s="8"/>
      <c r="J39" s="8"/>
      <c r="K39" s="8"/>
      <c r="L39" s="8"/>
      <c r="M39" s="30"/>
      <c r="N39" s="8"/>
      <c r="O39" s="4">
        <f>[20]summary!$R$18</f>
        <v>0</v>
      </c>
      <c r="P39" s="102"/>
    </row>
    <row r="40" spans="2:18" ht="16.5" customHeight="1">
      <c r="B40" s="101" t="s">
        <v>1</v>
      </c>
      <c r="C40" s="104">
        <f>SUBTOTAL(109,ExpenseSummary214227240253[Jan])</f>
        <v>0</v>
      </c>
      <c r="D40" s="105">
        <f>SUBTOTAL(109,ExpenseSummary214227240253[Feb])</f>
        <v>0</v>
      </c>
      <c r="E40" s="104">
        <f>SUBTOTAL(109,ExpenseSummary214227240253[Mar])</f>
        <v>0</v>
      </c>
      <c r="F40" s="105">
        <f>SUBTOTAL(109,ExpenseSummary214227240253[Apr])</f>
        <v>0</v>
      </c>
      <c r="G40" s="104">
        <f>SUBTOTAL(109,ExpenseSummary214227240253[May])</f>
        <v>0</v>
      </c>
      <c r="H40" s="105">
        <f>SUBTOTAL(109,ExpenseSummary214227240253[Jun])</f>
        <v>0</v>
      </c>
      <c r="I40" s="104">
        <f>SUBTOTAL(109,ExpenseSummary214227240253[Jul])</f>
        <v>0</v>
      </c>
      <c r="J40" s="105">
        <f>SUBTOTAL(109,ExpenseSummary214227240253[Aug])</f>
        <v>0</v>
      </c>
      <c r="K40" s="104">
        <f>SUBTOTAL(109,ExpenseSummary214227240253[Sep])</f>
        <v>0</v>
      </c>
      <c r="L40" s="105">
        <f>SUBTOTAL(109,ExpenseSummary214227240253[Oct])</f>
        <v>0</v>
      </c>
      <c r="M40" s="267">
        <f>SUBTOTAL(109,ExpenseSummary214227240253[Nov])</f>
        <v>0</v>
      </c>
      <c r="N40" s="105">
        <f>SUBTOTAL(109,ExpenseSummary214227240253[Dec])</f>
        <v>0</v>
      </c>
      <c r="O40" s="106">
        <f>SUBTOTAL(109,ExpenseSummary214227240253[Total])</f>
        <v>0</v>
      </c>
      <c r="P40" s="102"/>
    </row>
    <row r="41" spans="2:18" ht="16.5" customHeight="1">
      <c r="B41" s="28"/>
      <c r="C41" s="28"/>
      <c r="E41" s="555" t="s">
        <v>1526</v>
      </c>
      <c r="F41" s="555"/>
      <c r="G41" s="47"/>
    </row>
    <row r="43" spans="2:18" ht="16.5" customHeight="1">
      <c r="B43" s="47"/>
      <c r="C43" s="47"/>
    </row>
    <row r="44" spans="2:18" ht="16.5" customHeight="1">
      <c r="B44" s="47"/>
      <c r="C44" s="47"/>
    </row>
    <row r="45" spans="2:18" ht="16.5" customHeight="1">
      <c r="B45" s="268"/>
      <c r="C45" s="268"/>
      <c r="D45" s="269"/>
      <c r="E45" s="270" t="s">
        <v>118</v>
      </c>
      <c r="F45" s="270"/>
      <c r="G45" s="270"/>
      <c r="H45" s="270"/>
      <c r="I45" s="270"/>
      <c r="J45" s="270"/>
      <c r="K45" s="270"/>
      <c r="L45" s="270"/>
      <c r="M45" s="270"/>
      <c r="N45" s="270"/>
      <c r="O45" s="270"/>
      <c r="P45" s="270"/>
      <c r="Q45" s="270"/>
      <c r="R45" s="270"/>
    </row>
    <row r="46" spans="2:18" ht="16.5" customHeight="1">
      <c r="B46" s="271" t="s">
        <v>1422</v>
      </c>
      <c r="C46" s="272" t="s">
        <v>1561</v>
      </c>
      <c r="D46" s="269"/>
      <c r="E46" s="273" t="s">
        <v>1816</v>
      </c>
      <c r="F46" s="273"/>
      <c r="G46" s="273"/>
      <c r="H46" s="273"/>
      <c r="I46" s="273"/>
      <c r="J46" s="273"/>
      <c r="K46" s="273"/>
      <c r="L46" s="273"/>
      <c r="M46" s="273"/>
      <c r="N46" s="273"/>
      <c r="O46" s="273"/>
      <c r="P46" s="273"/>
      <c r="Q46" s="273"/>
      <c r="R46" s="273"/>
    </row>
    <row r="47" spans="2:18" ht="16.5" customHeight="1">
      <c r="B47" s="274" t="s">
        <v>115</v>
      </c>
      <c r="C47" s="275" t="s">
        <v>289</v>
      </c>
      <c r="D47" s="269"/>
      <c r="E47" s="270" t="s">
        <v>113</v>
      </c>
      <c r="F47" s="270"/>
      <c r="G47" s="270"/>
      <c r="H47" s="270"/>
      <c r="I47" s="270"/>
      <c r="J47" s="270"/>
      <c r="K47" s="270"/>
      <c r="L47" s="270"/>
      <c r="M47" s="270"/>
      <c r="N47" s="270"/>
      <c r="O47" s="270"/>
      <c r="P47" s="270"/>
      <c r="Q47" s="270"/>
      <c r="R47" s="270"/>
    </row>
    <row r="48" spans="2:18" ht="16.5" customHeight="1" thickBot="1">
      <c r="B48" s="274" t="s">
        <v>112</v>
      </c>
      <c r="C48" s="276">
        <v>133494</v>
      </c>
      <c r="D48" s="268"/>
      <c r="E48" s="273" t="s">
        <v>1377</v>
      </c>
      <c r="F48" s="273"/>
      <c r="G48" s="273"/>
      <c r="H48" s="273"/>
      <c r="I48" s="273"/>
      <c r="J48" s="273"/>
      <c r="K48" s="273"/>
      <c r="L48" s="273"/>
      <c r="M48" s="273"/>
      <c r="N48" s="273"/>
      <c r="O48" s="273"/>
      <c r="P48" s="273"/>
      <c r="Q48" s="273"/>
      <c r="R48" s="273"/>
    </row>
    <row r="49" spans="2:18" ht="16.5" customHeight="1">
      <c r="B49" s="274" t="s">
        <v>110</v>
      </c>
      <c r="C49" s="277"/>
      <c r="D49" s="260"/>
      <c r="E49" s="278" t="s">
        <v>109</v>
      </c>
      <c r="F49" s="279" t="s">
        <v>108</v>
      </c>
      <c r="G49" s="280"/>
      <c r="H49" s="279" t="s">
        <v>107</v>
      </c>
      <c r="I49" s="280"/>
      <c r="J49" s="279" t="s">
        <v>106</v>
      </c>
      <c r="K49" s="280"/>
      <c r="L49" s="279" t="s">
        <v>105</v>
      </c>
      <c r="M49" s="280"/>
      <c r="N49" s="279" t="s">
        <v>96</v>
      </c>
      <c r="O49" s="280"/>
      <c r="P49" s="279" t="s">
        <v>104</v>
      </c>
      <c r="Q49" s="280"/>
      <c r="R49" s="281" t="s">
        <v>103</v>
      </c>
    </row>
    <row r="50" spans="2:18" ht="16.5" customHeight="1">
      <c r="B50" s="282" t="s">
        <v>102</v>
      </c>
      <c r="C50" s="283">
        <v>283</v>
      </c>
      <c r="D50" s="262"/>
      <c r="E50" s="284"/>
      <c r="F50" s="285" t="s">
        <v>101</v>
      </c>
      <c r="G50" s="286" t="s">
        <v>100</v>
      </c>
      <c r="H50" s="285" t="s">
        <v>101</v>
      </c>
      <c r="I50" s="286" t="s">
        <v>100</v>
      </c>
      <c r="J50" s="285" t="s">
        <v>101</v>
      </c>
      <c r="K50" s="286" t="s">
        <v>100</v>
      </c>
      <c r="L50" s="287" t="s">
        <v>101</v>
      </c>
      <c r="M50" s="405" t="s">
        <v>100</v>
      </c>
      <c r="N50" s="287" t="s">
        <v>101</v>
      </c>
      <c r="O50" s="286" t="s">
        <v>100</v>
      </c>
      <c r="P50" s="287" t="s">
        <v>101</v>
      </c>
      <c r="Q50" s="286" t="s">
        <v>100</v>
      </c>
      <c r="R50" s="284"/>
    </row>
    <row r="51" spans="2:18" ht="16.5" customHeight="1">
      <c r="B51" s="274" t="s">
        <v>99</v>
      </c>
      <c r="C51" s="288">
        <v>6867</v>
      </c>
      <c r="D51" s="260"/>
      <c r="E51" s="289" t="s">
        <v>87</v>
      </c>
      <c r="F51" s="290">
        <v>7</v>
      </c>
      <c r="G51" s="291">
        <f t="shared" ref="G51:G62" si="1">SUM($B$6*F51)*C63</f>
        <v>0</v>
      </c>
      <c r="H51" s="292"/>
      <c r="I51" s="291">
        <f>IF(H51&gt;0,($B$7*C63),0)</f>
        <v>0</v>
      </c>
      <c r="J51" s="293"/>
      <c r="K51" s="291">
        <f>IF(J51&gt;0,($B$8*C63),0)</f>
        <v>0</v>
      </c>
      <c r="L51" s="292">
        <v>2</v>
      </c>
      <c r="M51" s="406">
        <f t="shared" ref="M51:M62" si="2">IF(L51&gt;0,($B$9*L51),0)</f>
        <v>0</v>
      </c>
      <c r="N51" s="294">
        <v>2</v>
      </c>
      <c r="O51" s="291">
        <f t="shared" ref="O51:O62" si="3">IF(N51&gt;0,($B$10*N51),0)</f>
        <v>0</v>
      </c>
      <c r="P51" s="295">
        <v>2</v>
      </c>
      <c r="Q51" s="291">
        <f t="shared" ref="Q51:Q62" si="4">SUM(P51*$B$17)*C63</f>
        <v>0</v>
      </c>
      <c r="R51" s="296">
        <f t="shared" ref="R51:R62" si="5">SUM(Q51+O51+M51+K51+I51+G51)</f>
        <v>0</v>
      </c>
    </row>
    <row r="52" spans="2:18" ht="16.5" customHeight="1">
      <c r="B52" s="274" t="s">
        <v>98</v>
      </c>
      <c r="C52" s="288">
        <v>5460</v>
      </c>
      <c r="D52" s="260"/>
      <c r="E52" s="289" t="s">
        <v>86</v>
      </c>
      <c r="F52" s="290">
        <v>7</v>
      </c>
      <c r="G52" s="291">
        <f t="shared" si="1"/>
        <v>0</v>
      </c>
      <c r="H52" s="292"/>
      <c r="I52" s="291">
        <f>IF(H52&gt;0,($B$7*C64),0)</f>
        <v>0</v>
      </c>
      <c r="J52" s="293"/>
      <c r="K52" s="291">
        <f>IF(J52&gt;0,($B$8*C64),0)</f>
        <v>0</v>
      </c>
      <c r="L52" s="292">
        <v>2</v>
      </c>
      <c r="M52" s="406">
        <f t="shared" si="2"/>
        <v>0</v>
      </c>
      <c r="N52" s="294">
        <v>2</v>
      </c>
      <c r="O52" s="291">
        <f t="shared" si="3"/>
        <v>0</v>
      </c>
      <c r="P52" s="295">
        <v>2</v>
      </c>
      <c r="Q52" s="291">
        <f t="shared" si="4"/>
        <v>0</v>
      </c>
      <c r="R52" s="296">
        <f t="shared" si="5"/>
        <v>0</v>
      </c>
    </row>
    <row r="53" spans="2:18" ht="16.5" customHeight="1">
      <c r="B53" s="407" t="s">
        <v>97</v>
      </c>
      <c r="C53" s="288">
        <v>324</v>
      </c>
      <c r="D53" s="260"/>
      <c r="E53" s="289" t="s">
        <v>84</v>
      </c>
      <c r="F53" s="290">
        <v>7</v>
      </c>
      <c r="G53" s="291">
        <f t="shared" si="1"/>
        <v>0</v>
      </c>
      <c r="H53" s="292"/>
      <c r="I53" s="291">
        <f>IF(H53&gt;0,($B$7*C65),0)</f>
        <v>0</v>
      </c>
      <c r="J53" s="293"/>
      <c r="K53" s="291">
        <f>IF(J53&gt;0,($B$8*C65),0)</f>
        <v>0</v>
      </c>
      <c r="L53" s="292">
        <v>2</v>
      </c>
      <c r="M53" s="406">
        <f t="shared" si="2"/>
        <v>0</v>
      </c>
      <c r="N53" s="294">
        <v>2</v>
      </c>
      <c r="O53" s="291">
        <f t="shared" si="3"/>
        <v>0</v>
      </c>
      <c r="P53" s="295">
        <v>2</v>
      </c>
      <c r="Q53" s="291">
        <f t="shared" si="4"/>
        <v>0</v>
      </c>
      <c r="R53" s="296">
        <f t="shared" si="5"/>
        <v>0</v>
      </c>
    </row>
    <row r="54" spans="2:18" ht="16.5" customHeight="1">
      <c r="B54" s="408" t="s">
        <v>96</v>
      </c>
      <c r="C54" s="288">
        <v>1050</v>
      </c>
      <c r="D54" s="260"/>
      <c r="E54" s="289" t="s">
        <v>83</v>
      </c>
      <c r="F54" s="290">
        <v>7</v>
      </c>
      <c r="G54" s="291">
        <f t="shared" si="1"/>
        <v>0</v>
      </c>
      <c r="H54" s="292"/>
      <c r="I54" s="291">
        <f>IF(H54&gt;0,($B$7*C66),0)</f>
        <v>0</v>
      </c>
      <c r="J54" s="293"/>
      <c r="K54" s="291">
        <f>IF(J54&gt;0,($B$8*C66),0)</f>
        <v>0</v>
      </c>
      <c r="L54" s="292">
        <v>2</v>
      </c>
      <c r="M54" s="406">
        <f t="shared" si="2"/>
        <v>0</v>
      </c>
      <c r="N54" s="294">
        <v>2</v>
      </c>
      <c r="O54" s="291">
        <f t="shared" si="3"/>
        <v>0</v>
      </c>
      <c r="P54" s="295">
        <v>2</v>
      </c>
      <c r="Q54" s="291">
        <f t="shared" si="4"/>
        <v>0</v>
      </c>
      <c r="R54" s="296">
        <f t="shared" si="5"/>
        <v>0</v>
      </c>
    </row>
    <row r="55" spans="2:18" ht="16.5" customHeight="1">
      <c r="B55" s="274" t="s">
        <v>95</v>
      </c>
      <c r="C55" s="141">
        <v>35000</v>
      </c>
      <c r="D55" s="260"/>
      <c r="E55" s="289" t="s">
        <v>82</v>
      </c>
      <c r="F55" s="290">
        <v>7</v>
      </c>
      <c r="G55" s="291">
        <f t="shared" si="1"/>
        <v>0</v>
      </c>
      <c r="H55" s="292"/>
      <c r="I55" s="291">
        <v>6866.67</v>
      </c>
      <c r="J55" s="293"/>
      <c r="K55" s="291">
        <v>5460</v>
      </c>
      <c r="L55" s="292">
        <v>2</v>
      </c>
      <c r="M55" s="406">
        <f t="shared" si="2"/>
        <v>0</v>
      </c>
      <c r="N55" s="294">
        <v>2</v>
      </c>
      <c r="O55" s="291">
        <f t="shared" si="3"/>
        <v>0</v>
      </c>
      <c r="P55" s="295">
        <v>2</v>
      </c>
      <c r="Q55" s="291">
        <f t="shared" si="4"/>
        <v>0</v>
      </c>
      <c r="R55" s="296">
        <f t="shared" si="5"/>
        <v>12326.67</v>
      </c>
    </row>
    <row r="56" spans="2:18" ht="16.5" customHeight="1">
      <c r="B56" s="274" t="s">
        <v>94</v>
      </c>
      <c r="C56" s="141">
        <v>5000</v>
      </c>
      <c r="D56" s="260"/>
      <c r="E56" s="289" t="s">
        <v>80</v>
      </c>
      <c r="F56" s="290">
        <v>7</v>
      </c>
      <c r="G56" s="291">
        <f t="shared" si="1"/>
        <v>0</v>
      </c>
      <c r="H56" s="292"/>
      <c r="I56" s="291">
        <f t="shared" ref="I56:I62" si="6">IF(H56&gt;0,($B$7*C68),0)</f>
        <v>0</v>
      </c>
      <c r="J56" s="293"/>
      <c r="K56" s="291">
        <f t="shared" ref="K56:K62" si="7">IF(J56&gt;0,($B$8*C68),0)</f>
        <v>0</v>
      </c>
      <c r="L56" s="292">
        <v>2</v>
      </c>
      <c r="M56" s="406">
        <f t="shared" si="2"/>
        <v>0</v>
      </c>
      <c r="N56" s="294">
        <v>2</v>
      </c>
      <c r="O56" s="291">
        <f t="shared" si="3"/>
        <v>0</v>
      </c>
      <c r="P56" s="295">
        <v>2</v>
      </c>
      <c r="Q56" s="291">
        <f t="shared" si="4"/>
        <v>0</v>
      </c>
      <c r="R56" s="296">
        <f t="shared" si="5"/>
        <v>0</v>
      </c>
    </row>
    <row r="57" spans="2:18" ht="16.5" customHeight="1">
      <c r="B57" s="274" t="s">
        <v>93</v>
      </c>
      <c r="C57" s="141">
        <v>175000</v>
      </c>
      <c r="D57" s="260"/>
      <c r="E57" s="289" t="s">
        <v>79</v>
      </c>
      <c r="F57" s="290">
        <v>7</v>
      </c>
      <c r="G57" s="291">
        <f t="shared" si="1"/>
        <v>0</v>
      </c>
      <c r="H57" s="292"/>
      <c r="I57" s="291">
        <f t="shared" si="6"/>
        <v>0</v>
      </c>
      <c r="J57" s="293"/>
      <c r="K57" s="291">
        <f t="shared" si="7"/>
        <v>0</v>
      </c>
      <c r="L57" s="292">
        <v>2</v>
      </c>
      <c r="M57" s="406">
        <f t="shared" si="2"/>
        <v>0</v>
      </c>
      <c r="N57" s="294">
        <v>2</v>
      </c>
      <c r="O57" s="291">
        <f t="shared" si="3"/>
        <v>0</v>
      </c>
      <c r="P57" s="295">
        <v>2</v>
      </c>
      <c r="Q57" s="291">
        <f t="shared" si="4"/>
        <v>0</v>
      </c>
      <c r="R57" s="296">
        <f t="shared" si="5"/>
        <v>0</v>
      </c>
    </row>
    <row r="58" spans="2:18" ht="16.5" customHeight="1">
      <c r="B58" s="274" t="s">
        <v>92</v>
      </c>
      <c r="C58" s="141">
        <v>175000</v>
      </c>
      <c r="D58" s="260"/>
      <c r="E58" s="289" t="s">
        <v>78</v>
      </c>
      <c r="F58" s="290">
        <v>7</v>
      </c>
      <c r="G58" s="291">
        <f t="shared" si="1"/>
        <v>0</v>
      </c>
      <c r="H58" s="292"/>
      <c r="I58" s="291">
        <f t="shared" si="6"/>
        <v>0</v>
      </c>
      <c r="J58" s="293"/>
      <c r="K58" s="291">
        <f t="shared" si="7"/>
        <v>0</v>
      </c>
      <c r="L58" s="292">
        <v>2</v>
      </c>
      <c r="M58" s="406">
        <f t="shared" si="2"/>
        <v>0</v>
      </c>
      <c r="N58" s="294">
        <v>2</v>
      </c>
      <c r="O58" s="291">
        <f t="shared" si="3"/>
        <v>0</v>
      </c>
      <c r="P58" s="295">
        <v>2</v>
      </c>
      <c r="Q58" s="291">
        <f t="shared" si="4"/>
        <v>0</v>
      </c>
      <c r="R58" s="296">
        <f t="shared" si="5"/>
        <v>0</v>
      </c>
    </row>
    <row r="59" spans="2:18" ht="16.5" customHeight="1">
      <c r="B59" s="274" t="s">
        <v>91</v>
      </c>
      <c r="C59" s="141">
        <v>12000</v>
      </c>
      <c r="D59" s="260"/>
      <c r="E59" s="289" t="s">
        <v>77</v>
      </c>
      <c r="F59" s="290">
        <v>7</v>
      </c>
      <c r="G59" s="291">
        <f t="shared" si="1"/>
        <v>0</v>
      </c>
      <c r="H59" s="292"/>
      <c r="I59" s="291">
        <f t="shared" si="6"/>
        <v>0</v>
      </c>
      <c r="J59" s="293"/>
      <c r="K59" s="291">
        <f t="shared" si="7"/>
        <v>0</v>
      </c>
      <c r="L59" s="292">
        <v>2</v>
      </c>
      <c r="M59" s="406">
        <f t="shared" si="2"/>
        <v>0</v>
      </c>
      <c r="N59" s="294">
        <v>2</v>
      </c>
      <c r="O59" s="291">
        <f t="shared" si="3"/>
        <v>0</v>
      </c>
      <c r="P59" s="295">
        <v>2</v>
      </c>
      <c r="Q59" s="291">
        <f t="shared" si="4"/>
        <v>0</v>
      </c>
      <c r="R59" s="296">
        <f t="shared" si="5"/>
        <v>0</v>
      </c>
    </row>
    <row r="60" spans="2:18" ht="16.5" customHeight="1">
      <c r="B60" s="274" t="s">
        <v>90</v>
      </c>
      <c r="C60" s="141">
        <v>25000</v>
      </c>
      <c r="D60" s="260"/>
      <c r="E60" s="289" t="s">
        <v>76</v>
      </c>
      <c r="F60" s="290">
        <v>7</v>
      </c>
      <c r="G60" s="291">
        <f t="shared" si="1"/>
        <v>0</v>
      </c>
      <c r="H60" s="292"/>
      <c r="I60" s="291">
        <f t="shared" si="6"/>
        <v>0</v>
      </c>
      <c r="J60" s="293"/>
      <c r="K60" s="291">
        <f t="shared" si="7"/>
        <v>0</v>
      </c>
      <c r="L60" s="292">
        <v>2</v>
      </c>
      <c r="M60" s="406">
        <f t="shared" si="2"/>
        <v>0</v>
      </c>
      <c r="N60" s="294">
        <v>2</v>
      </c>
      <c r="O60" s="291">
        <f t="shared" si="3"/>
        <v>0</v>
      </c>
      <c r="P60" s="295">
        <v>2</v>
      </c>
      <c r="Q60" s="291">
        <f t="shared" si="4"/>
        <v>0</v>
      </c>
      <c r="R60" s="296">
        <f t="shared" si="5"/>
        <v>0</v>
      </c>
    </row>
    <row r="61" spans="2:18" ht="16.5" customHeight="1">
      <c r="B61" s="297" t="s">
        <v>89</v>
      </c>
      <c r="C61" s="298">
        <v>92</v>
      </c>
      <c r="D61" s="260"/>
      <c r="E61" s="289" t="s">
        <v>75</v>
      </c>
      <c r="F61" s="290">
        <v>7</v>
      </c>
      <c r="G61" s="291">
        <f t="shared" si="1"/>
        <v>0</v>
      </c>
      <c r="H61" s="292"/>
      <c r="I61" s="291">
        <f t="shared" si="6"/>
        <v>0</v>
      </c>
      <c r="J61" s="293"/>
      <c r="K61" s="291">
        <f t="shared" si="7"/>
        <v>0</v>
      </c>
      <c r="L61" s="292">
        <v>2</v>
      </c>
      <c r="M61" s="406">
        <f t="shared" si="2"/>
        <v>0</v>
      </c>
      <c r="N61" s="294">
        <v>2</v>
      </c>
      <c r="O61" s="291">
        <f t="shared" si="3"/>
        <v>0</v>
      </c>
      <c r="P61" s="295">
        <v>2</v>
      </c>
      <c r="Q61" s="291">
        <f t="shared" si="4"/>
        <v>0</v>
      </c>
      <c r="R61" s="296">
        <f t="shared" si="5"/>
        <v>0</v>
      </c>
    </row>
    <row r="62" spans="2:18" ht="16.5" customHeight="1">
      <c r="B62" s="299" t="s">
        <v>88</v>
      </c>
      <c r="C62" s="300"/>
      <c r="D62" s="260"/>
      <c r="E62" s="289" t="s">
        <v>74</v>
      </c>
      <c r="F62" s="290">
        <v>7</v>
      </c>
      <c r="G62" s="291">
        <f t="shared" si="1"/>
        <v>0</v>
      </c>
      <c r="H62" s="292"/>
      <c r="I62" s="291">
        <f t="shared" si="6"/>
        <v>0</v>
      </c>
      <c r="J62" s="293"/>
      <c r="K62" s="291">
        <f t="shared" si="7"/>
        <v>0</v>
      </c>
      <c r="L62" s="292">
        <v>2</v>
      </c>
      <c r="M62" s="406">
        <f t="shared" si="2"/>
        <v>0</v>
      </c>
      <c r="N62" s="294">
        <v>2</v>
      </c>
      <c r="O62" s="291">
        <f t="shared" si="3"/>
        <v>0</v>
      </c>
      <c r="P62" s="295">
        <v>2</v>
      </c>
      <c r="Q62" s="291">
        <f t="shared" si="4"/>
        <v>0</v>
      </c>
      <c r="R62" s="296">
        <f t="shared" si="5"/>
        <v>0</v>
      </c>
    </row>
    <row r="63" spans="2:18" ht="16.5" customHeight="1">
      <c r="B63" s="513" t="s">
        <v>87</v>
      </c>
      <c r="C63" s="514">
        <v>1</v>
      </c>
      <c r="D63" s="260"/>
      <c r="E63" s="303"/>
      <c r="F63" s="304"/>
      <c r="G63" s="305"/>
      <c r="H63" s="306"/>
      <c r="I63" s="307"/>
      <c r="J63" s="308"/>
      <c r="K63" s="307"/>
      <c r="L63" s="306"/>
      <c r="M63" s="409"/>
      <c r="N63" s="304"/>
      <c r="O63" s="305"/>
      <c r="P63" s="306"/>
      <c r="Q63" s="307"/>
      <c r="R63" s="309"/>
    </row>
    <row r="64" spans="2:18" ht="16.5" customHeight="1" thickBot="1">
      <c r="B64" s="513" t="s">
        <v>86</v>
      </c>
      <c r="C64" s="513">
        <f t="shared" ref="C64:C74" si="8">SUM(C63+(C63*$B$5))</f>
        <v>1</v>
      </c>
      <c r="D64" s="260"/>
      <c r="E64" s="310" t="s">
        <v>85</v>
      </c>
      <c r="F64" s="311"/>
      <c r="G64" s="312">
        <f>SUM(G51:G62)</f>
        <v>0</v>
      </c>
      <c r="H64" s="313"/>
      <c r="I64" s="312">
        <f>SUM(I51:I62)</f>
        <v>6866.67</v>
      </c>
      <c r="J64" s="314"/>
      <c r="K64" s="312">
        <f>SUM(K51:K62)</f>
        <v>5460</v>
      </c>
      <c r="L64" s="313"/>
      <c r="M64" s="410">
        <f>SUM(M51:M62)</f>
        <v>0</v>
      </c>
      <c r="N64" s="315"/>
      <c r="O64" s="312">
        <f>SUM(O51:O62)</f>
        <v>0</v>
      </c>
      <c r="P64" s="313"/>
      <c r="Q64" s="312">
        <f>SUM(Q51:Q62)</f>
        <v>0</v>
      </c>
      <c r="R64" s="316">
        <f>SUM(R51:R62)</f>
        <v>12326.67</v>
      </c>
    </row>
    <row r="65" spans="2:18" ht="16.5" customHeight="1" thickTop="1" thickBot="1">
      <c r="B65" s="513" t="s">
        <v>84</v>
      </c>
      <c r="C65" s="513">
        <f t="shared" si="8"/>
        <v>1</v>
      </c>
      <c r="D65" s="269"/>
      <c r="E65" s="317"/>
      <c r="F65" s="318"/>
      <c r="G65" s="319"/>
      <c r="H65" s="320"/>
      <c r="I65" s="319"/>
      <c r="J65" s="321"/>
      <c r="K65" s="319"/>
      <c r="L65" s="320"/>
      <c r="M65" s="411"/>
      <c r="N65" s="318"/>
      <c r="O65" s="322"/>
      <c r="P65" s="320"/>
      <c r="Q65" s="319"/>
      <c r="R65" s="323"/>
    </row>
    <row r="66" spans="2:18" ht="16.5" customHeight="1">
      <c r="B66" s="513" t="s">
        <v>83</v>
      </c>
      <c r="C66" s="515">
        <f t="shared" si="8"/>
        <v>1</v>
      </c>
      <c r="D66" s="269"/>
      <c r="E66" s="269"/>
      <c r="F66" s="325"/>
      <c r="G66" s="269"/>
      <c r="H66" s="326"/>
      <c r="I66" s="269"/>
      <c r="J66" s="327"/>
      <c r="K66" s="269"/>
      <c r="L66" s="326"/>
      <c r="M66" s="412"/>
      <c r="N66" s="325"/>
      <c r="O66" s="269"/>
      <c r="P66" s="326"/>
      <c r="Q66" s="269"/>
      <c r="R66" s="269"/>
    </row>
    <row r="67" spans="2:18" ht="16.5" customHeight="1">
      <c r="B67" s="513" t="s">
        <v>82</v>
      </c>
      <c r="C67" s="515">
        <f t="shared" si="8"/>
        <v>1</v>
      </c>
      <c r="D67" s="269"/>
      <c r="E67" s="269" t="s">
        <v>81</v>
      </c>
      <c r="F67" s="325"/>
      <c r="G67" s="269"/>
      <c r="H67" s="326"/>
      <c r="I67" s="269"/>
      <c r="J67" s="327"/>
      <c r="K67" s="269"/>
      <c r="L67" s="326"/>
      <c r="M67" s="412"/>
      <c r="N67" s="325"/>
      <c r="O67" s="269"/>
      <c r="P67" s="326"/>
      <c r="Q67" s="269"/>
      <c r="R67" s="269"/>
    </row>
    <row r="68" spans="2:18" ht="16.5" customHeight="1">
      <c r="B68" s="513" t="s">
        <v>80</v>
      </c>
      <c r="C68" s="515">
        <f t="shared" si="8"/>
        <v>1</v>
      </c>
      <c r="D68" s="269"/>
      <c r="E68" s="269"/>
      <c r="F68" s="325"/>
      <c r="G68" s="269"/>
      <c r="H68" s="326"/>
      <c r="I68" s="269"/>
      <c r="J68" s="327"/>
      <c r="K68" s="269"/>
      <c r="L68" s="326"/>
      <c r="M68" s="412"/>
      <c r="N68" s="325"/>
      <c r="O68" s="269"/>
      <c r="P68" s="326"/>
      <c r="Q68" s="269"/>
      <c r="R68" s="269"/>
    </row>
    <row r="69" spans="2:18" ht="16.5" customHeight="1">
      <c r="B69" s="513" t="s">
        <v>79</v>
      </c>
      <c r="C69" s="515">
        <f t="shared" si="8"/>
        <v>1</v>
      </c>
      <c r="D69" s="269"/>
      <c r="E69" s="413" t="s">
        <v>291</v>
      </c>
      <c r="F69" s="414"/>
      <c r="G69" s="415"/>
      <c r="H69" s="416"/>
      <c r="I69" s="413"/>
      <c r="J69" s="417"/>
      <c r="K69" s="413"/>
      <c r="L69" s="417"/>
      <c r="M69" s="413"/>
      <c r="N69" s="417"/>
      <c r="O69" s="413"/>
      <c r="P69" s="326"/>
      <c r="Q69" s="269"/>
      <c r="R69" s="269"/>
    </row>
    <row r="70" spans="2:18" ht="16.5" customHeight="1">
      <c r="B70" s="513" t="s">
        <v>78</v>
      </c>
      <c r="C70" s="515">
        <f t="shared" si="8"/>
        <v>1</v>
      </c>
      <c r="D70" s="269"/>
      <c r="E70" s="418" t="s">
        <v>292</v>
      </c>
      <c r="F70" s="419"/>
      <c r="G70" s="418"/>
      <c r="H70" s="420"/>
      <c r="I70" s="269"/>
      <c r="J70" s="326"/>
      <c r="K70" s="269"/>
      <c r="L70" s="326"/>
      <c r="M70" s="269"/>
      <c r="N70" s="326"/>
      <c r="O70" s="269"/>
      <c r="P70" s="326"/>
      <c r="Q70" s="269"/>
      <c r="R70" s="269"/>
    </row>
    <row r="71" spans="2:18" ht="16.5" customHeight="1">
      <c r="B71" s="513" t="s">
        <v>77</v>
      </c>
      <c r="C71" s="515">
        <f t="shared" si="8"/>
        <v>1</v>
      </c>
      <c r="D71" s="269"/>
      <c r="E71" s="269"/>
      <c r="F71" s="325"/>
      <c r="G71" s="269"/>
      <c r="H71" s="326"/>
      <c r="I71" s="269"/>
      <c r="J71" s="327"/>
      <c r="K71" s="269"/>
      <c r="L71" s="326"/>
      <c r="M71" s="412"/>
      <c r="N71" s="325"/>
      <c r="O71" s="269"/>
      <c r="P71" s="326"/>
      <c r="Q71" s="269"/>
      <c r="R71" s="269"/>
    </row>
    <row r="72" spans="2:18" ht="16.5" customHeight="1">
      <c r="B72" s="513" t="s">
        <v>76</v>
      </c>
      <c r="C72" s="515">
        <f t="shared" si="8"/>
        <v>1</v>
      </c>
      <c r="D72" s="269"/>
      <c r="E72" s="269"/>
      <c r="F72" s="325"/>
      <c r="G72" s="269"/>
      <c r="H72" s="326"/>
      <c r="I72" s="269"/>
      <c r="J72" s="327"/>
      <c r="K72" s="269"/>
      <c r="L72" s="326"/>
      <c r="M72" s="412"/>
      <c r="N72" s="325"/>
      <c r="O72" s="269"/>
      <c r="P72" s="326"/>
      <c r="Q72" s="269"/>
      <c r="R72" s="269"/>
    </row>
    <row r="73" spans="2:18" ht="16.5" customHeight="1">
      <c r="B73" s="513" t="s">
        <v>75</v>
      </c>
      <c r="C73" s="515">
        <f t="shared" si="8"/>
        <v>1</v>
      </c>
      <c r="D73" s="269"/>
      <c r="E73" s="269"/>
      <c r="F73" s="325"/>
      <c r="G73" s="269"/>
      <c r="H73" s="326"/>
      <c r="I73" s="269"/>
      <c r="J73" s="327"/>
      <c r="K73" s="269"/>
      <c r="L73" s="326"/>
      <c r="M73" s="412"/>
      <c r="N73" s="325"/>
      <c r="O73" s="269"/>
      <c r="P73" s="326"/>
      <c r="Q73" s="269"/>
      <c r="R73" s="269"/>
    </row>
    <row r="74" spans="2:18" ht="16.5" customHeight="1">
      <c r="B74" s="513" t="s">
        <v>74</v>
      </c>
      <c r="C74" s="515">
        <f t="shared" si="8"/>
        <v>1</v>
      </c>
      <c r="D74" s="269"/>
      <c r="E74" s="269"/>
      <c r="F74" s="325"/>
      <c r="G74" s="269"/>
      <c r="H74" s="326"/>
      <c r="I74" s="269"/>
      <c r="J74" s="327"/>
      <c r="K74" s="269"/>
      <c r="L74" s="326"/>
      <c r="M74" s="412"/>
      <c r="N74" s="325"/>
      <c r="O74" s="269"/>
      <c r="P74" s="326"/>
      <c r="Q74" s="269"/>
      <c r="R74" s="269"/>
    </row>
    <row r="76" spans="2:18" ht="16.5" customHeight="1">
      <c r="B76" s="268"/>
      <c r="C76" s="268"/>
      <c r="D76" s="269"/>
      <c r="E76" s="270" t="s">
        <v>118</v>
      </c>
      <c r="F76" s="270"/>
      <c r="G76" s="270"/>
      <c r="H76" s="270"/>
      <c r="I76" s="270"/>
      <c r="J76" s="270"/>
      <c r="K76" s="270"/>
      <c r="L76" s="270"/>
      <c r="M76" s="270"/>
      <c r="N76" s="270"/>
      <c r="O76" s="270"/>
      <c r="P76" s="270"/>
      <c r="Q76" s="270"/>
      <c r="R76" s="270"/>
    </row>
    <row r="77" spans="2:18" ht="16.5" customHeight="1">
      <c r="B77" s="271" t="s">
        <v>1378</v>
      </c>
      <c r="C77" s="272" t="s">
        <v>1379</v>
      </c>
      <c r="D77" s="269"/>
      <c r="E77" s="273" t="s">
        <v>1817</v>
      </c>
      <c r="F77" s="273"/>
      <c r="G77" s="273"/>
      <c r="H77" s="273"/>
      <c r="I77" s="273"/>
      <c r="J77" s="273"/>
      <c r="K77" s="273"/>
      <c r="L77" s="273"/>
      <c r="M77" s="273"/>
      <c r="N77" s="273"/>
      <c r="O77" s="273"/>
      <c r="P77" s="273"/>
      <c r="Q77" s="273"/>
      <c r="R77" s="273"/>
    </row>
    <row r="78" spans="2:18" ht="16.5" customHeight="1">
      <c r="B78" s="274" t="s">
        <v>115</v>
      </c>
      <c r="C78" s="275" t="s">
        <v>289</v>
      </c>
      <c r="D78" s="269"/>
      <c r="E78" s="270" t="s">
        <v>1785</v>
      </c>
      <c r="F78" s="270"/>
      <c r="G78" s="270"/>
      <c r="H78" s="270"/>
      <c r="I78" s="270"/>
      <c r="J78" s="270"/>
      <c r="K78" s="270"/>
      <c r="L78" s="270"/>
      <c r="M78" s="270"/>
      <c r="N78" s="270"/>
      <c r="O78" s="270"/>
      <c r="P78" s="270"/>
      <c r="Q78" s="270"/>
      <c r="R78" s="270"/>
    </row>
    <row r="79" spans="2:18" ht="16.5" customHeight="1" thickBot="1">
      <c r="B79" s="274" t="s">
        <v>112</v>
      </c>
      <c r="C79" s="276">
        <v>133494</v>
      </c>
      <c r="D79" s="268"/>
      <c r="E79" s="330" t="s">
        <v>1562</v>
      </c>
      <c r="F79" s="330"/>
      <c r="G79" s="330"/>
      <c r="H79" s="330"/>
      <c r="I79" s="330"/>
      <c r="J79" s="330"/>
      <c r="K79" s="330"/>
      <c r="L79" s="330"/>
      <c r="M79" s="330"/>
      <c r="N79" s="330"/>
      <c r="O79" s="330"/>
      <c r="P79" s="330"/>
      <c r="Q79" s="330"/>
      <c r="R79" s="330"/>
    </row>
    <row r="80" spans="2:18" ht="16.5" customHeight="1">
      <c r="B80" s="274" t="s">
        <v>110</v>
      </c>
      <c r="C80" s="277"/>
      <c r="D80" s="260"/>
      <c r="E80" s="278" t="s">
        <v>109</v>
      </c>
      <c r="F80" s="279" t="s">
        <v>108</v>
      </c>
      <c r="G80" s="280"/>
      <c r="H80" s="279" t="s">
        <v>107</v>
      </c>
      <c r="I80" s="280"/>
      <c r="J80" s="279" t="s">
        <v>106</v>
      </c>
      <c r="K80" s="280"/>
      <c r="L80" s="279" t="s">
        <v>105</v>
      </c>
      <c r="M80" s="280"/>
      <c r="N80" s="279" t="s">
        <v>96</v>
      </c>
      <c r="O80" s="280"/>
      <c r="P80" s="279" t="s">
        <v>104</v>
      </c>
      <c r="Q80" s="280"/>
      <c r="R80" s="281" t="s">
        <v>103</v>
      </c>
    </row>
    <row r="81" spans="2:18" ht="16.5" customHeight="1">
      <c r="B81" s="274" t="s">
        <v>102</v>
      </c>
      <c r="C81" s="549">
        <v>160</v>
      </c>
      <c r="D81" s="260"/>
      <c r="E81" s="289"/>
      <c r="F81" s="285" t="s">
        <v>101</v>
      </c>
      <c r="G81" s="331" t="s">
        <v>100</v>
      </c>
      <c r="H81" s="285" t="s">
        <v>101</v>
      </c>
      <c r="I81" s="331" t="s">
        <v>100</v>
      </c>
      <c r="J81" s="285" t="s">
        <v>101</v>
      </c>
      <c r="K81" s="331" t="s">
        <v>100</v>
      </c>
      <c r="L81" s="285" t="s">
        <v>101</v>
      </c>
      <c r="M81" s="331" t="s">
        <v>100</v>
      </c>
      <c r="N81" s="285" t="s">
        <v>101</v>
      </c>
      <c r="O81" s="331" t="s">
        <v>100</v>
      </c>
      <c r="P81" s="287" t="s">
        <v>101</v>
      </c>
      <c r="Q81" s="331" t="s">
        <v>100</v>
      </c>
      <c r="R81" s="289"/>
    </row>
    <row r="82" spans="2:18" ht="16.5" customHeight="1">
      <c r="B82" s="274" t="s">
        <v>107</v>
      </c>
      <c r="C82" s="288">
        <v>6867</v>
      </c>
      <c r="D82" s="260"/>
      <c r="E82" s="289" t="s">
        <v>87</v>
      </c>
      <c r="F82" s="290">
        <v>8</v>
      </c>
      <c r="G82" s="291">
        <f t="shared" ref="G82:G93" si="9">SUM($B$6*F82)*C94</f>
        <v>0</v>
      </c>
      <c r="H82" s="292"/>
      <c r="I82" s="291"/>
      <c r="J82" s="293"/>
      <c r="K82" s="291"/>
      <c r="L82" s="292">
        <v>1</v>
      </c>
      <c r="M82" s="406">
        <f t="shared" ref="M82:M93" si="10">IF(L82&gt;0,($B$9*L82),0)</f>
        <v>0</v>
      </c>
      <c r="N82" s="290">
        <v>1</v>
      </c>
      <c r="O82" s="291">
        <f t="shared" ref="O82:O93" si="11">IF(N82&gt;0,($B$10*N82),0)</f>
        <v>0</v>
      </c>
      <c r="P82" s="295">
        <v>1</v>
      </c>
      <c r="Q82" s="291">
        <f t="shared" ref="Q82:Q93" si="12">SUM(P82*$B$17)*C94</f>
        <v>0</v>
      </c>
      <c r="R82" s="296">
        <f t="shared" ref="R82:R93" si="13">SUM(Q82+O82+M82+K82+I82+G82)</f>
        <v>0</v>
      </c>
    </row>
    <row r="83" spans="2:18" ht="16.5" customHeight="1">
      <c r="B83" s="274" t="s">
        <v>121</v>
      </c>
      <c r="C83" s="288">
        <v>5460</v>
      </c>
      <c r="D83" s="260"/>
      <c r="E83" s="289" t="s">
        <v>86</v>
      </c>
      <c r="F83" s="290">
        <v>7</v>
      </c>
      <c r="G83" s="291">
        <f t="shared" si="9"/>
        <v>0</v>
      </c>
      <c r="H83" s="292"/>
      <c r="I83" s="291"/>
      <c r="J83" s="293"/>
      <c r="K83" s="291"/>
      <c r="L83" s="469">
        <v>2</v>
      </c>
      <c r="M83" s="406">
        <f t="shared" si="10"/>
        <v>0</v>
      </c>
      <c r="N83" s="294">
        <v>1</v>
      </c>
      <c r="O83" s="291">
        <f t="shared" si="11"/>
        <v>0</v>
      </c>
      <c r="P83" s="295">
        <v>2</v>
      </c>
      <c r="Q83" s="291">
        <f t="shared" si="12"/>
        <v>0</v>
      </c>
      <c r="R83" s="296">
        <f t="shared" si="13"/>
        <v>0</v>
      </c>
    </row>
    <row r="84" spans="2:18" ht="16.5" customHeight="1">
      <c r="B84" s="407" t="s">
        <v>122</v>
      </c>
      <c r="C84" s="288">
        <v>324</v>
      </c>
      <c r="D84" s="260"/>
      <c r="E84" s="289" t="s">
        <v>84</v>
      </c>
      <c r="F84" s="290"/>
      <c r="G84" s="291">
        <f t="shared" si="9"/>
        <v>0</v>
      </c>
      <c r="H84" s="292"/>
      <c r="I84" s="291"/>
      <c r="J84" s="293"/>
      <c r="K84" s="291"/>
      <c r="L84" s="292"/>
      <c r="M84" s="406">
        <f t="shared" si="10"/>
        <v>0</v>
      </c>
      <c r="N84" s="294"/>
      <c r="O84" s="291">
        <f t="shared" si="11"/>
        <v>0</v>
      </c>
      <c r="P84" s="295"/>
      <c r="Q84" s="291">
        <f t="shared" si="12"/>
        <v>0</v>
      </c>
      <c r="R84" s="296">
        <f t="shared" si="13"/>
        <v>0</v>
      </c>
    </row>
    <row r="85" spans="2:18" ht="16.5" customHeight="1">
      <c r="B85" s="408" t="s">
        <v>123</v>
      </c>
      <c r="C85" s="288">
        <v>1050</v>
      </c>
      <c r="D85" s="260"/>
      <c r="E85" s="289" t="s">
        <v>83</v>
      </c>
      <c r="F85" s="290"/>
      <c r="G85" s="291">
        <f t="shared" si="9"/>
        <v>0</v>
      </c>
      <c r="H85" s="292"/>
      <c r="I85" s="291"/>
      <c r="J85" s="293"/>
      <c r="K85" s="291"/>
      <c r="L85" s="292"/>
      <c r="M85" s="406">
        <f t="shared" si="10"/>
        <v>0</v>
      </c>
      <c r="N85" s="294"/>
      <c r="O85" s="291">
        <f t="shared" si="11"/>
        <v>0</v>
      </c>
      <c r="P85" s="295"/>
      <c r="Q85" s="291">
        <f t="shared" si="12"/>
        <v>0</v>
      </c>
      <c r="R85" s="296">
        <f t="shared" si="13"/>
        <v>0</v>
      </c>
    </row>
    <row r="86" spans="2:18" ht="16.5" customHeight="1">
      <c r="B86" s="274" t="s">
        <v>95</v>
      </c>
      <c r="C86" s="563">
        <v>35000</v>
      </c>
      <c r="D86" s="260"/>
      <c r="E86" s="289" t="s">
        <v>82</v>
      </c>
      <c r="F86" s="290"/>
      <c r="G86" s="291">
        <f t="shared" si="9"/>
        <v>0</v>
      </c>
      <c r="H86" s="292"/>
      <c r="I86" s="291"/>
      <c r="J86" s="293"/>
      <c r="K86" s="291"/>
      <c r="L86" s="292"/>
      <c r="M86" s="406">
        <f t="shared" si="10"/>
        <v>0</v>
      </c>
      <c r="N86" s="294"/>
      <c r="O86" s="291">
        <f t="shared" si="11"/>
        <v>0</v>
      </c>
      <c r="P86" s="295"/>
      <c r="Q86" s="291">
        <f t="shared" si="12"/>
        <v>0</v>
      </c>
      <c r="R86" s="296">
        <f t="shared" si="13"/>
        <v>0</v>
      </c>
    </row>
    <row r="87" spans="2:18" ht="16.5" customHeight="1">
      <c r="B87" s="274" t="s">
        <v>94</v>
      </c>
      <c r="C87" s="563">
        <v>5000</v>
      </c>
      <c r="D87" s="260"/>
      <c r="E87" s="289" t="s">
        <v>80</v>
      </c>
      <c r="F87" s="290"/>
      <c r="G87" s="291">
        <f t="shared" si="9"/>
        <v>0</v>
      </c>
      <c r="H87" s="292"/>
      <c r="I87" s="291"/>
      <c r="J87" s="293"/>
      <c r="K87" s="291"/>
      <c r="L87" s="292"/>
      <c r="M87" s="406">
        <f t="shared" si="10"/>
        <v>0</v>
      </c>
      <c r="N87" s="294"/>
      <c r="O87" s="291">
        <f t="shared" si="11"/>
        <v>0</v>
      </c>
      <c r="P87" s="295"/>
      <c r="Q87" s="291">
        <f t="shared" si="12"/>
        <v>0</v>
      </c>
      <c r="R87" s="296">
        <f t="shared" si="13"/>
        <v>0</v>
      </c>
    </row>
    <row r="88" spans="2:18" ht="16.5" customHeight="1">
      <c r="B88" s="274" t="s">
        <v>93</v>
      </c>
      <c r="C88" s="563">
        <v>175000</v>
      </c>
      <c r="D88" s="260"/>
      <c r="E88" s="289" t="s">
        <v>79</v>
      </c>
      <c r="F88" s="290"/>
      <c r="G88" s="291">
        <f t="shared" si="9"/>
        <v>0</v>
      </c>
      <c r="H88" s="292"/>
      <c r="I88" s="291"/>
      <c r="J88" s="293"/>
      <c r="K88" s="291"/>
      <c r="L88" s="292"/>
      <c r="M88" s="406">
        <f t="shared" si="10"/>
        <v>0</v>
      </c>
      <c r="N88" s="294"/>
      <c r="O88" s="291">
        <f t="shared" si="11"/>
        <v>0</v>
      </c>
      <c r="P88" s="295"/>
      <c r="Q88" s="291">
        <f t="shared" si="12"/>
        <v>0</v>
      </c>
      <c r="R88" s="296">
        <f t="shared" si="13"/>
        <v>0</v>
      </c>
    </row>
    <row r="89" spans="2:18" ht="16.5" customHeight="1">
      <c r="B89" s="274" t="s">
        <v>92</v>
      </c>
      <c r="C89" s="563">
        <v>175000</v>
      </c>
      <c r="D89" s="260"/>
      <c r="E89" s="289" t="s">
        <v>78</v>
      </c>
      <c r="F89" s="290"/>
      <c r="G89" s="291">
        <f t="shared" si="9"/>
        <v>0</v>
      </c>
      <c r="H89" s="292"/>
      <c r="I89" s="291"/>
      <c r="J89" s="293"/>
      <c r="K89" s="291"/>
      <c r="L89" s="292"/>
      <c r="M89" s="406">
        <f t="shared" si="10"/>
        <v>0</v>
      </c>
      <c r="N89" s="294"/>
      <c r="O89" s="291">
        <f t="shared" si="11"/>
        <v>0</v>
      </c>
      <c r="P89" s="295"/>
      <c r="Q89" s="291">
        <f t="shared" si="12"/>
        <v>0</v>
      </c>
      <c r="R89" s="296">
        <f t="shared" si="13"/>
        <v>0</v>
      </c>
    </row>
    <row r="90" spans="2:18" ht="16.5" customHeight="1">
      <c r="B90" s="274" t="s">
        <v>91</v>
      </c>
      <c r="C90" s="563">
        <v>12000</v>
      </c>
      <c r="D90" s="260"/>
      <c r="E90" s="289" t="s">
        <v>77</v>
      </c>
      <c r="F90" s="290"/>
      <c r="G90" s="291">
        <f t="shared" si="9"/>
        <v>0</v>
      </c>
      <c r="H90" s="292"/>
      <c r="I90" s="291"/>
      <c r="J90" s="293"/>
      <c r="K90" s="291"/>
      <c r="L90" s="292"/>
      <c r="M90" s="406">
        <f t="shared" si="10"/>
        <v>0</v>
      </c>
      <c r="N90" s="294"/>
      <c r="O90" s="291">
        <f t="shared" si="11"/>
        <v>0</v>
      </c>
      <c r="P90" s="295"/>
      <c r="Q90" s="291">
        <f t="shared" si="12"/>
        <v>0</v>
      </c>
      <c r="R90" s="296">
        <f t="shared" si="13"/>
        <v>0</v>
      </c>
    </row>
    <row r="91" spans="2:18" ht="16.5" customHeight="1">
      <c r="B91" s="274" t="s">
        <v>90</v>
      </c>
      <c r="C91" s="563">
        <v>25000</v>
      </c>
      <c r="D91" s="260"/>
      <c r="E91" s="289" t="s">
        <v>76</v>
      </c>
      <c r="F91" s="290"/>
      <c r="G91" s="291">
        <f t="shared" si="9"/>
        <v>0</v>
      </c>
      <c r="H91" s="292"/>
      <c r="I91" s="291"/>
      <c r="J91" s="293"/>
      <c r="K91" s="291"/>
      <c r="L91" s="292"/>
      <c r="M91" s="406">
        <f t="shared" si="10"/>
        <v>0</v>
      </c>
      <c r="N91" s="294"/>
      <c r="O91" s="291">
        <f t="shared" si="11"/>
        <v>0</v>
      </c>
      <c r="P91" s="295"/>
      <c r="Q91" s="291">
        <f t="shared" si="12"/>
        <v>0</v>
      </c>
      <c r="R91" s="296">
        <f t="shared" si="13"/>
        <v>0</v>
      </c>
    </row>
    <row r="92" spans="2:18" ht="16.5" customHeight="1">
      <c r="B92" s="297" t="s">
        <v>89</v>
      </c>
      <c r="C92" s="298">
        <v>92</v>
      </c>
      <c r="D92" s="260"/>
      <c r="E92" s="289" t="s">
        <v>75</v>
      </c>
      <c r="F92" s="290"/>
      <c r="G92" s="291">
        <f t="shared" si="9"/>
        <v>0</v>
      </c>
      <c r="H92" s="292"/>
      <c r="I92" s="291"/>
      <c r="J92" s="293"/>
      <c r="K92" s="291"/>
      <c r="L92" s="292"/>
      <c r="M92" s="406">
        <f t="shared" si="10"/>
        <v>0</v>
      </c>
      <c r="N92" s="294"/>
      <c r="O92" s="291">
        <f t="shared" si="11"/>
        <v>0</v>
      </c>
      <c r="P92" s="295"/>
      <c r="Q92" s="291">
        <f t="shared" si="12"/>
        <v>0</v>
      </c>
      <c r="R92" s="296">
        <f t="shared" si="13"/>
        <v>0</v>
      </c>
    </row>
    <row r="93" spans="2:18" ht="16.5" customHeight="1">
      <c r="B93" s="299" t="s">
        <v>88</v>
      </c>
      <c r="C93" s="300"/>
      <c r="D93" s="260"/>
      <c r="E93" s="289" t="s">
        <v>74</v>
      </c>
      <c r="F93" s="290"/>
      <c r="G93" s="291">
        <f t="shared" si="9"/>
        <v>0</v>
      </c>
      <c r="H93" s="292"/>
      <c r="I93" s="291"/>
      <c r="J93" s="293"/>
      <c r="K93" s="291"/>
      <c r="L93" s="292"/>
      <c r="M93" s="406">
        <f t="shared" si="10"/>
        <v>0</v>
      </c>
      <c r="N93" s="294"/>
      <c r="O93" s="291">
        <f t="shared" si="11"/>
        <v>0</v>
      </c>
      <c r="P93" s="295"/>
      <c r="Q93" s="291">
        <f t="shared" si="12"/>
        <v>0</v>
      </c>
      <c r="R93" s="296">
        <f t="shared" si="13"/>
        <v>0</v>
      </c>
    </row>
    <row r="94" spans="2:18" ht="16.5" customHeight="1">
      <c r="B94" s="421" t="s">
        <v>87</v>
      </c>
      <c r="C94" s="422">
        <v>1</v>
      </c>
      <c r="D94" s="260"/>
      <c r="E94" s="303"/>
      <c r="F94" s="304"/>
      <c r="G94" s="305"/>
      <c r="H94" s="306"/>
      <c r="I94" s="307"/>
      <c r="J94" s="308"/>
      <c r="K94" s="307"/>
      <c r="L94" s="306"/>
      <c r="M94" s="307"/>
      <c r="N94" s="304"/>
      <c r="O94" s="307"/>
      <c r="P94" s="306"/>
      <c r="Q94" s="307"/>
      <c r="R94" s="309"/>
    </row>
    <row r="95" spans="2:18" ht="16.5" customHeight="1" thickBot="1">
      <c r="B95" s="421" t="s">
        <v>86</v>
      </c>
      <c r="C95" s="421">
        <f t="shared" ref="C95:C105" si="14">SUM(C94+(C94*$B$5))</f>
        <v>1</v>
      </c>
      <c r="D95" s="260"/>
      <c r="E95" s="310" t="s">
        <v>85</v>
      </c>
      <c r="F95" s="311"/>
      <c r="G95" s="312">
        <f>SUM(G82:G93)</f>
        <v>0</v>
      </c>
      <c r="H95" s="313"/>
      <c r="I95" s="312">
        <f>SUM(I82:I93)</f>
        <v>0</v>
      </c>
      <c r="J95" s="314"/>
      <c r="K95" s="312">
        <f>SUM(K82:K93)</f>
        <v>0</v>
      </c>
      <c r="L95" s="313"/>
      <c r="M95" s="312">
        <f>SUM(M82:M93)</f>
        <v>0</v>
      </c>
      <c r="N95" s="315"/>
      <c r="O95" s="312">
        <f>SUM(O82:O93)</f>
        <v>0</v>
      </c>
      <c r="P95" s="313"/>
      <c r="Q95" s="312">
        <f>SUM(Q82:Q93)</f>
        <v>0</v>
      </c>
      <c r="R95" s="316">
        <f>SUM(R82:R93)</f>
        <v>0</v>
      </c>
    </row>
    <row r="96" spans="2:18" ht="16.5" customHeight="1" thickTop="1" thickBot="1">
      <c r="B96" s="421" t="s">
        <v>84</v>
      </c>
      <c r="C96" s="421">
        <f t="shared" si="14"/>
        <v>1</v>
      </c>
      <c r="D96" s="269"/>
      <c r="E96" s="317"/>
      <c r="F96" s="318"/>
      <c r="G96" s="319"/>
      <c r="H96" s="320"/>
      <c r="I96" s="319"/>
      <c r="J96" s="321"/>
      <c r="K96" s="319"/>
      <c r="L96" s="320"/>
      <c r="M96" s="319"/>
      <c r="N96" s="318"/>
      <c r="O96" s="319"/>
      <c r="P96" s="320"/>
      <c r="Q96" s="319"/>
      <c r="R96" s="323"/>
    </row>
    <row r="97" spans="2:18" ht="16.5" customHeight="1">
      <c r="B97" s="421" t="s">
        <v>83</v>
      </c>
      <c r="C97" s="423">
        <f t="shared" si="14"/>
        <v>1</v>
      </c>
      <c r="D97" s="269"/>
      <c r="E97" s="269"/>
      <c r="F97" s="335"/>
      <c r="G97" s="269"/>
      <c r="H97" s="326"/>
      <c r="I97" s="269"/>
      <c r="J97" s="326"/>
      <c r="K97" s="269"/>
      <c r="L97" s="326"/>
      <c r="M97" s="269"/>
      <c r="N97" s="326"/>
      <c r="O97" s="269"/>
      <c r="P97" s="326"/>
      <c r="Q97" s="269"/>
      <c r="R97" s="269"/>
    </row>
    <row r="98" spans="2:18" ht="16.5" customHeight="1">
      <c r="B98" s="421" t="s">
        <v>82</v>
      </c>
      <c r="C98" s="423">
        <f t="shared" si="14"/>
        <v>1</v>
      </c>
      <c r="D98" s="269"/>
      <c r="E98" s="269" t="s">
        <v>124</v>
      </c>
      <c r="F98" s="335"/>
      <c r="G98" s="269"/>
      <c r="H98" s="326"/>
      <c r="I98" s="269"/>
      <c r="J98" s="326"/>
      <c r="K98" s="269"/>
      <c r="L98" s="326"/>
      <c r="M98" s="269"/>
      <c r="N98" s="326"/>
      <c r="O98" s="269"/>
      <c r="P98" s="326"/>
      <c r="Q98" s="269"/>
      <c r="R98" s="269"/>
    </row>
    <row r="99" spans="2:18" ht="16.5" customHeight="1">
      <c r="B99" s="421" t="s">
        <v>80</v>
      </c>
      <c r="C99" s="423">
        <f t="shared" si="14"/>
        <v>1</v>
      </c>
      <c r="D99" s="269"/>
      <c r="E99" s="269"/>
      <c r="F99" s="335"/>
      <c r="G99" s="269"/>
      <c r="H99" s="326"/>
      <c r="I99" s="269"/>
      <c r="J99" s="326"/>
      <c r="K99" s="269"/>
      <c r="L99" s="326"/>
      <c r="M99" s="269"/>
      <c r="N99" s="326"/>
      <c r="O99" s="269"/>
      <c r="P99" s="326"/>
      <c r="Q99" s="269"/>
      <c r="R99" s="269"/>
    </row>
    <row r="100" spans="2:18" ht="16.5" customHeight="1">
      <c r="B100" s="421" t="s">
        <v>79</v>
      </c>
      <c r="C100" s="423">
        <f t="shared" si="14"/>
        <v>1</v>
      </c>
      <c r="D100" s="269"/>
      <c r="E100" s="413" t="s">
        <v>291</v>
      </c>
      <c r="F100" s="414"/>
      <c r="G100" s="415"/>
      <c r="H100" s="416"/>
      <c r="I100" s="413"/>
      <c r="J100" s="417"/>
      <c r="K100" s="413"/>
      <c r="L100" s="417"/>
      <c r="M100" s="413"/>
      <c r="N100" s="417"/>
      <c r="O100" s="413"/>
      <c r="P100" s="326"/>
      <c r="Q100" s="269"/>
      <c r="R100" s="269"/>
    </row>
    <row r="101" spans="2:18" ht="16.5" customHeight="1">
      <c r="B101" s="421" t="s">
        <v>78</v>
      </c>
      <c r="C101" s="423">
        <f t="shared" si="14"/>
        <v>1</v>
      </c>
      <c r="D101" s="269"/>
      <c r="E101" s="418" t="s">
        <v>292</v>
      </c>
      <c r="F101" s="419"/>
      <c r="G101" s="418"/>
      <c r="H101" s="420"/>
      <c r="I101" s="269"/>
      <c r="J101" s="326"/>
      <c r="K101" s="269"/>
      <c r="L101" s="326"/>
      <c r="M101" s="269"/>
      <c r="N101" s="326"/>
      <c r="O101" s="269"/>
      <c r="P101" s="326"/>
      <c r="Q101" s="269"/>
      <c r="R101" s="269"/>
    </row>
    <row r="102" spans="2:18" ht="16.5" customHeight="1">
      <c r="B102" s="421" t="s">
        <v>77</v>
      </c>
      <c r="C102" s="423">
        <f t="shared" si="14"/>
        <v>1</v>
      </c>
      <c r="D102" s="269"/>
      <c r="E102" s="269"/>
      <c r="F102" s="335"/>
      <c r="G102" s="269"/>
      <c r="H102" s="326"/>
      <c r="I102" s="269"/>
      <c r="J102" s="326"/>
      <c r="K102" s="269"/>
      <c r="L102" s="326"/>
      <c r="M102" s="269"/>
      <c r="N102" s="326"/>
      <c r="O102" s="269"/>
      <c r="P102" s="326"/>
      <c r="Q102" s="269"/>
      <c r="R102" s="269"/>
    </row>
    <row r="103" spans="2:18" ht="16.5" customHeight="1">
      <c r="B103" s="421" t="s">
        <v>76</v>
      </c>
      <c r="C103" s="423">
        <f t="shared" si="14"/>
        <v>1</v>
      </c>
      <c r="D103" s="269"/>
      <c r="E103" s="564"/>
      <c r="F103" s="565"/>
      <c r="G103" s="543"/>
      <c r="H103" s="542"/>
      <c r="I103" s="81"/>
      <c r="J103" s="542"/>
      <c r="K103" s="543"/>
      <c r="L103" s="542"/>
      <c r="M103" s="543"/>
      <c r="N103" s="542"/>
      <c r="O103" s="543"/>
      <c r="P103" s="542"/>
      <c r="Q103" s="543"/>
      <c r="R103" s="543"/>
    </row>
    <row r="104" spans="2:18" ht="16.5" customHeight="1">
      <c r="B104" s="421" t="s">
        <v>75</v>
      </c>
      <c r="C104" s="423">
        <f t="shared" si="14"/>
        <v>1</v>
      </c>
      <c r="D104" s="269"/>
      <c r="E104" s="564"/>
      <c r="F104" s="566"/>
      <c r="G104" s="564"/>
      <c r="H104" s="567"/>
      <c r="I104" s="543"/>
      <c r="J104" s="542"/>
      <c r="K104" s="543"/>
      <c r="L104" s="542"/>
      <c r="M104" s="543"/>
      <c r="N104" s="542"/>
      <c r="O104" s="543"/>
      <c r="P104" s="542"/>
      <c r="Q104" s="543"/>
      <c r="R104" s="543"/>
    </row>
    <row r="105" spans="2:18" ht="16.5" customHeight="1">
      <c r="B105" s="421" t="s">
        <v>74</v>
      </c>
      <c r="C105" s="423">
        <f t="shared" si="14"/>
        <v>1</v>
      </c>
      <c r="D105" s="269"/>
      <c r="E105" s="543"/>
      <c r="F105" s="565"/>
      <c r="G105" s="543"/>
      <c r="H105" s="542"/>
      <c r="I105" s="543"/>
      <c r="J105" s="542"/>
      <c r="K105" s="543"/>
      <c r="L105" s="542"/>
      <c r="M105" s="543"/>
      <c r="N105" s="542"/>
      <c r="O105" s="543"/>
      <c r="P105" s="542"/>
      <c r="Q105" s="543"/>
      <c r="R105" s="543"/>
    </row>
  </sheetData>
  <mergeCells count="20">
    <mergeCell ref="E76:R76"/>
    <mergeCell ref="E77:R77"/>
    <mergeCell ref="E78:R78"/>
    <mergeCell ref="E79:R79"/>
    <mergeCell ref="F80:G80"/>
    <mergeCell ref="H80:I80"/>
    <mergeCell ref="J80:K80"/>
    <mergeCell ref="L80:M80"/>
    <mergeCell ref="N80:O80"/>
    <mergeCell ref="P80:Q80"/>
    <mergeCell ref="E45:R45"/>
    <mergeCell ref="E46:R46"/>
    <mergeCell ref="E47:R47"/>
    <mergeCell ref="E48:R48"/>
    <mergeCell ref="F49:G49"/>
    <mergeCell ref="H49:I49"/>
    <mergeCell ref="J49:K49"/>
    <mergeCell ref="L49:M49"/>
    <mergeCell ref="N49:O49"/>
    <mergeCell ref="P49:Q49"/>
  </mergeCells>
  <printOptions horizontalCentered="1"/>
  <pageMargins left="0.25" right="0.25" top="0.75" bottom="0.75" header="0.3" footer="0.3"/>
  <pageSetup scale="69" orientation="landscape" r:id="rId1"/>
  <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markers="1" last="1">
          <x14:colorSeries rgb="FF323232"/>
          <x14:colorNegative rgb="FFD00000"/>
          <x14:colorAxis rgb="FF000000"/>
          <x14:colorMarkers rgb="FFD00000"/>
          <x14:colorFirst rgb="FFD00000"/>
          <x14:colorLast rgb="FFD00000"/>
          <x14:colorHigh rgb="FFD00000"/>
          <x14:colorLow rgb="FFD00000"/>
          <x14:sparklines>
            <x14:sparkline>
              <xm:f>'M-Van 32 summary'!C19:N19</xm:f>
              <xm:sqref>P19</xm:sqref>
            </x14:sparkline>
            <x14:sparkline>
              <xm:f>'M-Van 32 summary'!C20:N20</xm:f>
              <xm:sqref>P20</xm:sqref>
            </x14:sparkline>
            <x14:sparkline>
              <xm:f>'M-Van 32 summary'!C21:N21</xm:f>
              <xm:sqref>P21</xm:sqref>
            </x14:sparkline>
            <x14:sparkline>
              <xm:f>'M-Van 32 summary'!C22:N22</xm:f>
              <xm:sqref>P22</xm:sqref>
            </x14:sparkline>
            <x14:sparkline>
              <xm:f>'M-Van 32 summary'!C23:N23</xm:f>
              <xm:sqref>P23</xm:sqref>
            </x14:sparkline>
            <x14:sparkline>
              <xm:f>'M-Van 32 summary'!C24:N24</xm:f>
              <xm:sqref>P24</xm:sqref>
            </x14:sparkline>
            <x14:sparkline>
              <xm:f>'M-Van 32 summary'!C25:N25</xm:f>
              <xm:sqref>P25</xm:sqref>
            </x14:sparkline>
            <x14:sparkline>
              <xm:f>'M-Van 32 summary'!C26:N26</xm:f>
              <xm:sqref>P26</xm:sqref>
            </x14:sparkline>
            <x14:sparkline>
              <xm:f>'M-Van 32 summary'!C27:N27</xm:f>
              <xm:sqref>P27</xm:sqref>
            </x14:sparkline>
            <x14:sparkline>
              <xm:f>'M-Van 32 summary'!C28:N28</xm:f>
              <xm:sqref>P28</xm:sqref>
            </x14:sparkline>
            <x14:sparkline>
              <xm:f>'M-Van 32 summary'!C29:N29</xm:f>
              <xm:sqref>P29</xm:sqref>
            </x14:sparkline>
            <x14:sparkline>
              <xm:f>'M-Van 32 summary'!C30:N30</xm:f>
              <xm:sqref>P30</xm:sqref>
            </x14:sparkline>
            <x14:sparkline>
              <xm:f>'M-Van 32 summary'!C31:N31</xm:f>
              <xm:sqref>P31</xm:sqref>
            </x14:sparkline>
            <x14:sparkline>
              <xm:f>'M-Van 32 summary'!C32:N32</xm:f>
              <xm:sqref>P32</xm:sqref>
            </x14:sparkline>
            <x14:sparkline>
              <xm:f>'M-Van 32 summary'!C33:N33</xm:f>
              <xm:sqref>P33</xm:sqref>
            </x14:sparkline>
            <x14:sparkline>
              <xm:f>'M-Van 32 summary'!C34:N34</xm:f>
              <xm:sqref>P34</xm:sqref>
            </x14:sparkline>
            <x14:sparkline>
              <xm:f>'M-Van 32 summary'!C35:N35</xm:f>
              <xm:sqref>P35</xm:sqref>
            </x14:sparkline>
            <x14:sparkline>
              <xm:f>'M-Van 32 summary'!C36:N36</xm:f>
              <xm:sqref>P36</xm:sqref>
            </x14:sparkline>
            <x14:sparkline>
              <xm:f>'M-Van 32 summary'!C37:N37</xm:f>
              <xm:sqref>P37</xm:sqref>
            </x14:sparkline>
            <x14:sparkline>
              <xm:f>'M-Van 32 summary'!C38:N38</xm:f>
              <xm:sqref>P38</xm:sqref>
            </x14:sparkline>
            <x14:sparkline>
              <xm:f>'M-Van 32 summary'!C39:N39</xm:f>
              <xm:sqref>P39</xm:sqref>
            </x14:sparkline>
          </x14:sparklines>
        </x14:sparklineGroup>
        <x14:sparklineGroup displayEmptyCellsAs="gap" markers="1" negative="1">
          <x14:colorSeries rgb="FF323232"/>
          <x14:colorNegative rgb="FFD00000"/>
          <x14:colorAxis rgb="FF000000"/>
          <x14:colorMarkers rgb="FFD00000"/>
          <x14:colorFirst rgb="FFD00000"/>
          <x14:colorLast rgb="FFD00000"/>
          <x14:colorHigh rgb="FFD00000"/>
          <x14:colorLow rgb="FFD00000"/>
          <x14:sparklines>
            <x14:sparkline>
              <xm:f>'M-Van 32 summary'!C40:N40</xm:f>
              <xm:sqref>P40</xm:sqref>
            </x14:sparkline>
          </x14:sparklines>
        </x14:sparklineGroup>
      </x14:sparklineGroup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fitToPage="1"/>
  </sheetPr>
  <dimension ref="B1:H194"/>
  <sheetViews>
    <sheetView showGridLines="0" zoomScale="115" zoomScaleNormal="115" workbookViewId="0">
      <selection activeCell="D101" sqref="D101"/>
    </sheetView>
  </sheetViews>
  <sheetFormatPr defaultColWidth="9.140625" defaultRowHeight="16.5" customHeight="1"/>
  <cols>
    <col min="1" max="1" width="3.140625" style="1" customWidth="1"/>
    <col min="2" max="4" width="12.28515625" style="1" customWidth="1"/>
    <col min="5" max="5" width="15.7109375" style="1" customWidth="1"/>
    <col min="6" max="6" width="41.85546875" style="1" customWidth="1"/>
    <col min="7" max="7" width="42.85546875" style="1" customWidth="1"/>
    <col min="8" max="8" width="3.5703125" style="1" customWidth="1"/>
    <col min="9" max="16384" width="9.140625" style="1"/>
  </cols>
  <sheetData>
    <row r="1" spans="2:8" s="1" customFormat="1" ht="16.5" customHeight="1">
      <c r="H1" s="1" t="s">
        <v>32</v>
      </c>
    </row>
    <row r="2" spans="2:8" s="1" customFormat="1" ht="31.5" customHeight="1">
      <c r="B2" s="184" t="s">
        <v>51</v>
      </c>
      <c r="H2" s="1" t="s">
        <v>32</v>
      </c>
    </row>
    <row r="3" spans="2:8" s="1" customFormat="1" ht="23.25" customHeight="1"/>
    <row r="4" spans="2:8" s="1" customFormat="1" ht="16.5" customHeight="1">
      <c r="B4" s="185" t="s">
        <v>50</v>
      </c>
      <c r="C4" s="186" t="s">
        <v>49</v>
      </c>
      <c r="D4" s="185" t="s">
        <v>48</v>
      </c>
      <c r="E4" s="186" t="s">
        <v>47</v>
      </c>
      <c r="F4" s="186" t="s">
        <v>660</v>
      </c>
      <c r="G4" s="185" t="s">
        <v>45</v>
      </c>
    </row>
    <row r="5" spans="2:8" s="1" customFormat="1" ht="16.5" customHeight="1">
      <c r="B5" s="568"/>
      <c r="C5" s="190"/>
      <c r="D5" s="46"/>
      <c r="E5" s="190"/>
      <c r="F5" s="190"/>
      <c r="G5" s="190"/>
    </row>
    <row r="6" spans="2:8" s="1" customFormat="1" ht="16.5" customHeight="1">
      <c r="B6" s="568"/>
      <c r="C6" s="190"/>
      <c r="D6" s="46"/>
      <c r="E6" s="190"/>
      <c r="F6" s="190"/>
      <c r="G6" s="190"/>
    </row>
    <row r="7" spans="2:8" s="1" customFormat="1" ht="16.5" customHeight="1">
      <c r="B7" s="568"/>
      <c r="C7" s="190"/>
      <c r="D7" s="46"/>
      <c r="E7" s="190"/>
      <c r="F7" s="190"/>
      <c r="G7" s="190"/>
    </row>
    <row r="8" spans="2:8" s="1" customFormat="1" ht="16.5" customHeight="1">
      <c r="B8" s="568"/>
      <c r="C8" s="190"/>
      <c r="D8" s="46"/>
      <c r="E8" s="190"/>
      <c r="F8" s="190"/>
      <c r="G8" s="190"/>
    </row>
    <row r="9" spans="2:8" s="1" customFormat="1" ht="16.5" customHeight="1">
      <c r="B9" s="568"/>
      <c r="C9" s="190"/>
      <c r="D9" s="46"/>
      <c r="E9" s="190"/>
      <c r="F9" s="190"/>
      <c r="G9" s="190"/>
    </row>
    <row r="10" spans="2:8" s="1" customFormat="1" ht="16.5" customHeight="1">
      <c r="B10" s="568"/>
      <c r="C10" s="190"/>
      <c r="D10" s="46"/>
      <c r="E10" s="190"/>
      <c r="F10" s="190"/>
      <c r="G10" s="190"/>
    </row>
    <row r="11" spans="2:8" s="1" customFormat="1" ht="16.5" customHeight="1">
      <c r="B11" s="568"/>
      <c r="C11" s="190"/>
      <c r="D11" s="46"/>
      <c r="E11" s="190"/>
      <c r="F11" s="190"/>
      <c r="G11" s="190"/>
    </row>
    <row r="12" spans="2:8" s="1" customFormat="1" ht="16.5" customHeight="1">
      <c r="B12" s="568"/>
      <c r="C12" s="190"/>
      <c r="D12" s="46"/>
      <c r="E12" s="190"/>
      <c r="F12" s="190"/>
      <c r="G12" s="190"/>
    </row>
    <row r="13" spans="2:8" s="1" customFormat="1" ht="16.5" customHeight="1">
      <c r="B13" s="568"/>
      <c r="C13" s="190"/>
      <c r="D13" s="46"/>
      <c r="E13" s="190"/>
      <c r="F13" s="190"/>
      <c r="G13" s="190"/>
    </row>
    <row r="14" spans="2:8" s="1" customFormat="1" ht="16.5" customHeight="1">
      <c r="B14" s="568"/>
      <c r="C14" s="190"/>
      <c r="D14" s="46"/>
      <c r="E14" s="190"/>
      <c r="F14" s="190"/>
      <c r="G14" s="190"/>
    </row>
    <row r="15" spans="2:8" s="1" customFormat="1" ht="16.5" customHeight="1">
      <c r="B15" s="568"/>
      <c r="C15" s="190"/>
      <c r="D15" s="46"/>
      <c r="E15" s="190"/>
      <c r="F15" s="190"/>
      <c r="G15" s="190"/>
    </row>
    <row r="16" spans="2:8" s="1" customFormat="1" ht="16.5" customHeight="1">
      <c r="B16" s="568"/>
      <c r="C16" s="190"/>
      <c r="D16" s="46"/>
      <c r="E16" s="190"/>
      <c r="F16" s="190"/>
      <c r="G16" s="190"/>
    </row>
    <row r="17" spans="2:7" s="1" customFormat="1" ht="16.5" customHeight="1">
      <c r="B17" s="568"/>
      <c r="C17" s="190"/>
      <c r="D17" s="46"/>
      <c r="E17" s="190"/>
      <c r="F17" s="190"/>
      <c r="G17" s="190"/>
    </row>
    <row r="18" spans="2:7" s="1" customFormat="1" ht="16.5" customHeight="1">
      <c r="B18" s="192" t="s">
        <v>1</v>
      </c>
      <c r="C18" s="193"/>
      <c r="D18" s="194">
        <f>SUBTOTAL(109,ExpJul215228241254[Amount])</f>
        <v>0</v>
      </c>
      <c r="E18" s="193"/>
      <c r="F18" s="193"/>
      <c r="G18" s="192"/>
    </row>
    <row r="19" spans="2:7" s="1" customFormat="1" ht="16.5" customHeight="1">
      <c r="B19" s="195"/>
      <c r="C19" s="196"/>
      <c r="D19" s="197"/>
      <c r="E19" s="196"/>
      <c r="F19" s="196"/>
      <c r="G19" s="196"/>
    </row>
    <row r="20" spans="2:7" s="1" customFormat="1" ht="29.25" customHeight="1">
      <c r="B20" s="205" t="s">
        <v>52</v>
      </c>
      <c r="C20" s="36"/>
      <c r="D20" s="36"/>
      <c r="E20" s="36"/>
      <c r="F20" s="36"/>
      <c r="G20" s="36"/>
    </row>
    <row r="21" spans="2:7" s="1" customFormat="1" ht="16.5" customHeight="1">
      <c r="B21" s="36"/>
      <c r="C21" s="36"/>
      <c r="D21" s="36"/>
      <c r="E21" s="36"/>
      <c r="F21" s="36"/>
      <c r="G21" s="36"/>
    </row>
    <row r="22" spans="2:7" s="1" customFormat="1" ht="16.5" customHeight="1">
      <c r="B22" s="206" t="s">
        <v>50</v>
      </c>
      <c r="C22" s="207" t="s">
        <v>53</v>
      </c>
      <c r="D22" s="206" t="s">
        <v>48</v>
      </c>
      <c r="E22" s="207" t="s">
        <v>47</v>
      </c>
      <c r="F22" s="207" t="s">
        <v>660</v>
      </c>
      <c r="G22" s="206" t="s">
        <v>45</v>
      </c>
    </row>
    <row r="23" spans="2:7" s="1" customFormat="1" ht="16.5" customHeight="1">
      <c r="B23" s="215"/>
      <c r="C23" s="51"/>
      <c r="D23" s="216"/>
      <c r="E23" s="51"/>
      <c r="F23" s="51"/>
      <c r="G23" s="51"/>
    </row>
    <row r="24" spans="2:7" s="1" customFormat="1" ht="16.5" customHeight="1">
      <c r="B24" s="215"/>
      <c r="C24" s="51"/>
      <c r="D24" s="216"/>
      <c r="E24" s="51"/>
      <c r="F24" s="51"/>
      <c r="G24" s="51"/>
    </row>
    <row r="25" spans="2:7" s="1" customFormat="1" ht="16.5" customHeight="1">
      <c r="B25" s="215"/>
      <c r="C25" s="51"/>
      <c r="D25" s="216"/>
      <c r="E25" s="51"/>
      <c r="F25" s="51"/>
      <c r="G25" s="51"/>
    </row>
    <row r="26" spans="2:7" s="1" customFormat="1" ht="16.5" customHeight="1">
      <c r="B26" s="215"/>
      <c r="C26" s="51"/>
      <c r="D26" s="216"/>
      <c r="E26" s="51"/>
      <c r="F26" s="51"/>
      <c r="G26" s="51"/>
    </row>
    <row r="27" spans="2:7" s="1" customFormat="1" ht="16.5" customHeight="1">
      <c r="B27" s="215"/>
      <c r="C27" s="51"/>
      <c r="D27" s="216"/>
      <c r="E27" s="51"/>
      <c r="F27" s="51"/>
      <c r="G27" s="51"/>
    </row>
    <row r="28" spans="2:7" s="1" customFormat="1" ht="16.5" customHeight="1">
      <c r="B28" s="215"/>
      <c r="C28" s="51"/>
      <c r="D28" s="216"/>
      <c r="E28" s="51"/>
      <c r="F28" s="51"/>
      <c r="G28" s="51"/>
    </row>
    <row r="29" spans="2:7" s="1" customFormat="1" ht="16.5" customHeight="1">
      <c r="B29" s="215"/>
      <c r="C29" s="51"/>
      <c r="D29" s="216"/>
      <c r="E29" s="51"/>
      <c r="F29" s="51"/>
      <c r="G29" s="51"/>
    </row>
    <row r="30" spans="2:7" s="1" customFormat="1" ht="16.5" customHeight="1">
      <c r="B30" s="215"/>
      <c r="C30" s="51"/>
      <c r="D30" s="216"/>
      <c r="E30" s="51"/>
      <c r="F30" s="51"/>
      <c r="G30" s="51"/>
    </row>
    <row r="31" spans="2:7" s="1" customFormat="1" ht="16.5" customHeight="1">
      <c r="B31" s="215"/>
      <c r="C31" s="51"/>
      <c r="D31" s="216"/>
      <c r="E31" s="51"/>
      <c r="F31" s="51"/>
      <c r="G31" s="51"/>
    </row>
    <row r="32" spans="2:7" s="1" customFormat="1" ht="16.5" customHeight="1">
      <c r="B32" s="215"/>
      <c r="C32" s="51"/>
      <c r="D32" s="216"/>
      <c r="E32" s="51"/>
      <c r="F32" s="51"/>
      <c r="G32" s="51"/>
    </row>
    <row r="33" spans="2:7" s="1" customFormat="1" ht="16.5" customHeight="1">
      <c r="B33" s="215"/>
      <c r="C33" s="51"/>
      <c r="D33" s="216"/>
      <c r="E33" s="51"/>
      <c r="F33" s="51"/>
      <c r="G33" s="51"/>
    </row>
    <row r="34" spans="2:7" s="1" customFormat="1" ht="16.5" customHeight="1">
      <c r="B34" s="431"/>
      <c r="C34" s="338"/>
      <c r="D34" s="432"/>
      <c r="E34" s="338"/>
      <c r="F34" s="338"/>
      <c r="G34" s="338"/>
    </row>
    <row r="35" spans="2:7" s="1" customFormat="1" ht="16.5" customHeight="1">
      <c r="B35" s="431"/>
      <c r="C35" s="338"/>
      <c r="D35" s="432"/>
      <c r="E35" s="338"/>
      <c r="F35" s="338"/>
      <c r="G35" s="338"/>
    </row>
    <row r="36" spans="2:7" s="1" customFormat="1" ht="16.5" customHeight="1">
      <c r="B36" s="431"/>
      <c r="C36" s="338"/>
      <c r="D36" s="432"/>
      <c r="E36" s="338"/>
      <c r="F36" s="338"/>
      <c r="G36" s="338"/>
    </row>
    <row r="37" spans="2:7" s="1" customFormat="1" ht="16.5" customHeight="1">
      <c r="B37" s="431"/>
      <c r="C37" s="338"/>
      <c r="D37" s="432"/>
      <c r="E37" s="338"/>
      <c r="F37" s="338"/>
      <c r="G37" s="338"/>
    </row>
    <row r="38" spans="2:7" s="1" customFormat="1" ht="16.5" customHeight="1">
      <c r="B38" s="431"/>
      <c r="C38" s="338"/>
      <c r="D38" s="432"/>
      <c r="E38" s="338"/>
      <c r="F38" s="338"/>
      <c r="G38" s="338"/>
    </row>
    <row r="39" spans="2:7" s="1" customFormat="1" ht="16.5" customHeight="1">
      <c r="B39" s="431"/>
      <c r="C39" s="338"/>
      <c r="D39" s="432"/>
      <c r="E39" s="338"/>
      <c r="F39" s="338"/>
      <c r="G39" s="338"/>
    </row>
    <row r="40" spans="2:7" s="1" customFormat="1" ht="16.5" customHeight="1">
      <c r="B40" s="215"/>
      <c r="C40" s="51"/>
      <c r="D40" s="216"/>
      <c r="E40" s="51"/>
      <c r="F40" s="51"/>
      <c r="G40" s="51"/>
    </row>
    <row r="41" spans="2:7" s="1" customFormat="1" ht="16.5" customHeight="1">
      <c r="B41" s="212" t="s">
        <v>1</v>
      </c>
      <c r="C41" s="213"/>
      <c r="D41" s="214">
        <f>SUBTOTAL(109,ExpAug216229242255[Amount])</f>
        <v>0</v>
      </c>
      <c r="E41" s="213"/>
      <c r="F41" s="213"/>
      <c r="G41" s="212"/>
    </row>
    <row r="42" spans="2:7" s="1" customFormat="1" ht="16.5" customHeight="1">
      <c r="B42" s="36"/>
      <c r="C42" s="36"/>
      <c r="D42" s="36"/>
      <c r="E42" s="36"/>
      <c r="F42" s="56"/>
      <c r="G42" s="36"/>
    </row>
    <row r="44" spans="2:7" s="1" customFormat="1" ht="25.5" customHeight="1">
      <c r="B44" s="205" t="s">
        <v>56</v>
      </c>
      <c r="C44" s="117"/>
      <c r="D44" s="117"/>
      <c r="E44" s="117"/>
      <c r="F44" s="117"/>
      <c r="G44" s="117"/>
    </row>
    <row r="45" spans="2:7" s="1" customFormat="1" ht="16.5" customHeight="1">
      <c r="B45" s="117"/>
      <c r="C45" s="117"/>
      <c r="D45" s="117"/>
      <c r="E45" s="117"/>
      <c r="F45" s="117"/>
      <c r="G45" s="117"/>
    </row>
    <row r="46" spans="2:7" s="1" customFormat="1" ht="16.5" customHeight="1">
      <c r="B46" s="206" t="s">
        <v>50</v>
      </c>
      <c r="C46" s="207" t="s">
        <v>53</v>
      </c>
      <c r="D46" s="206" t="s">
        <v>48</v>
      </c>
      <c r="E46" s="207" t="s">
        <v>47</v>
      </c>
      <c r="F46" s="207" t="s">
        <v>660</v>
      </c>
      <c r="G46" s="206" t="s">
        <v>45</v>
      </c>
    </row>
    <row r="47" spans="2:7" s="1" customFormat="1" ht="16.5" customHeight="1">
      <c r="B47" s="25"/>
      <c r="C47" s="51"/>
      <c r="D47" s="211"/>
      <c r="E47" s="51"/>
      <c r="F47" s="51"/>
      <c r="G47" s="27"/>
    </row>
    <row r="48" spans="2:7" s="1" customFormat="1" ht="16.5" customHeight="1">
      <c r="B48" s="25"/>
      <c r="C48" s="51"/>
      <c r="D48" s="211"/>
      <c r="E48" s="51"/>
      <c r="F48" s="51"/>
      <c r="G48" s="27"/>
    </row>
    <row r="49" spans="2:7" s="1" customFormat="1" ht="16.5" customHeight="1">
      <c r="B49" s="25"/>
      <c r="C49" s="51"/>
      <c r="D49" s="211"/>
      <c r="E49" s="51"/>
      <c r="F49" s="51"/>
      <c r="G49" s="27"/>
    </row>
    <row r="50" spans="2:7" s="1" customFormat="1" ht="16.5" customHeight="1">
      <c r="B50" s="25"/>
      <c r="C50" s="51"/>
      <c r="D50" s="211"/>
      <c r="E50" s="51"/>
      <c r="F50" s="51"/>
      <c r="G50" s="27"/>
    </row>
    <row r="51" spans="2:7" s="1" customFormat="1" ht="16.5" customHeight="1">
      <c r="B51" s="25"/>
      <c r="C51" s="51"/>
      <c r="D51" s="211"/>
      <c r="E51" s="51"/>
      <c r="F51" s="51"/>
      <c r="G51" s="27"/>
    </row>
    <row r="52" spans="2:7" s="1" customFormat="1" ht="16.5" customHeight="1">
      <c r="B52" s="25"/>
      <c r="C52" s="51"/>
      <c r="D52" s="211"/>
      <c r="E52" s="51"/>
      <c r="F52" s="51"/>
      <c r="G52" s="27"/>
    </row>
    <row r="53" spans="2:7" s="1" customFormat="1" ht="16.5" customHeight="1">
      <c r="B53" s="25"/>
      <c r="C53" s="51"/>
      <c r="D53" s="211"/>
      <c r="E53" s="51"/>
      <c r="F53" s="51"/>
      <c r="G53" s="27"/>
    </row>
    <row r="54" spans="2:7" s="1" customFormat="1" ht="16.5" customHeight="1">
      <c r="B54" s="25"/>
      <c r="C54" s="51"/>
      <c r="D54" s="211"/>
      <c r="E54" s="51"/>
      <c r="F54" s="51"/>
      <c r="G54" s="27"/>
    </row>
    <row r="55" spans="2:7" s="1" customFormat="1" ht="16.5" customHeight="1">
      <c r="B55" s="25"/>
      <c r="C55" s="51"/>
      <c r="D55" s="211"/>
      <c r="E55" s="51"/>
      <c r="F55" s="51"/>
      <c r="G55" s="27"/>
    </row>
    <row r="56" spans="2:7" s="1" customFormat="1" ht="16.5" customHeight="1">
      <c r="B56" s="212" t="s">
        <v>1</v>
      </c>
      <c r="C56" s="213"/>
      <c r="D56" s="214">
        <f>SUBTOTAL(109,ExpSep217230243256[Amount])</f>
        <v>0</v>
      </c>
      <c r="E56" s="213"/>
      <c r="F56" s="213"/>
      <c r="G56" s="212"/>
    </row>
    <row r="57" spans="2:7" s="1" customFormat="1" ht="16.5" customHeight="1">
      <c r="B57" s="212"/>
      <c r="C57" s="213"/>
      <c r="D57" s="214"/>
      <c r="E57" s="213"/>
      <c r="F57" s="213"/>
      <c r="G57" s="212"/>
    </row>
    <row r="58" spans="2:7" s="1" customFormat="1" ht="27" customHeight="1">
      <c r="B58" s="205" t="s">
        <v>70</v>
      </c>
      <c r="C58" s="117"/>
      <c r="D58" s="117"/>
      <c r="E58" s="117"/>
      <c r="F58" s="117"/>
      <c r="G58" s="117"/>
    </row>
    <row r="59" spans="2:7" s="1" customFormat="1" ht="16.5" customHeight="1">
      <c r="B59" s="117"/>
      <c r="C59" s="117"/>
      <c r="D59" s="117"/>
      <c r="E59" s="117"/>
      <c r="F59" s="117"/>
      <c r="G59" s="117"/>
    </row>
    <row r="60" spans="2:7" s="1" customFormat="1" ht="16.5" customHeight="1">
      <c r="B60" s="206" t="s">
        <v>50</v>
      </c>
      <c r="C60" s="207" t="s">
        <v>71</v>
      </c>
      <c r="D60" s="206" t="s">
        <v>48</v>
      </c>
      <c r="E60" s="207" t="s">
        <v>47</v>
      </c>
      <c r="F60" s="207" t="s">
        <v>660</v>
      </c>
      <c r="G60" s="206" t="s">
        <v>45</v>
      </c>
    </row>
    <row r="61" spans="2:7" s="1" customFormat="1" ht="16.5" customHeight="1">
      <c r="B61" s="25"/>
      <c r="C61" s="51"/>
      <c r="D61" s="211"/>
      <c r="E61" s="51"/>
      <c r="F61" s="51"/>
      <c r="G61" s="27"/>
    </row>
    <row r="62" spans="2:7" s="1" customFormat="1" ht="16.5" customHeight="1">
      <c r="B62" s="25"/>
      <c r="C62" s="51"/>
      <c r="D62" s="211"/>
      <c r="E62" s="51"/>
      <c r="F62" s="51"/>
      <c r="G62" s="27"/>
    </row>
    <row r="63" spans="2:7" s="1" customFormat="1" ht="16.5" customHeight="1">
      <c r="B63" s="25"/>
      <c r="C63" s="51"/>
      <c r="D63" s="211"/>
      <c r="E63" s="51"/>
      <c r="F63" s="51"/>
      <c r="G63" s="27"/>
    </row>
    <row r="64" spans="2:7" s="1" customFormat="1" ht="16.5" customHeight="1">
      <c r="B64" s="25"/>
      <c r="C64" s="51"/>
      <c r="D64" s="211"/>
      <c r="E64" s="51"/>
      <c r="F64" s="51"/>
      <c r="G64" s="27"/>
    </row>
    <row r="65" spans="2:7" s="1" customFormat="1" ht="16.5" customHeight="1">
      <c r="B65" s="25"/>
      <c r="C65" s="51"/>
      <c r="D65" s="211"/>
      <c r="E65" s="51"/>
      <c r="F65" s="51"/>
      <c r="G65" s="27"/>
    </row>
    <row r="66" spans="2:7" s="1" customFormat="1" ht="16.5" customHeight="1">
      <c r="B66" s="25"/>
      <c r="C66" s="51"/>
      <c r="D66" s="211"/>
      <c r="E66" s="51"/>
      <c r="F66" s="51"/>
      <c r="G66" s="27"/>
    </row>
    <row r="67" spans="2:7" s="1" customFormat="1" ht="16.5" customHeight="1">
      <c r="B67" s="25"/>
      <c r="C67" s="51"/>
      <c r="D67" s="211"/>
      <c r="E67" s="51"/>
      <c r="F67" s="51"/>
      <c r="G67" s="27"/>
    </row>
    <row r="68" spans="2:7" s="1" customFormat="1" ht="16.5" customHeight="1">
      <c r="B68" s="25"/>
      <c r="C68" s="51"/>
      <c r="D68" s="211"/>
      <c r="E68" s="51"/>
      <c r="F68" s="51"/>
      <c r="G68" s="27"/>
    </row>
    <row r="69" spans="2:7" s="1" customFormat="1" ht="16.5" customHeight="1">
      <c r="B69" s="25"/>
      <c r="C69" s="51"/>
      <c r="D69" s="211"/>
      <c r="E69" s="51"/>
      <c r="F69" s="51"/>
      <c r="G69" s="27"/>
    </row>
    <row r="70" spans="2:7" s="1" customFormat="1" ht="16.5" customHeight="1">
      <c r="B70" s="25"/>
      <c r="C70" s="51"/>
      <c r="D70" s="211"/>
      <c r="E70" s="51"/>
      <c r="F70" s="51"/>
      <c r="G70" s="27"/>
    </row>
    <row r="71" spans="2:7" s="1" customFormat="1" ht="16.5" customHeight="1">
      <c r="B71" s="25"/>
      <c r="C71" s="51"/>
      <c r="D71" s="211"/>
      <c r="E71" s="51"/>
      <c r="F71" s="51"/>
      <c r="G71" s="27"/>
    </row>
    <row r="72" spans="2:7" s="1" customFormat="1" ht="16.5" customHeight="1">
      <c r="B72" s="212" t="s">
        <v>1</v>
      </c>
      <c r="C72" s="213"/>
      <c r="D72" s="214">
        <f>SUBTOTAL(109,ExpOct205218231244257[Amount])</f>
        <v>0</v>
      </c>
      <c r="E72" s="213"/>
      <c r="F72" s="213"/>
      <c r="G72" s="212"/>
    </row>
    <row r="73" spans="2:7" s="1" customFormat="1" ht="16.5" customHeight="1">
      <c r="B73" s="212"/>
      <c r="C73" s="213"/>
      <c r="D73" s="214"/>
      <c r="E73" s="213"/>
      <c r="F73" s="213"/>
      <c r="G73" s="212"/>
    </row>
    <row r="74" spans="2:7" s="1" customFormat="1" ht="26.25" customHeight="1">
      <c r="B74" s="205" t="s">
        <v>159</v>
      </c>
      <c r="C74" s="117"/>
      <c r="D74" s="117"/>
      <c r="E74" s="117"/>
      <c r="F74" s="117"/>
      <c r="G74" s="117"/>
    </row>
    <row r="75" spans="2:7" s="1" customFormat="1" ht="16.5" customHeight="1">
      <c r="B75" s="117"/>
      <c r="C75" s="117"/>
      <c r="D75" s="117"/>
      <c r="E75" s="117"/>
      <c r="F75" s="117"/>
      <c r="G75" s="117"/>
    </row>
    <row r="76" spans="2:7" s="1" customFormat="1" ht="16.5" customHeight="1">
      <c r="B76" s="206" t="s">
        <v>50</v>
      </c>
      <c r="C76" s="207" t="s">
        <v>71</v>
      </c>
      <c r="D76" s="206" t="s">
        <v>48</v>
      </c>
      <c r="E76" s="207" t="s">
        <v>47</v>
      </c>
      <c r="F76" s="207" t="s">
        <v>161</v>
      </c>
      <c r="G76" s="206" t="s">
        <v>160</v>
      </c>
    </row>
    <row r="77" spans="2:7" s="1" customFormat="1" ht="16.5" customHeight="1">
      <c r="B77" s="25"/>
      <c r="C77" s="51"/>
      <c r="D77" s="211"/>
      <c r="E77" s="51"/>
      <c r="F77" s="51"/>
      <c r="G77" s="27"/>
    </row>
    <row r="78" spans="2:7" s="1" customFormat="1" ht="16.5" customHeight="1">
      <c r="B78" s="25"/>
      <c r="C78" s="51"/>
      <c r="D78" s="211"/>
      <c r="E78" s="51"/>
      <c r="F78" s="51"/>
      <c r="G78" s="27"/>
    </row>
    <row r="79" spans="2:7" s="1" customFormat="1" ht="16.5" customHeight="1">
      <c r="B79" s="25"/>
      <c r="C79" s="51"/>
      <c r="D79" s="211"/>
      <c r="E79" s="51"/>
      <c r="F79" s="51"/>
      <c r="G79" s="27"/>
    </row>
    <row r="80" spans="2:7" s="1" customFormat="1" ht="16.5" customHeight="1">
      <c r="B80" s="25"/>
      <c r="C80" s="51"/>
      <c r="D80" s="211"/>
      <c r="E80" s="51"/>
      <c r="F80" s="51"/>
      <c r="G80" s="27"/>
    </row>
    <row r="81" spans="2:7" s="1" customFormat="1" ht="16.5" customHeight="1">
      <c r="B81" s="25"/>
      <c r="C81" s="51"/>
      <c r="D81" s="211"/>
      <c r="E81" s="51"/>
      <c r="F81" s="51"/>
      <c r="G81" s="27"/>
    </row>
    <row r="82" spans="2:7" s="1" customFormat="1" ht="16.5" customHeight="1">
      <c r="B82" s="25"/>
      <c r="C82" s="51"/>
      <c r="D82" s="211"/>
      <c r="E82" s="51"/>
      <c r="F82" s="51"/>
      <c r="G82" s="27"/>
    </row>
    <row r="83" spans="2:7" s="1" customFormat="1" ht="16.5" customHeight="1">
      <c r="B83" s="25"/>
      <c r="C83" s="51"/>
      <c r="D83" s="211"/>
      <c r="E83" s="51"/>
      <c r="F83" s="51"/>
      <c r="G83" s="27"/>
    </row>
    <row r="84" spans="2:7" s="1" customFormat="1" ht="16.5" customHeight="1">
      <c r="B84" s="25"/>
      <c r="C84" s="51"/>
      <c r="D84" s="211"/>
      <c r="E84" s="51"/>
      <c r="F84" s="51"/>
      <c r="G84" s="27"/>
    </row>
    <row r="85" spans="2:7" s="1" customFormat="1" ht="16.5" customHeight="1">
      <c r="B85" s="25"/>
      <c r="C85" s="51"/>
      <c r="D85" s="211"/>
      <c r="E85" s="51"/>
      <c r="F85" s="51"/>
      <c r="G85" s="27"/>
    </row>
    <row r="86" spans="2:7" s="1" customFormat="1" ht="16.5" customHeight="1">
      <c r="B86" s="25"/>
      <c r="C86" s="51"/>
      <c r="D86" s="211"/>
      <c r="E86" s="51"/>
      <c r="F86" s="51"/>
      <c r="G86" s="27"/>
    </row>
    <row r="87" spans="2:7" s="1" customFormat="1" ht="16.5" customHeight="1">
      <c r="B87" s="212" t="s">
        <v>1</v>
      </c>
      <c r="C87" s="213"/>
      <c r="D87" s="214">
        <f>SUBTOTAL(109,ExpNov128141154167180193206219232245258[Amount])</f>
        <v>0</v>
      </c>
      <c r="E87" s="213"/>
      <c r="F87" s="213"/>
      <c r="G87" s="212"/>
    </row>
    <row r="89" spans="2:7" s="1" customFormat="1" ht="26.25" customHeight="1">
      <c r="B89" s="205" t="s">
        <v>162</v>
      </c>
      <c r="C89" s="117"/>
      <c r="D89" s="117"/>
      <c r="E89" s="117"/>
      <c r="F89" s="117"/>
      <c r="G89" s="117"/>
    </row>
    <row r="90" spans="2:7" s="1" customFormat="1" ht="16.5" customHeight="1">
      <c r="B90" s="117"/>
      <c r="C90" s="117"/>
      <c r="D90" s="117"/>
      <c r="E90" s="117"/>
      <c r="F90" s="117"/>
      <c r="G90" s="117"/>
    </row>
    <row r="91" spans="2:7" s="1" customFormat="1" ht="16.5" customHeight="1">
      <c r="B91" s="206" t="s">
        <v>50</v>
      </c>
      <c r="C91" s="207" t="s">
        <v>71</v>
      </c>
      <c r="D91" s="206" t="s">
        <v>48</v>
      </c>
      <c r="E91" s="207" t="s">
        <v>47</v>
      </c>
      <c r="F91" s="207" t="s">
        <v>161</v>
      </c>
      <c r="G91" s="206" t="s">
        <v>160</v>
      </c>
    </row>
    <row r="92" spans="2:7" s="1" customFormat="1" ht="16.5" customHeight="1">
      <c r="B92" s="25"/>
      <c r="C92" s="51"/>
      <c r="D92" s="211"/>
      <c r="E92" s="51"/>
      <c r="F92" s="51"/>
      <c r="G92" s="27"/>
    </row>
    <row r="93" spans="2:7" s="1" customFormat="1" ht="16.5" customHeight="1">
      <c r="B93" s="25"/>
      <c r="C93" s="51"/>
      <c r="D93" s="211"/>
      <c r="E93" s="51"/>
      <c r="F93" s="51"/>
      <c r="G93" s="27"/>
    </row>
    <row r="94" spans="2:7" s="1" customFormat="1" ht="16.5" customHeight="1">
      <c r="B94" s="25"/>
      <c r="C94" s="51"/>
      <c r="D94" s="211"/>
      <c r="E94" s="51"/>
      <c r="F94" s="51"/>
      <c r="G94" s="27"/>
    </row>
    <row r="95" spans="2:7" s="1" customFormat="1" ht="16.5" customHeight="1">
      <c r="B95" s="25"/>
      <c r="C95" s="51"/>
      <c r="D95" s="211"/>
      <c r="E95" s="51"/>
      <c r="F95" s="51"/>
      <c r="G95" s="27"/>
    </row>
    <row r="96" spans="2:7" s="1" customFormat="1" ht="16.5" customHeight="1">
      <c r="B96" s="25"/>
      <c r="C96" s="51"/>
      <c r="D96" s="211"/>
      <c r="E96" s="51"/>
      <c r="F96" s="51"/>
      <c r="G96" s="27"/>
    </row>
    <row r="97" spans="2:7" s="1" customFormat="1" ht="16.5" customHeight="1">
      <c r="B97" s="25"/>
      <c r="C97" s="51"/>
      <c r="D97" s="211"/>
      <c r="E97" s="51"/>
      <c r="F97" s="51"/>
      <c r="G97" s="27"/>
    </row>
    <row r="98" spans="2:7" s="1" customFormat="1" ht="16.5" customHeight="1">
      <c r="B98" s="212" t="s">
        <v>1</v>
      </c>
      <c r="C98" s="213"/>
      <c r="D98" s="214">
        <f>SUBTOTAL(109,ExpDec129142155168181194207220233246259[Amount])</f>
        <v>0</v>
      </c>
      <c r="E98" s="213"/>
      <c r="F98" s="213"/>
      <c r="G98" s="212"/>
    </row>
    <row r="100" spans="2:7" s="1" customFormat="1" ht="27.75" customHeight="1">
      <c r="B100" s="205" t="s">
        <v>163</v>
      </c>
      <c r="C100" s="117"/>
      <c r="D100" s="117"/>
      <c r="E100" s="117"/>
      <c r="F100" s="117"/>
      <c r="G100" s="117"/>
    </row>
    <row r="101" spans="2:7" s="1" customFormat="1" ht="16.5" customHeight="1">
      <c r="B101" s="117"/>
      <c r="C101" s="117"/>
      <c r="D101" s="117"/>
      <c r="E101" s="117"/>
      <c r="F101" s="117"/>
      <c r="G101" s="117"/>
    </row>
    <row r="102" spans="2:7" s="1" customFormat="1" ht="16.5" customHeight="1">
      <c r="B102" s="206" t="s">
        <v>50</v>
      </c>
      <c r="C102" s="207" t="s">
        <v>164</v>
      </c>
      <c r="D102" s="206" t="s">
        <v>48</v>
      </c>
      <c r="E102" s="207" t="s">
        <v>47</v>
      </c>
      <c r="F102" s="207" t="s">
        <v>161</v>
      </c>
      <c r="G102" s="206" t="s">
        <v>160</v>
      </c>
    </row>
    <row r="103" spans="2:7" s="1" customFormat="1" ht="16.5" customHeight="1">
      <c r="B103" s="25"/>
      <c r="C103" s="51"/>
      <c r="D103" s="211"/>
      <c r="E103" s="51"/>
      <c r="F103" s="51"/>
      <c r="G103" s="27"/>
    </row>
    <row r="104" spans="2:7" s="1" customFormat="1" ht="16.5" customHeight="1">
      <c r="B104" s="25"/>
      <c r="C104" s="51"/>
      <c r="D104" s="211"/>
      <c r="E104" s="51"/>
      <c r="F104" s="51"/>
      <c r="G104" s="27"/>
    </row>
    <row r="105" spans="2:7" s="1" customFormat="1" ht="16.5" customHeight="1">
      <c r="B105" s="25"/>
      <c r="C105" s="51"/>
      <c r="D105" s="211"/>
      <c r="E105" s="51"/>
      <c r="F105" s="51"/>
      <c r="G105" s="27"/>
    </row>
    <row r="106" spans="2:7" s="1" customFormat="1" ht="16.5" customHeight="1">
      <c r="B106" s="27"/>
      <c r="C106" s="26"/>
      <c r="D106" s="211"/>
      <c r="E106" s="26"/>
      <c r="F106" s="26"/>
      <c r="G106" s="27"/>
    </row>
    <row r="107" spans="2:7" s="1" customFormat="1" ht="16.5" customHeight="1">
      <c r="B107" s="27"/>
      <c r="C107" s="26"/>
      <c r="D107" s="211"/>
      <c r="E107" s="26"/>
      <c r="F107" s="26"/>
      <c r="G107" s="27"/>
    </row>
    <row r="108" spans="2:7" s="1" customFormat="1" ht="16.5" customHeight="1">
      <c r="B108" s="27"/>
      <c r="C108" s="26"/>
      <c r="D108" s="211"/>
      <c r="E108" s="26"/>
      <c r="F108" s="26"/>
      <c r="G108" s="27"/>
    </row>
    <row r="109" spans="2:7" s="1" customFormat="1" ht="16.5" customHeight="1">
      <c r="B109" s="27"/>
      <c r="C109" s="26"/>
      <c r="D109" s="211"/>
      <c r="E109" s="26"/>
      <c r="F109" s="26"/>
      <c r="G109" s="27"/>
    </row>
    <row r="110" spans="2:7" s="1" customFormat="1" ht="16.5" customHeight="1">
      <c r="B110" s="27"/>
      <c r="C110" s="26"/>
      <c r="D110" s="211"/>
      <c r="E110" s="26"/>
      <c r="F110" s="26"/>
      <c r="G110" s="27"/>
    </row>
    <row r="111" spans="2:7" s="1" customFormat="1" ht="16.5" customHeight="1">
      <c r="B111" s="212" t="s">
        <v>1</v>
      </c>
      <c r="C111" s="213"/>
      <c r="D111" s="214">
        <f>SUBTOTAL(109,ExpJan130143156169182195208221234247260[Amount])</f>
        <v>0</v>
      </c>
      <c r="E111" s="213"/>
      <c r="F111" s="213"/>
      <c r="G111" s="212"/>
    </row>
    <row r="113" spans="2:7" s="1" customFormat="1" ht="24.75" customHeight="1">
      <c r="B113" s="205" t="s">
        <v>165</v>
      </c>
      <c r="C113" s="117"/>
      <c r="D113" s="117"/>
      <c r="E113" s="117"/>
      <c r="F113" s="117"/>
      <c r="G113" s="117"/>
    </row>
    <row r="114" spans="2:7" s="1" customFormat="1" ht="16.5" customHeight="1">
      <c r="B114" s="117"/>
      <c r="C114" s="117"/>
      <c r="D114" s="117"/>
      <c r="E114" s="117"/>
      <c r="F114" s="117"/>
      <c r="G114" s="117"/>
    </row>
    <row r="115" spans="2:7" s="1" customFormat="1" ht="16.5" customHeight="1">
      <c r="B115" s="206" t="s">
        <v>50</v>
      </c>
      <c r="C115" s="207" t="s">
        <v>71</v>
      </c>
      <c r="D115" s="206" t="s">
        <v>48</v>
      </c>
      <c r="E115" s="207" t="s">
        <v>47</v>
      </c>
      <c r="F115" s="206" t="s">
        <v>660</v>
      </c>
      <c r="G115" s="206" t="s">
        <v>45</v>
      </c>
    </row>
    <row r="116" spans="2:7" s="1" customFormat="1" ht="16.5" customHeight="1">
      <c r="B116" s="25"/>
      <c r="C116" s="51"/>
      <c r="D116" s="211"/>
      <c r="E116" s="51"/>
      <c r="F116" s="27"/>
      <c r="G116" s="27"/>
    </row>
    <row r="117" spans="2:7" s="1" customFormat="1" ht="16.5" customHeight="1">
      <c r="B117" s="25"/>
      <c r="C117" s="51"/>
      <c r="D117" s="211"/>
      <c r="E117" s="51"/>
      <c r="F117" s="27"/>
      <c r="G117" s="27"/>
    </row>
    <row r="118" spans="2:7" s="1" customFormat="1" ht="16.5" customHeight="1">
      <c r="B118" s="25"/>
      <c r="C118" s="51"/>
      <c r="D118" s="211"/>
      <c r="E118" s="51"/>
      <c r="F118" s="27"/>
      <c r="G118" s="27"/>
    </row>
    <row r="119" spans="2:7" s="1" customFormat="1" ht="16.5" customHeight="1">
      <c r="B119" s="25"/>
      <c r="C119" s="51"/>
      <c r="D119" s="211"/>
      <c r="E119" s="51"/>
      <c r="F119" s="27"/>
      <c r="G119" s="27"/>
    </row>
    <row r="120" spans="2:7" s="1" customFormat="1" ht="16.5" customHeight="1">
      <c r="B120" s="25"/>
      <c r="C120" s="51"/>
      <c r="D120" s="211"/>
      <c r="E120" s="51"/>
      <c r="F120" s="27"/>
      <c r="G120" s="27"/>
    </row>
    <row r="121" spans="2:7" s="1" customFormat="1" ht="16.5" customHeight="1">
      <c r="B121" s="25"/>
      <c r="C121" s="51"/>
      <c r="D121" s="211"/>
      <c r="E121" s="51"/>
      <c r="F121" s="27"/>
      <c r="G121" s="27"/>
    </row>
    <row r="122" spans="2:7" s="1" customFormat="1" ht="16.5" customHeight="1">
      <c r="B122" s="337"/>
      <c r="C122" s="338"/>
      <c r="D122" s="339"/>
      <c r="E122" s="338"/>
      <c r="F122" s="340"/>
      <c r="G122" s="340"/>
    </row>
    <row r="123" spans="2:7" s="1" customFormat="1" ht="16.5" customHeight="1">
      <c r="B123" s="337"/>
      <c r="C123" s="338"/>
      <c r="D123" s="339"/>
      <c r="E123" s="338"/>
      <c r="F123" s="340"/>
      <c r="G123" s="340"/>
    </row>
    <row r="124" spans="2:7" s="1" customFormat="1" ht="16.5" customHeight="1">
      <c r="B124" s="337"/>
      <c r="C124" s="338"/>
      <c r="D124" s="339"/>
      <c r="E124" s="338"/>
      <c r="F124" s="340"/>
      <c r="G124" s="340"/>
    </row>
    <row r="125" spans="2:7" s="1" customFormat="1" ht="16.5" customHeight="1">
      <c r="B125" s="337"/>
      <c r="C125" s="338"/>
      <c r="D125" s="339"/>
      <c r="E125" s="338"/>
      <c r="F125" s="340"/>
      <c r="G125" s="340"/>
    </row>
    <row r="126" spans="2:7" s="1" customFormat="1" ht="16.5" customHeight="1">
      <c r="B126" s="337"/>
      <c r="C126" s="338"/>
      <c r="D126" s="339"/>
      <c r="E126" s="338"/>
      <c r="F126" s="340"/>
      <c r="G126" s="340"/>
    </row>
    <row r="127" spans="2:7" s="1" customFormat="1" ht="16.5" customHeight="1">
      <c r="B127" s="224" t="s">
        <v>1</v>
      </c>
      <c r="C127" s="225"/>
      <c r="D127" s="226">
        <f>SUBTOTAL(109,ExpFeb131144157170183196209222235248261[Amount])</f>
        <v>0</v>
      </c>
      <c r="E127" s="225"/>
      <c r="F127" s="224"/>
      <c r="G127" s="395"/>
    </row>
    <row r="129" spans="2:7" s="1" customFormat="1" ht="24.75" customHeight="1">
      <c r="B129" s="205" t="s">
        <v>166</v>
      </c>
      <c r="C129" s="117"/>
      <c r="D129" s="117"/>
      <c r="E129" s="117"/>
      <c r="F129" s="117"/>
      <c r="G129" s="117"/>
    </row>
    <row r="130" spans="2:7" s="1" customFormat="1" ht="16.5" customHeight="1">
      <c r="B130" s="117"/>
      <c r="C130" s="117"/>
      <c r="D130" s="117"/>
      <c r="E130" s="117"/>
      <c r="F130" s="117"/>
      <c r="G130" s="117"/>
    </row>
    <row r="131" spans="2:7" s="1" customFormat="1" ht="16.5" customHeight="1">
      <c r="B131" s="206" t="s">
        <v>50</v>
      </c>
      <c r="C131" s="207" t="s">
        <v>71</v>
      </c>
      <c r="D131" s="206" t="s">
        <v>48</v>
      </c>
      <c r="E131" s="207" t="s">
        <v>47</v>
      </c>
      <c r="F131" s="207" t="s">
        <v>660</v>
      </c>
      <c r="G131" s="206" t="s">
        <v>45</v>
      </c>
    </row>
    <row r="132" spans="2:7" s="1" customFormat="1" ht="16.5" customHeight="1">
      <c r="B132" s="25"/>
      <c r="C132" s="51"/>
      <c r="D132" s="211"/>
      <c r="E132" s="51"/>
      <c r="F132" s="51"/>
      <c r="G132" s="27"/>
    </row>
    <row r="133" spans="2:7" s="1" customFormat="1" ht="16.5" customHeight="1">
      <c r="B133" s="25"/>
      <c r="C133" s="51"/>
      <c r="D133" s="211"/>
      <c r="E133" s="51"/>
      <c r="F133" s="51"/>
      <c r="G133" s="27"/>
    </row>
    <row r="134" spans="2:7" s="1" customFormat="1" ht="16.5" customHeight="1">
      <c r="B134" s="25"/>
      <c r="C134" s="51"/>
      <c r="D134" s="211"/>
      <c r="E134" s="51"/>
      <c r="F134" s="51"/>
      <c r="G134" s="27"/>
    </row>
    <row r="135" spans="2:7" s="1" customFormat="1" ht="16.5" customHeight="1">
      <c r="B135" s="25"/>
      <c r="C135" s="51"/>
      <c r="D135" s="211"/>
      <c r="E135" s="51"/>
      <c r="F135" s="51"/>
      <c r="G135" s="27"/>
    </row>
    <row r="136" spans="2:7" s="1" customFormat="1" ht="16.5" customHeight="1">
      <c r="B136" s="25"/>
      <c r="C136" s="51"/>
      <c r="D136" s="211"/>
      <c r="E136" s="51"/>
      <c r="F136" s="51"/>
      <c r="G136" s="27"/>
    </row>
    <row r="137" spans="2:7" s="1" customFormat="1" ht="16.5" customHeight="1">
      <c r="B137" s="25"/>
      <c r="C137" s="51"/>
      <c r="D137" s="211"/>
      <c r="E137" s="51"/>
      <c r="F137" s="51"/>
      <c r="G137" s="27"/>
    </row>
    <row r="138" spans="2:7" s="1" customFormat="1" ht="16.5" customHeight="1">
      <c r="B138" s="25"/>
      <c r="C138" s="51"/>
      <c r="D138" s="211"/>
      <c r="E138" s="51"/>
      <c r="F138" s="51"/>
      <c r="G138" s="27"/>
    </row>
    <row r="139" spans="2:7" s="1" customFormat="1" ht="16.5" customHeight="1">
      <c r="B139" s="25"/>
      <c r="C139" s="51"/>
      <c r="D139" s="211"/>
      <c r="E139" s="51"/>
      <c r="F139" s="51"/>
      <c r="G139" s="27"/>
    </row>
    <row r="140" spans="2:7" s="1" customFormat="1" ht="16.5" customHeight="1">
      <c r="B140" s="25"/>
      <c r="C140" s="51"/>
      <c r="D140" s="211"/>
      <c r="E140" s="51"/>
      <c r="F140" s="51"/>
      <c r="G140" s="27"/>
    </row>
    <row r="141" spans="2:7" s="1" customFormat="1" ht="16.5" customHeight="1">
      <c r="B141" s="25"/>
      <c r="C141" s="51"/>
      <c r="D141" s="211"/>
      <c r="E141" s="51"/>
      <c r="F141" s="51"/>
      <c r="G141" s="27"/>
    </row>
    <row r="142" spans="2:7" s="1" customFormat="1" ht="16.5" customHeight="1">
      <c r="B142" s="25"/>
      <c r="C142" s="51"/>
      <c r="D142" s="211"/>
      <c r="E142" s="51"/>
      <c r="F142" s="51"/>
      <c r="G142" s="27"/>
    </row>
    <row r="143" spans="2:7" s="1" customFormat="1" ht="16.5" customHeight="1">
      <c r="B143" s="25"/>
      <c r="C143" s="51"/>
      <c r="D143" s="211"/>
      <c r="E143" s="51"/>
      <c r="F143" s="51"/>
      <c r="G143" s="27"/>
    </row>
    <row r="144" spans="2:7" s="1" customFormat="1" ht="16.5" customHeight="1">
      <c r="B144" s="25"/>
      <c r="C144" s="51"/>
      <c r="D144" s="211"/>
      <c r="E144" s="51"/>
      <c r="F144" s="51"/>
      <c r="G144" s="27"/>
    </row>
    <row r="145" spans="2:7" s="1" customFormat="1" ht="16.5" customHeight="1">
      <c r="B145" s="212" t="s">
        <v>1</v>
      </c>
      <c r="C145" s="213"/>
      <c r="D145" s="214">
        <f>SUBTOTAL(109,ExpMar132145158171184197210223236249262[Amount])</f>
        <v>0</v>
      </c>
      <c r="E145" s="213"/>
      <c r="F145" s="213"/>
      <c r="G145" s="212"/>
    </row>
    <row r="147" spans="2:7" s="1" customFormat="1" ht="24.75" customHeight="1">
      <c r="B147" s="205" t="s">
        <v>167</v>
      </c>
      <c r="C147" s="117"/>
      <c r="D147" s="117"/>
      <c r="E147" s="117"/>
      <c r="F147" s="117"/>
      <c r="G147" s="117"/>
    </row>
    <row r="148" spans="2:7" s="1" customFormat="1" ht="16.5" customHeight="1">
      <c r="B148" s="117"/>
      <c r="C148" s="117"/>
      <c r="D148" s="117"/>
      <c r="E148" s="117"/>
      <c r="F148" s="117"/>
      <c r="G148" s="117"/>
    </row>
    <row r="149" spans="2:7" s="1" customFormat="1" ht="16.5" customHeight="1">
      <c r="B149" s="206" t="s">
        <v>50</v>
      </c>
      <c r="C149" s="207" t="s">
        <v>168</v>
      </c>
      <c r="D149" s="206" t="s">
        <v>48</v>
      </c>
      <c r="E149" s="207" t="s">
        <v>47</v>
      </c>
      <c r="F149" s="207" t="s">
        <v>660</v>
      </c>
      <c r="G149" s="206" t="s">
        <v>45</v>
      </c>
    </row>
    <row r="150" spans="2:7" s="1" customFormat="1" ht="16.5" customHeight="1">
      <c r="B150" s="215"/>
      <c r="C150" s="51"/>
      <c r="D150" s="216"/>
      <c r="E150" s="51"/>
      <c r="F150" s="51"/>
      <c r="G150" s="51"/>
    </row>
    <row r="151" spans="2:7" s="1" customFormat="1" ht="16.5" customHeight="1">
      <c r="B151" s="215"/>
      <c r="C151" s="51"/>
      <c r="D151" s="216"/>
      <c r="E151" s="51"/>
      <c r="F151" s="51"/>
      <c r="G151" s="51"/>
    </row>
    <row r="152" spans="2:7" s="1" customFormat="1" ht="16.5" customHeight="1">
      <c r="B152" s="215"/>
      <c r="C152" s="51"/>
      <c r="D152" s="216"/>
      <c r="E152" s="51"/>
      <c r="F152" s="51"/>
      <c r="G152" s="51"/>
    </row>
    <row r="153" spans="2:7" s="1" customFormat="1" ht="16.5" customHeight="1">
      <c r="B153" s="215"/>
      <c r="C153" s="51"/>
      <c r="D153" s="216"/>
      <c r="E153" s="51"/>
      <c r="F153" s="51"/>
      <c r="G153" s="51"/>
    </row>
    <row r="154" spans="2:7" s="1" customFormat="1" ht="16.5" customHeight="1">
      <c r="B154" s="215"/>
      <c r="C154" s="51"/>
      <c r="D154" s="216"/>
      <c r="E154" s="51"/>
      <c r="F154" s="51"/>
      <c r="G154" s="51"/>
    </row>
    <row r="155" spans="2:7" s="1" customFormat="1" ht="16.5" customHeight="1">
      <c r="B155" s="215"/>
      <c r="C155" s="51"/>
      <c r="D155" s="216"/>
      <c r="E155" s="51"/>
      <c r="F155" s="51"/>
      <c r="G155" s="51"/>
    </row>
    <row r="156" spans="2:7" s="1" customFormat="1" ht="16.5" customHeight="1">
      <c r="B156" s="215"/>
      <c r="C156" s="51"/>
      <c r="D156" s="216"/>
      <c r="E156" s="51"/>
      <c r="F156" s="51"/>
      <c r="G156" s="51"/>
    </row>
    <row r="157" spans="2:7" s="1" customFormat="1" ht="16.5" customHeight="1">
      <c r="B157" s="215"/>
      <c r="C157" s="51"/>
      <c r="D157" s="216"/>
      <c r="E157" s="51"/>
      <c r="F157" s="51"/>
      <c r="G157" s="51"/>
    </row>
    <row r="158" spans="2:7" s="1" customFormat="1" ht="16.5" customHeight="1">
      <c r="B158" s="215"/>
      <c r="C158" s="51"/>
      <c r="D158" s="216"/>
      <c r="E158" s="51"/>
      <c r="F158" s="51"/>
      <c r="G158" s="51"/>
    </row>
    <row r="159" spans="2:7" s="1" customFormat="1" ht="16.5" customHeight="1">
      <c r="B159" s="215"/>
      <c r="C159" s="51"/>
      <c r="D159" s="216"/>
      <c r="E159" s="51"/>
      <c r="F159" s="51"/>
      <c r="G159" s="51"/>
    </row>
    <row r="160" spans="2:7" s="1" customFormat="1" ht="16.5" customHeight="1">
      <c r="B160" s="215"/>
      <c r="C160" s="51"/>
      <c r="D160" s="216"/>
      <c r="E160" s="51"/>
      <c r="F160" s="51"/>
      <c r="G160" s="51"/>
    </row>
    <row r="161" spans="2:7" s="1" customFormat="1" ht="16.5" customHeight="1">
      <c r="B161" s="212" t="s">
        <v>1</v>
      </c>
      <c r="C161" s="213"/>
      <c r="D161" s="214">
        <f>SUBTOTAL(109,ExpApr133146159172185198211224237250263[Amount])</f>
        <v>0</v>
      </c>
      <c r="E161" s="213"/>
      <c r="F161" s="213"/>
      <c r="G161" s="212"/>
    </row>
    <row r="163" spans="2:7" s="1" customFormat="1" ht="26.25" customHeight="1">
      <c r="B163" s="205" t="s">
        <v>169</v>
      </c>
      <c r="C163" s="117"/>
      <c r="D163" s="117"/>
      <c r="E163" s="117"/>
      <c r="F163" s="117"/>
      <c r="G163" s="117"/>
    </row>
    <row r="164" spans="2:7" s="1" customFormat="1" ht="16.5" customHeight="1">
      <c r="B164" s="117"/>
      <c r="C164" s="117"/>
      <c r="D164" s="117"/>
      <c r="E164" s="117"/>
      <c r="F164" s="117"/>
      <c r="G164" s="117"/>
    </row>
    <row r="165" spans="2:7" s="1" customFormat="1" ht="16.5" customHeight="1">
      <c r="B165" s="206" t="s">
        <v>50</v>
      </c>
      <c r="C165" s="207" t="s">
        <v>71</v>
      </c>
      <c r="D165" s="206" t="s">
        <v>48</v>
      </c>
      <c r="E165" s="207" t="s">
        <v>47</v>
      </c>
      <c r="F165" s="207" t="s">
        <v>660</v>
      </c>
      <c r="G165" s="206" t="s">
        <v>45</v>
      </c>
    </row>
    <row r="166" spans="2:7" s="1" customFormat="1" ht="16.5" customHeight="1">
      <c r="B166" s="25"/>
      <c r="C166" s="51"/>
      <c r="D166" s="211"/>
      <c r="E166" s="51"/>
      <c r="F166" s="51"/>
      <c r="G166" s="27"/>
    </row>
    <row r="167" spans="2:7" s="1" customFormat="1" ht="16.5" customHeight="1">
      <c r="B167" s="25"/>
      <c r="C167" s="51"/>
      <c r="D167" s="211"/>
      <c r="E167" s="51"/>
      <c r="F167" s="51"/>
      <c r="G167" s="27"/>
    </row>
    <row r="168" spans="2:7" s="1" customFormat="1" ht="16.5" customHeight="1">
      <c r="B168" s="25"/>
      <c r="C168" s="51"/>
      <c r="D168" s="211"/>
      <c r="E168" s="51"/>
      <c r="F168" s="51"/>
      <c r="G168" s="27"/>
    </row>
    <row r="169" spans="2:7" s="1" customFormat="1" ht="16.5" customHeight="1">
      <c r="B169" s="25"/>
      <c r="C169" s="51"/>
      <c r="D169" s="211"/>
      <c r="E169" s="51"/>
      <c r="F169" s="51"/>
      <c r="G169" s="27"/>
    </row>
    <row r="170" spans="2:7" s="1" customFormat="1" ht="16.5" customHeight="1">
      <c r="B170" s="25"/>
      <c r="C170" s="51"/>
      <c r="D170" s="211"/>
      <c r="E170" s="51"/>
      <c r="F170" s="51"/>
      <c r="G170" s="27"/>
    </row>
    <row r="171" spans="2:7" s="1" customFormat="1" ht="16.5" customHeight="1">
      <c r="B171" s="25"/>
      <c r="C171" s="51"/>
      <c r="D171" s="211"/>
      <c r="E171" s="51"/>
      <c r="F171" s="51"/>
      <c r="G171" s="27"/>
    </row>
    <row r="172" spans="2:7" s="1" customFormat="1" ht="16.5" customHeight="1">
      <c r="B172" s="25"/>
      <c r="C172" s="51"/>
      <c r="D172" s="211"/>
      <c r="E172" s="51"/>
      <c r="F172" s="51"/>
      <c r="G172" s="27"/>
    </row>
    <row r="173" spans="2:7" s="1" customFormat="1" ht="16.5" customHeight="1">
      <c r="B173" s="25"/>
      <c r="C173" s="51"/>
      <c r="D173" s="211"/>
      <c r="E173" s="51"/>
      <c r="F173" s="51"/>
      <c r="G173" s="27"/>
    </row>
    <row r="174" spans="2:7" s="1" customFormat="1" ht="16.5" customHeight="1">
      <c r="B174" s="25"/>
      <c r="C174" s="51"/>
      <c r="D174" s="211"/>
      <c r="E174" s="51"/>
      <c r="F174" s="51"/>
      <c r="G174" s="27"/>
    </row>
    <row r="175" spans="2:7" s="1" customFormat="1" ht="16.5" customHeight="1">
      <c r="B175" s="25"/>
      <c r="C175" s="51"/>
      <c r="D175" s="211"/>
      <c r="E175" s="51"/>
      <c r="F175" s="51"/>
      <c r="G175" s="27"/>
    </row>
    <row r="176" spans="2:7" s="1" customFormat="1" ht="16.5" customHeight="1">
      <c r="B176" s="25"/>
      <c r="C176" s="51"/>
      <c r="D176" s="211"/>
      <c r="E176" s="51"/>
      <c r="F176" s="51"/>
      <c r="G176" s="27"/>
    </row>
    <row r="177" spans="2:7" s="1" customFormat="1" ht="16.5" customHeight="1">
      <c r="B177" s="25"/>
      <c r="C177" s="51"/>
      <c r="D177" s="211"/>
      <c r="E177" s="51"/>
      <c r="F177" s="51"/>
      <c r="G177" s="27"/>
    </row>
    <row r="178" spans="2:7" s="1" customFormat="1" ht="16.5" customHeight="1">
      <c r="B178" s="224" t="s">
        <v>1</v>
      </c>
      <c r="C178" s="225"/>
      <c r="D178" s="226">
        <f>SUBTOTAL(109,ExpMay134147160173186199212225238251264[Amount])</f>
        <v>0</v>
      </c>
      <c r="E178" s="225"/>
      <c r="F178" s="225"/>
      <c r="G178" s="224"/>
    </row>
    <row r="180" spans="2:7" s="1" customFormat="1" ht="26.25" customHeight="1">
      <c r="B180" s="205" t="s">
        <v>170</v>
      </c>
      <c r="C180" s="117"/>
      <c r="D180" s="117"/>
      <c r="E180" s="117"/>
      <c r="F180" s="117"/>
      <c r="G180" s="117"/>
    </row>
    <row r="181" spans="2:7" s="1" customFormat="1" ht="16.5" customHeight="1">
      <c r="B181" s="117"/>
      <c r="C181" s="117"/>
      <c r="D181" s="117"/>
      <c r="E181" s="117"/>
      <c r="F181" s="117"/>
      <c r="G181" s="117"/>
    </row>
    <row r="182" spans="2:7" s="1" customFormat="1" ht="16.5" customHeight="1">
      <c r="B182" s="206" t="s">
        <v>50</v>
      </c>
      <c r="C182" s="207" t="s">
        <v>155</v>
      </c>
      <c r="D182" s="206" t="s">
        <v>48</v>
      </c>
      <c r="E182" s="207" t="s">
        <v>47</v>
      </c>
      <c r="F182" s="207" t="s">
        <v>660</v>
      </c>
      <c r="G182" s="206" t="s">
        <v>45</v>
      </c>
    </row>
    <row r="183" spans="2:7" s="1" customFormat="1" ht="16.5" customHeight="1">
      <c r="B183" s="215"/>
      <c r="C183" s="51"/>
      <c r="D183" s="216"/>
      <c r="E183" s="51"/>
      <c r="F183" s="51"/>
      <c r="G183" s="51"/>
    </row>
    <row r="184" spans="2:7" s="1" customFormat="1" ht="16.5" customHeight="1">
      <c r="B184" s="215"/>
      <c r="C184" s="51"/>
      <c r="D184" s="216"/>
      <c r="E184" s="51"/>
      <c r="F184" s="51"/>
      <c r="G184" s="51"/>
    </row>
    <row r="185" spans="2:7" s="1" customFormat="1" ht="16.5" customHeight="1">
      <c r="B185" s="215"/>
      <c r="C185" s="51"/>
      <c r="D185" s="216"/>
      <c r="E185" s="51"/>
      <c r="F185" s="51"/>
      <c r="G185" s="51"/>
    </row>
    <row r="186" spans="2:7" s="1" customFormat="1" ht="16.5" customHeight="1">
      <c r="B186" s="215"/>
      <c r="C186" s="51"/>
      <c r="D186" s="216"/>
      <c r="E186" s="51"/>
      <c r="F186" s="51"/>
      <c r="G186" s="51"/>
    </row>
    <row r="187" spans="2:7" s="1" customFormat="1" ht="16.5" customHeight="1">
      <c r="B187" s="215"/>
      <c r="C187" s="51"/>
      <c r="D187" s="216"/>
      <c r="E187" s="51"/>
      <c r="F187" s="51"/>
      <c r="G187" s="51"/>
    </row>
    <row r="188" spans="2:7" s="1" customFormat="1" ht="16.5" customHeight="1">
      <c r="B188" s="215"/>
      <c r="C188" s="51"/>
      <c r="D188" s="216"/>
      <c r="E188" s="51"/>
      <c r="F188" s="51"/>
      <c r="G188" s="51"/>
    </row>
    <row r="189" spans="2:7" s="1" customFormat="1" ht="16.5" customHeight="1">
      <c r="B189" s="215"/>
      <c r="C189" s="51"/>
      <c r="D189" s="216"/>
      <c r="E189" s="51"/>
      <c r="F189" s="51"/>
      <c r="G189" s="51"/>
    </row>
    <row r="190" spans="2:7" s="1" customFormat="1" ht="16.5" customHeight="1">
      <c r="B190" s="215"/>
      <c r="C190" s="51"/>
      <c r="D190" s="216"/>
      <c r="E190" s="51"/>
      <c r="F190" s="51"/>
      <c r="G190" s="51"/>
    </row>
    <row r="191" spans="2:7" s="1" customFormat="1" ht="16.5" customHeight="1">
      <c r="B191" s="215"/>
      <c r="C191" s="51"/>
      <c r="D191" s="216"/>
      <c r="E191" s="51"/>
      <c r="F191" s="51"/>
      <c r="G191" s="51"/>
    </row>
    <row r="192" spans="2:7" s="1" customFormat="1" ht="16.5" customHeight="1">
      <c r="B192" s="215"/>
      <c r="C192" s="51"/>
      <c r="D192" s="216"/>
      <c r="E192" s="51"/>
      <c r="F192" s="51"/>
      <c r="G192" s="51"/>
    </row>
    <row r="193" spans="2:7" s="1" customFormat="1" ht="16.5" customHeight="1">
      <c r="B193" s="215"/>
      <c r="C193" s="51"/>
      <c r="D193" s="216"/>
      <c r="E193" s="51"/>
      <c r="F193" s="51"/>
      <c r="G193" s="51"/>
    </row>
    <row r="194" spans="2:7" s="1" customFormat="1" ht="16.5" customHeight="1">
      <c r="B194" s="224" t="s">
        <v>1</v>
      </c>
      <c r="C194" s="225"/>
      <c r="D194" s="226">
        <f>SUBTOTAL(109,ExpJun135148161174187200213226239252265[Amount])</f>
        <v>0</v>
      </c>
      <c r="E194" s="225"/>
      <c r="F194" s="225"/>
      <c r="G194" s="224"/>
    </row>
  </sheetData>
  <dataValidations count="14">
    <dataValidation type="custom" errorStyle="warning" allowBlank="1" showInputMessage="1" showErrorMessage="1" errorTitle="Date Validation" error="A date in October needs be entered  in order for this expense to be added to the Summary sheet." sqref="B61:B71">
      <formula1>MONTH($B61)=10</formula1>
    </dataValidation>
    <dataValidation type="custom" errorStyle="warning" allowBlank="1" showInputMessage="1" showErrorMessage="1" errorTitle="Date Validation" error="A date in November needs be entered  in order for this expense to be added to the Summary sheet." sqref="B77:B86">
      <formula1>MONTH($B77)=11</formula1>
    </dataValidation>
    <dataValidation type="custom" errorStyle="warning" allowBlank="1" showInputMessage="1" showErrorMessage="1" errorTitle="Date Validation" error="A date in December needs be entered  in order for this expense to be added to the Summary sheet." sqref="B92:B97">
      <formula1>MONTH($B92)=12</formula1>
    </dataValidation>
    <dataValidation type="custom" errorStyle="warning" allowBlank="1" showInputMessage="1" showErrorMessage="1" errorTitle="Date Validation" error="A date in January needs be entered in order for this expense to be added to the Summary sheet." sqref="B103:B110">
      <formula1>MONTH($B103)=1</formula1>
    </dataValidation>
    <dataValidation type="custom" errorStyle="warning" allowBlank="1" showInputMessage="1" showErrorMessage="1" errorTitle="Date Validation" error="A date in February needs be entered in order for this expense to be added to the Summary sheet." sqref="B116:B126">
      <formula1>MONTH($B116)=2</formula1>
    </dataValidation>
    <dataValidation type="custom" errorStyle="warning" allowBlank="1" showInputMessage="1" showErrorMessage="1" errorTitle="Date Validation" error="A date in March needs be entered in order for this expense to be added to the Summary sheet." sqref="B132:B144">
      <formula1>MONTH($B132)=3</formula1>
    </dataValidation>
    <dataValidation type="custom" errorStyle="warning" allowBlank="1" showInputMessage="1" showErrorMessage="1" errorTitle="Date Validation" error="A date in April needs be entered  in order for this expense to be added to the Summary sheet." sqref="B150:B160">
      <formula1>MONTH($B150)=4</formula1>
    </dataValidation>
    <dataValidation type="custom" errorStyle="warning" allowBlank="1" showInputMessage="1" showErrorMessage="1" errorTitle="Date Validation" error="A date in May needs be entered  in order for this expense to be added to the Summary sheet." sqref="B166:B177">
      <formula1>MONTH($B166)=5</formula1>
    </dataValidation>
    <dataValidation type="custom" errorStyle="warning" allowBlank="1" showInputMessage="1" showErrorMessage="1" errorTitle="Date Validation" error="A date in June needs be entered  in order for this expense to be added to the Summary sheet." sqref="B183:B193">
      <formula1>MONTH($B183)=6</formula1>
    </dataValidation>
    <dataValidation type="custom" errorStyle="warning" allowBlank="1" showInputMessage="1" showErrorMessage="1" errorTitle="Date Validation" error="A date in September needs be entered  in order for this expense to be added to the Summary sheet." sqref="B47:B55">
      <formula1>MONTH($B47)=9</formula1>
    </dataValidation>
    <dataValidation type="custom" errorStyle="warning" allowBlank="1" showInputMessage="1" showErrorMessage="1" errorTitle="Date Validation" error="A date in August needs be entered  in order for this expense to be added to the Summary sheet." sqref="B23:B40">
      <formula1>MONTH($B23)=8</formula1>
    </dataValidation>
    <dataValidation type="list" errorStyle="warning" allowBlank="1" showInputMessage="1" showErrorMessage="1" errorTitle="Unknown Category" error="An expense from the drop down should be selected in order for it to be included on the Summary sheet." sqref="E5:F17 E19:F19 E23:F40 E47:F55 E61:F71 E77:F86 E92:F97 E103:F110 E116:E126 E132:F144 E150:F160 E166:F177 E183:F193">
      <formula1>ExpenseCategories</formula1>
    </dataValidation>
    <dataValidation type="custom" errorStyle="warning" allowBlank="1" showInputMessage="1" showErrorMessage="1" errorTitle="Date Validation" error="A date in July needs be entered  in order for this expense to be added to the Summary sheet." sqref="B5:B17 B19">
      <formula1>MONTH($B5)=7</formula1>
    </dataValidation>
    <dataValidation type="custom" errorStyle="warning" allowBlank="1" showInputMessage="1" showErrorMessage="1" errorTitle="Amount Validation" error="Amount should be a number." sqref="D5:D17 D19 D23:D40 D47:D55 D61:D71 D77:D86 D92:D97 D103:D110 D116:D126 D132:D144 D150:D160 D166:D177 D183:D193">
      <formula1>ISNUMBER($D5)</formula1>
    </dataValidation>
  </dataValidations>
  <printOptions horizontalCentered="1"/>
  <pageMargins left="0.25" right="0.25" top="0.75" bottom="0.75" header="0.3" footer="0.3"/>
  <pageSetup fitToHeight="0"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80"/>
  <sheetViews>
    <sheetView workbookViewId="0">
      <selection activeCell="I56" sqref="I56"/>
    </sheetView>
  </sheetViews>
  <sheetFormatPr defaultColWidth="9.140625" defaultRowHeight="12.75"/>
  <cols>
    <col min="1" max="1" width="16.140625" style="260" customWidth="1"/>
    <col min="2" max="2" width="13.42578125" style="260" customWidth="1"/>
    <col min="3" max="3" width="11.42578125" style="260" customWidth="1"/>
    <col min="4" max="4" width="14" style="260" customWidth="1"/>
    <col min="5" max="5" width="14.140625" style="260" customWidth="1"/>
    <col min="6" max="6" width="12.7109375" style="260" customWidth="1"/>
    <col min="7" max="7" width="13.28515625" style="260" customWidth="1"/>
    <col min="8" max="16384" width="9.140625" style="260"/>
  </cols>
  <sheetData>
    <row r="1" spans="1:7" ht="13.5" customHeight="1">
      <c r="A1" s="278" t="s">
        <v>155</v>
      </c>
      <c r="B1" s="279" t="s">
        <v>154</v>
      </c>
      <c r="C1" s="280"/>
      <c r="D1" s="279" t="s">
        <v>153</v>
      </c>
      <c r="E1" s="280"/>
      <c r="F1" s="279" t="s">
        <v>152</v>
      </c>
      <c r="G1" s="280"/>
    </row>
    <row r="2" spans="1:7" ht="22.5">
      <c r="A2" s="516"/>
      <c r="B2" s="517" t="str">
        <f t="shared" ref="B2:B39" si="0">D1</f>
        <v>Current PM Date &amp; Mileage</v>
      </c>
      <c r="C2" s="361"/>
      <c r="D2" s="518"/>
      <c r="E2" s="352"/>
      <c r="F2" s="519">
        <f t="shared" ref="F2:F39" si="1">SUM(E2-E1)</f>
        <v>0</v>
      </c>
      <c r="G2" s="520"/>
    </row>
    <row r="3" spans="1:7">
      <c r="A3" s="516"/>
      <c r="B3" s="354">
        <f t="shared" si="0"/>
        <v>0</v>
      </c>
      <c r="C3" s="355"/>
      <c r="D3" s="521" t="s">
        <v>1558</v>
      </c>
      <c r="E3" s="357">
        <v>5113</v>
      </c>
      <c r="F3" s="358">
        <f t="shared" si="1"/>
        <v>5113</v>
      </c>
      <c r="G3" s="359" t="b">
        <f t="shared" ref="G3:G27" si="2">IF(F3&gt;5250,"OVER")</f>
        <v>0</v>
      </c>
    </row>
    <row r="4" spans="1:7">
      <c r="A4" s="516">
        <v>9769</v>
      </c>
      <c r="B4" s="354" t="str">
        <f t="shared" si="0"/>
        <v>4.19.16</v>
      </c>
      <c r="C4" s="355">
        <v>5113</v>
      </c>
      <c r="D4" s="521" t="s">
        <v>210</v>
      </c>
      <c r="E4" s="357">
        <v>10095</v>
      </c>
      <c r="F4" s="358">
        <f t="shared" si="1"/>
        <v>4982</v>
      </c>
      <c r="G4" s="359" t="b">
        <f t="shared" si="2"/>
        <v>0</v>
      </c>
    </row>
    <row r="5" spans="1:7">
      <c r="A5" s="516">
        <v>9830</v>
      </c>
      <c r="B5" s="354" t="str">
        <f t="shared" si="0"/>
        <v>5.27.16</v>
      </c>
      <c r="C5" s="355">
        <v>10095</v>
      </c>
      <c r="D5" s="521" t="s">
        <v>1557</v>
      </c>
      <c r="E5" s="357">
        <v>15063</v>
      </c>
      <c r="F5" s="358">
        <f t="shared" si="1"/>
        <v>4968</v>
      </c>
      <c r="G5" s="359" t="b">
        <f t="shared" si="2"/>
        <v>0</v>
      </c>
    </row>
    <row r="6" spans="1:7">
      <c r="A6" s="516">
        <v>9891</v>
      </c>
      <c r="B6" s="354" t="str">
        <f t="shared" si="0"/>
        <v>7.1.16</v>
      </c>
      <c r="C6" s="355">
        <v>15063</v>
      </c>
      <c r="D6" s="521" t="s">
        <v>1556</v>
      </c>
      <c r="E6" s="357">
        <v>20121</v>
      </c>
      <c r="F6" s="358">
        <f t="shared" si="1"/>
        <v>5058</v>
      </c>
      <c r="G6" s="359" t="b">
        <f t="shared" si="2"/>
        <v>0</v>
      </c>
    </row>
    <row r="7" spans="1:7">
      <c r="A7" s="516">
        <v>9952</v>
      </c>
      <c r="B7" s="354" t="str">
        <f t="shared" si="0"/>
        <v>8.4.16</v>
      </c>
      <c r="C7" s="355">
        <v>20121</v>
      </c>
      <c r="D7" s="521" t="s">
        <v>1555</v>
      </c>
      <c r="E7" s="357">
        <v>25103</v>
      </c>
      <c r="F7" s="358">
        <f t="shared" si="1"/>
        <v>4982</v>
      </c>
      <c r="G7" s="359" t="b">
        <f t="shared" si="2"/>
        <v>0</v>
      </c>
    </row>
    <row r="8" spans="1:7">
      <c r="A8" s="516">
        <v>10021</v>
      </c>
      <c r="B8" s="354" t="str">
        <f t="shared" si="0"/>
        <v>9.8.16</v>
      </c>
      <c r="C8" s="355">
        <v>25103</v>
      </c>
      <c r="D8" s="521" t="s">
        <v>1554</v>
      </c>
      <c r="E8" s="357">
        <v>30140</v>
      </c>
      <c r="F8" s="358">
        <f t="shared" si="1"/>
        <v>5037</v>
      </c>
      <c r="G8" s="359" t="b">
        <f t="shared" si="2"/>
        <v>0</v>
      </c>
    </row>
    <row r="9" spans="1:7">
      <c r="A9" s="516">
        <v>10118</v>
      </c>
      <c r="B9" s="354" t="str">
        <f t="shared" si="0"/>
        <v>10.28.16</v>
      </c>
      <c r="C9" s="355">
        <v>30140</v>
      </c>
      <c r="D9" s="521" t="s">
        <v>1553</v>
      </c>
      <c r="E9" s="357">
        <v>34955</v>
      </c>
      <c r="F9" s="358">
        <f t="shared" si="1"/>
        <v>4815</v>
      </c>
      <c r="G9" s="359" t="b">
        <f t="shared" si="2"/>
        <v>0</v>
      </c>
    </row>
    <row r="10" spans="1:7">
      <c r="A10" s="516">
        <v>10167</v>
      </c>
      <c r="B10" s="354" t="str">
        <f t="shared" si="0"/>
        <v>11.28.16</v>
      </c>
      <c r="C10" s="355">
        <v>34955</v>
      </c>
      <c r="D10" s="521" t="s">
        <v>1552</v>
      </c>
      <c r="E10" s="357">
        <v>39927</v>
      </c>
      <c r="F10" s="358">
        <f t="shared" si="1"/>
        <v>4972</v>
      </c>
      <c r="G10" s="359" t="b">
        <f t="shared" si="2"/>
        <v>0</v>
      </c>
    </row>
    <row r="11" spans="1:7">
      <c r="A11" s="516">
        <v>10214</v>
      </c>
      <c r="B11" s="354" t="str">
        <f t="shared" si="0"/>
        <v>12.30.16</v>
      </c>
      <c r="C11" s="355">
        <v>39927</v>
      </c>
      <c r="D11" s="521" t="s">
        <v>1551</v>
      </c>
      <c r="E11" s="357">
        <v>44789</v>
      </c>
      <c r="F11" s="358">
        <f t="shared" si="1"/>
        <v>4862</v>
      </c>
      <c r="G11" s="359" t="b">
        <f t="shared" si="2"/>
        <v>0</v>
      </c>
    </row>
    <row r="12" spans="1:7">
      <c r="A12" s="516">
        <v>10273</v>
      </c>
      <c r="B12" s="354" t="str">
        <f t="shared" si="0"/>
        <v>1.31.17</v>
      </c>
      <c r="C12" s="355">
        <v>44789</v>
      </c>
      <c r="D12" s="521" t="s">
        <v>1550</v>
      </c>
      <c r="E12" s="357">
        <v>49898</v>
      </c>
      <c r="F12" s="358">
        <f t="shared" si="1"/>
        <v>5109</v>
      </c>
      <c r="G12" s="359" t="b">
        <f t="shared" si="2"/>
        <v>0</v>
      </c>
    </row>
    <row r="13" spans="1:7">
      <c r="A13" s="516">
        <v>10338</v>
      </c>
      <c r="B13" s="354" t="str">
        <f t="shared" si="0"/>
        <v>3.4.17</v>
      </c>
      <c r="C13" s="355">
        <v>49898</v>
      </c>
      <c r="D13" s="521" t="s">
        <v>1549</v>
      </c>
      <c r="E13" s="357">
        <v>54864</v>
      </c>
      <c r="F13" s="358">
        <f t="shared" si="1"/>
        <v>4966</v>
      </c>
      <c r="G13" s="359" t="b">
        <f t="shared" si="2"/>
        <v>0</v>
      </c>
    </row>
    <row r="14" spans="1:7">
      <c r="A14" s="516">
        <v>10392</v>
      </c>
      <c r="B14" s="354" t="str">
        <f t="shared" si="0"/>
        <v>4.3.17</v>
      </c>
      <c r="C14" s="355">
        <v>54864</v>
      </c>
      <c r="D14" s="521" t="s">
        <v>1548</v>
      </c>
      <c r="E14" s="357">
        <v>59813</v>
      </c>
      <c r="F14" s="358">
        <f t="shared" si="1"/>
        <v>4949</v>
      </c>
      <c r="G14" s="359" t="b">
        <f t="shared" si="2"/>
        <v>0</v>
      </c>
    </row>
    <row r="15" spans="1:7">
      <c r="A15" s="516">
        <v>10458</v>
      </c>
      <c r="B15" s="354" t="str">
        <f t="shared" si="0"/>
        <v>5.5.17</v>
      </c>
      <c r="C15" s="355">
        <v>59813</v>
      </c>
      <c r="D15" s="521"/>
      <c r="E15" s="538"/>
      <c r="F15" s="358">
        <f t="shared" si="1"/>
        <v>-59813</v>
      </c>
      <c r="G15" s="359" t="b">
        <f t="shared" si="2"/>
        <v>0</v>
      </c>
    </row>
    <row r="16" spans="1:7">
      <c r="A16" s="516"/>
      <c r="B16" s="354">
        <f t="shared" si="0"/>
        <v>0</v>
      </c>
      <c r="C16" s="361"/>
      <c r="D16" s="522"/>
      <c r="E16" s="363"/>
      <c r="F16" s="358">
        <f t="shared" si="1"/>
        <v>0</v>
      </c>
      <c r="G16" s="359" t="b">
        <f t="shared" si="2"/>
        <v>0</v>
      </c>
    </row>
    <row r="17" spans="1:7" ht="13.5" thickBot="1">
      <c r="A17" s="523"/>
      <c r="B17" s="354">
        <f t="shared" si="0"/>
        <v>0</v>
      </c>
      <c r="C17" s="365"/>
      <c r="D17" s="524"/>
      <c r="E17" s="367"/>
      <c r="F17" s="358">
        <f t="shared" si="1"/>
        <v>0</v>
      </c>
      <c r="G17" s="359" t="b">
        <f t="shared" si="2"/>
        <v>0</v>
      </c>
    </row>
    <row r="18" spans="1:7" ht="13.5" thickBot="1">
      <c r="A18" s="525"/>
      <c r="B18" s="354">
        <f t="shared" si="0"/>
        <v>0</v>
      </c>
      <c r="C18" s="370"/>
      <c r="D18" s="526"/>
      <c r="E18" s="372"/>
      <c r="F18" s="358">
        <f t="shared" si="1"/>
        <v>0</v>
      </c>
      <c r="G18" s="359" t="b">
        <f t="shared" si="2"/>
        <v>0</v>
      </c>
    </row>
    <row r="19" spans="1:7">
      <c r="A19" s="527"/>
      <c r="B19" s="354">
        <f t="shared" si="0"/>
        <v>0</v>
      </c>
      <c r="C19" s="375"/>
      <c r="D19" s="528"/>
      <c r="E19" s="377"/>
      <c r="F19" s="358">
        <f t="shared" si="1"/>
        <v>0</v>
      </c>
      <c r="G19" s="359" t="b">
        <f t="shared" si="2"/>
        <v>0</v>
      </c>
    </row>
    <row r="20" spans="1:7">
      <c r="A20" s="516"/>
      <c r="B20" s="354">
        <f t="shared" si="0"/>
        <v>0</v>
      </c>
      <c r="C20" s="355"/>
      <c r="D20" s="521"/>
      <c r="E20" s="357"/>
      <c r="F20" s="358">
        <f t="shared" si="1"/>
        <v>0</v>
      </c>
      <c r="G20" s="359" t="b">
        <f t="shared" si="2"/>
        <v>0</v>
      </c>
    </row>
    <row r="21" spans="1:7">
      <c r="A21" s="516"/>
      <c r="B21" s="354">
        <f t="shared" si="0"/>
        <v>0</v>
      </c>
      <c r="C21" s="355"/>
      <c r="D21" s="521"/>
      <c r="E21" s="357"/>
      <c r="F21" s="358">
        <f t="shared" si="1"/>
        <v>0</v>
      </c>
      <c r="G21" s="359" t="b">
        <f t="shared" si="2"/>
        <v>0</v>
      </c>
    </row>
    <row r="22" spans="1:7">
      <c r="A22" s="516"/>
      <c r="B22" s="354">
        <f t="shared" si="0"/>
        <v>0</v>
      </c>
      <c r="C22" s="355"/>
      <c r="D22" s="521"/>
      <c r="E22" s="357"/>
      <c r="F22" s="358">
        <f t="shared" si="1"/>
        <v>0</v>
      </c>
      <c r="G22" s="359" t="b">
        <f t="shared" si="2"/>
        <v>0</v>
      </c>
    </row>
    <row r="23" spans="1:7">
      <c r="A23" s="516"/>
      <c r="B23" s="354">
        <f t="shared" si="0"/>
        <v>0</v>
      </c>
      <c r="C23" s="355"/>
      <c r="D23" s="521"/>
      <c r="E23" s="357"/>
      <c r="F23" s="358">
        <f t="shared" si="1"/>
        <v>0</v>
      </c>
      <c r="G23" s="359" t="b">
        <f t="shared" si="2"/>
        <v>0</v>
      </c>
    </row>
    <row r="24" spans="1:7">
      <c r="A24" s="516"/>
      <c r="B24" s="354">
        <f t="shared" si="0"/>
        <v>0</v>
      </c>
      <c r="C24" s="355"/>
      <c r="D24" s="521"/>
      <c r="E24" s="357"/>
      <c r="F24" s="358">
        <f t="shared" si="1"/>
        <v>0</v>
      </c>
      <c r="G24" s="359" t="b">
        <f t="shared" si="2"/>
        <v>0</v>
      </c>
    </row>
    <row r="25" spans="1:7">
      <c r="A25" s="516"/>
      <c r="B25" s="354">
        <f t="shared" si="0"/>
        <v>0</v>
      </c>
      <c r="C25" s="355"/>
      <c r="D25" s="521"/>
      <c r="E25" s="357"/>
      <c r="F25" s="358">
        <f t="shared" si="1"/>
        <v>0</v>
      </c>
      <c r="G25" s="359" t="b">
        <f t="shared" si="2"/>
        <v>0</v>
      </c>
    </row>
    <row r="26" spans="1:7">
      <c r="A26" s="516"/>
      <c r="B26" s="354">
        <f t="shared" si="0"/>
        <v>0</v>
      </c>
      <c r="C26" s="355"/>
      <c r="D26" s="521"/>
      <c r="E26" s="357"/>
      <c r="F26" s="358">
        <f t="shared" si="1"/>
        <v>0</v>
      </c>
      <c r="G26" s="359" t="b">
        <f t="shared" si="2"/>
        <v>0</v>
      </c>
    </row>
    <row r="27" spans="1:7">
      <c r="A27" s="516"/>
      <c r="B27" s="354">
        <f t="shared" si="0"/>
        <v>0</v>
      </c>
      <c r="C27" s="355"/>
      <c r="D27" s="521"/>
      <c r="E27" s="357"/>
      <c r="F27" s="358">
        <f t="shared" si="1"/>
        <v>0</v>
      </c>
      <c r="G27" s="359" t="b">
        <f t="shared" si="2"/>
        <v>0</v>
      </c>
    </row>
    <row r="28" spans="1:7">
      <c r="A28" s="516"/>
      <c r="B28" s="354">
        <f t="shared" si="0"/>
        <v>0</v>
      </c>
      <c r="C28" s="355"/>
      <c r="D28" s="521"/>
      <c r="E28" s="357"/>
      <c r="F28" s="358">
        <f t="shared" si="1"/>
        <v>0</v>
      </c>
      <c r="G28" s="359"/>
    </row>
    <row r="29" spans="1:7">
      <c r="A29" s="516"/>
      <c r="B29" s="354">
        <f t="shared" si="0"/>
        <v>0</v>
      </c>
      <c r="C29" s="355"/>
      <c r="D29" s="521"/>
      <c r="E29" s="357"/>
      <c r="F29" s="358">
        <f t="shared" si="1"/>
        <v>0</v>
      </c>
      <c r="G29" s="359"/>
    </row>
    <row r="30" spans="1:7">
      <c r="A30" s="516"/>
      <c r="B30" s="354">
        <f t="shared" si="0"/>
        <v>0</v>
      </c>
      <c r="C30" s="355"/>
      <c r="D30" s="521"/>
      <c r="E30" s="357"/>
      <c r="F30" s="358">
        <f t="shared" si="1"/>
        <v>0</v>
      </c>
      <c r="G30" s="359"/>
    </row>
    <row r="31" spans="1:7">
      <c r="A31" s="516"/>
      <c r="B31" s="354">
        <f t="shared" si="0"/>
        <v>0</v>
      </c>
      <c r="C31" s="355"/>
      <c r="D31" s="521"/>
      <c r="E31" s="357"/>
      <c r="F31" s="358">
        <f t="shared" si="1"/>
        <v>0</v>
      </c>
      <c r="G31" s="359"/>
    </row>
    <row r="32" spans="1:7">
      <c r="A32" s="516"/>
      <c r="B32" s="354">
        <f t="shared" si="0"/>
        <v>0</v>
      </c>
      <c r="C32" s="355"/>
      <c r="D32" s="521"/>
      <c r="E32" s="357"/>
      <c r="F32" s="358">
        <f t="shared" si="1"/>
        <v>0</v>
      </c>
      <c r="G32" s="359"/>
    </row>
    <row r="33" spans="1:7">
      <c r="A33" s="516"/>
      <c r="B33" s="354">
        <f t="shared" si="0"/>
        <v>0</v>
      </c>
      <c r="C33" s="355"/>
      <c r="D33" s="521"/>
      <c r="E33" s="357"/>
      <c r="F33" s="358">
        <f t="shared" si="1"/>
        <v>0</v>
      </c>
      <c r="G33" s="359"/>
    </row>
    <row r="34" spans="1:7">
      <c r="A34" s="516"/>
      <c r="B34" s="354">
        <f t="shared" si="0"/>
        <v>0</v>
      </c>
      <c r="C34" s="355"/>
      <c r="D34" s="521"/>
      <c r="E34" s="357"/>
      <c r="F34" s="358">
        <f t="shared" si="1"/>
        <v>0</v>
      </c>
      <c r="G34" s="359"/>
    </row>
    <row r="35" spans="1:7">
      <c r="A35" s="516"/>
      <c r="B35" s="354">
        <f t="shared" si="0"/>
        <v>0</v>
      </c>
      <c r="C35" s="355"/>
      <c r="D35" s="521"/>
      <c r="E35" s="357"/>
      <c r="F35" s="358">
        <f t="shared" si="1"/>
        <v>0</v>
      </c>
      <c r="G35" s="359"/>
    </row>
    <row r="36" spans="1:7">
      <c r="A36" s="516"/>
      <c r="B36" s="354">
        <f t="shared" si="0"/>
        <v>0</v>
      </c>
      <c r="C36" s="355"/>
      <c r="D36" s="521"/>
      <c r="E36" s="357"/>
      <c r="F36" s="358">
        <f t="shared" si="1"/>
        <v>0</v>
      </c>
      <c r="G36" s="359"/>
    </row>
    <row r="37" spans="1:7">
      <c r="A37" s="516"/>
      <c r="B37" s="354">
        <f t="shared" si="0"/>
        <v>0</v>
      </c>
      <c r="C37" s="355"/>
      <c r="D37" s="521"/>
      <c r="E37" s="357"/>
      <c r="F37" s="358">
        <f t="shared" si="1"/>
        <v>0</v>
      </c>
      <c r="G37" s="359"/>
    </row>
    <row r="38" spans="1:7">
      <c r="A38" s="516"/>
      <c r="B38" s="354">
        <f t="shared" si="0"/>
        <v>0</v>
      </c>
      <c r="C38" s="355"/>
      <c r="D38" s="521"/>
      <c r="E38" s="357"/>
      <c r="F38" s="358">
        <f t="shared" si="1"/>
        <v>0</v>
      </c>
      <c r="G38" s="359"/>
    </row>
    <row r="39" spans="1:7">
      <c r="A39" s="516"/>
      <c r="B39" s="354">
        <f t="shared" si="0"/>
        <v>0</v>
      </c>
      <c r="C39" s="355"/>
      <c r="D39" s="521"/>
      <c r="E39" s="357"/>
      <c r="F39" s="358">
        <f t="shared" si="1"/>
        <v>0</v>
      </c>
      <c r="G39" s="359"/>
    </row>
    <row r="41" spans="1:7" ht="13.5" thickBot="1">
      <c r="A41" s="504" t="s">
        <v>836</v>
      </c>
    </row>
    <row r="42" spans="1:7">
      <c r="A42" s="278" t="s">
        <v>155</v>
      </c>
      <c r="B42" s="279" t="s">
        <v>154</v>
      </c>
      <c r="C42" s="280"/>
      <c r="D42" s="279" t="s">
        <v>153</v>
      </c>
      <c r="E42" s="280"/>
      <c r="F42" s="279" t="s">
        <v>152</v>
      </c>
      <c r="G42" s="280"/>
    </row>
    <row r="43" spans="1:7" ht="22.5">
      <c r="A43" s="516"/>
      <c r="B43" s="517" t="str">
        <f t="shared" ref="B43" si="3">D42</f>
        <v>Current PM Date &amp; Mileage</v>
      </c>
      <c r="C43" s="361"/>
      <c r="D43" s="518"/>
      <c r="E43" s="352"/>
      <c r="F43" s="519">
        <f t="shared" ref="F43:F80" si="4">SUM(E43-E42)</f>
        <v>0</v>
      </c>
      <c r="G43" s="520"/>
    </row>
    <row r="44" spans="1:7">
      <c r="A44" s="516"/>
      <c r="B44" s="559"/>
      <c r="C44" s="355"/>
      <c r="D44" s="521"/>
      <c r="E44" s="357"/>
      <c r="F44" s="358">
        <f t="shared" si="4"/>
        <v>0</v>
      </c>
      <c r="G44" s="359" t="b">
        <f t="shared" ref="G44:G68" si="5">IF(F44&gt;5250,"OVER")</f>
        <v>0</v>
      </c>
    </row>
    <row r="45" spans="1:7">
      <c r="A45" s="516"/>
      <c r="B45" s="559"/>
      <c r="C45" s="355"/>
      <c r="D45" s="521"/>
      <c r="E45" s="357"/>
      <c r="F45" s="358">
        <f t="shared" si="4"/>
        <v>0</v>
      </c>
      <c r="G45" s="359" t="b">
        <f t="shared" si="5"/>
        <v>0</v>
      </c>
    </row>
    <row r="46" spans="1:7">
      <c r="A46" s="516"/>
      <c r="B46" s="559"/>
      <c r="C46" s="355"/>
      <c r="D46" s="521"/>
      <c r="E46" s="357"/>
      <c r="F46" s="358">
        <f t="shared" si="4"/>
        <v>0</v>
      </c>
      <c r="G46" s="359" t="b">
        <f t="shared" si="5"/>
        <v>0</v>
      </c>
    </row>
    <row r="47" spans="1:7">
      <c r="A47" s="516"/>
      <c r="B47" s="559"/>
      <c r="C47" s="355"/>
      <c r="D47" s="521"/>
      <c r="E47" s="357"/>
      <c r="F47" s="358">
        <f t="shared" si="4"/>
        <v>0</v>
      </c>
      <c r="G47" s="359" t="b">
        <f t="shared" si="5"/>
        <v>0</v>
      </c>
    </row>
    <row r="48" spans="1:7">
      <c r="A48" s="516"/>
      <c r="B48" s="559"/>
      <c r="C48" s="355"/>
      <c r="D48" s="521"/>
      <c r="E48" s="357"/>
      <c r="F48" s="358">
        <f t="shared" si="4"/>
        <v>0</v>
      </c>
      <c r="G48" s="359" t="b">
        <f t="shared" si="5"/>
        <v>0</v>
      </c>
    </row>
    <row r="49" spans="1:7">
      <c r="A49" s="516"/>
      <c r="B49" s="559"/>
      <c r="C49" s="355"/>
      <c r="D49" s="521"/>
      <c r="E49" s="357"/>
      <c r="F49" s="358">
        <f t="shared" si="4"/>
        <v>0</v>
      </c>
      <c r="G49" s="359" t="b">
        <f t="shared" si="5"/>
        <v>0</v>
      </c>
    </row>
    <row r="50" spans="1:7">
      <c r="A50" s="516"/>
      <c r="B50" s="559"/>
      <c r="C50" s="355"/>
      <c r="D50" s="521"/>
      <c r="E50" s="357"/>
      <c r="F50" s="358">
        <f t="shared" si="4"/>
        <v>0</v>
      </c>
      <c r="G50" s="359" t="b">
        <f t="shared" si="5"/>
        <v>0</v>
      </c>
    </row>
    <row r="51" spans="1:7">
      <c r="A51" s="516"/>
      <c r="B51" s="559"/>
      <c r="C51" s="355"/>
      <c r="D51" s="521"/>
      <c r="E51" s="357"/>
      <c r="F51" s="358">
        <f t="shared" si="4"/>
        <v>0</v>
      </c>
      <c r="G51" s="359" t="b">
        <f t="shared" si="5"/>
        <v>0</v>
      </c>
    </row>
    <row r="52" spans="1:7">
      <c r="A52" s="516"/>
      <c r="B52" s="559"/>
      <c r="C52" s="355"/>
      <c r="D52" s="521"/>
      <c r="E52" s="357"/>
      <c r="F52" s="358">
        <f t="shared" si="4"/>
        <v>0</v>
      </c>
      <c r="G52" s="359" t="b">
        <f t="shared" si="5"/>
        <v>0</v>
      </c>
    </row>
    <row r="53" spans="1:7">
      <c r="A53" s="516"/>
      <c r="B53" s="559"/>
      <c r="C53" s="355"/>
      <c r="D53" s="521"/>
      <c r="E53" s="357"/>
      <c r="F53" s="358">
        <f t="shared" si="4"/>
        <v>0</v>
      </c>
      <c r="G53" s="359" t="b">
        <f t="shared" si="5"/>
        <v>0</v>
      </c>
    </row>
    <row r="54" spans="1:7">
      <c r="A54" s="516"/>
      <c r="B54" s="559"/>
      <c r="C54" s="355"/>
      <c r="D54" s="521"/>
      <c r="E54" s="357"/>
      <c r="F54" s="358">
        <f t="shared" si="4"/>
        <v>0</v>
      </c>
      <c r="G54" s="359" t="b">
        <f t="shared" si="5"/>
        <v>0</v>
      </c>
    </row>
    <row r="55" spans="1:7">
      <c r="A55" s="516"/>
      <c r="B55" s="559"/>
      <c r="C55" s="355"/>
      <c r="D55" s="521"/>
      <c r="E55" s="357"/>
      <c r="F55" s="358">
        <f t="shared" si="4"/>
        <v>0</v>
      </c>
      <c r="G55" s="359" t="b">
        <f t="shared" si="5"/>
        <v>0</v>
      </c>
    </row>
    <row r="56" spans="1:7">
      <c r="A56" s="516"/>
      <c r="B56" s="559"/>
      <c r="C56" s="355"/>
      <c r="D56" s="521"/>
      <c r="E56" s="538"/>
      <c r="F56" s="358">
        <f t="shared" si="4"/>
        <v>0</v>
      </c>
      <c r="G56" s="359" t="b">
        <f t="shared" si="5"/>
        <v>0</v>
      </c>
    </row>
    <row r="57" spans="1:7">
      <c r="A57" s="516"/>
      <c r="B57" s="559"/>
      <c r="C57" s="361"/>
      <c r="D57" s="522"/>
      <c r="E57" s="363"/>
      <c r="F57" s="358">
        <f t="shared" si="4"/>
        <v>0</v>
      </c>
      <c r="G57" s="359" t="b">
        <f t="shared" si="5"/>
        <v>0</v>
      </c>
    </row>
    <row r="58" spans="1:7" ht="13.5" thickBot="1">
      <c r="A58" s="523"/>
      <c r="B58" s="559"/>
      <c r="C58" s="365"/>
      <c r="D58" s="524"/>
      <c r="E58" s="367"/>
      <c r="F58" s="358">
        <f t="shared" si="4"/>
        <v>0</v>
      </c>
      <c r="G58" s="359" t="b">
        <f t="shared" si="5"/>
        <v>0</v>
      </c>
    </row>
    <row r="59" spans="1:7" ht="13.5" thickBot="1">
      <c r="A59" s="525"/>
      <c r="B59" s="559"/>
      <c r="C59" s="370"/>
      <c r="D59" s="526"/>
      <c r="E59" s="372"/>
      <c r="F59" s="358">
        <f t="shared" si="4"/>
        <v>0</v>
      </c>
      <c r="G59" s="359" t="b">
        <f t="shared" si="5"/>
        <v>0</v>
      </c>
    </row>
    <row r="60" spans="1:7">
      <c r="A60" s="527"/>
      <c r="B60" s="559"/>
      <c r="C60" s="375"/>
      <c r="D60" s="528"/>
      <c r="E60" s="377"/>
      <c r="F60" s="358">
        <f t="shared" si="4"/>
        <v>0</v>
      </c>
      <c r="G60" s="359" t="b">
        <f t="shared" si="5"/>
        <v>0</v>
      </c>
    </row>
    <row r="61" spans="1:7">
      <c r="A61" s="516"/>
      <c r="B61" s="559"/>
      <c r="C61" s="355"/>
      <c r="D61" s="521"/>
      <c r="E61" s="357"/>
      <c r="F61" s="358">
        <f t="shared" si="4"/>
        <v>0</v>
      </c>
      <c r="G61" s="359" t="b">
        <f t="shared" si="5"/>
        <v>0</v>
      </c>
    </row>
    <row r="62" spans="1:7">
      <c r="A62" s="516"/>
      <c r="B62" s="559"/>
      <c r="C62" s="355"/>
      <c r="D62" s="521"/>
      <c r="E62" s="357"/>
      <c r="F62" s="358">
        <f t="shared" si="4"/>
        <v>0</v>
      </c>
      <c r="G62" s="359" t="b">
        <f t="shared" si="5"/>
        <v>0</v>
      </c>
    </row>
    <row r="63" spans="1:7">
      <c r="A63" s="516"/>
      <c r="B63" s="559"/>
      <c r="C63" s="355"/>
      <c r="D63" s="521"/>
      <c r="E63" s="357"/>
      <c r="F63" s="358">
        <f t="shared" si="4"/>
        <v>0</v>
      </c>
      <c r="G63" s="359" t="b">
        <f t="shared" si="5"/>
        <v>0</v>
      </c>
    </row>
    <row r="64" spans="1:7">
      <c r="A64" s="516"/>
      <c r="B64" s="559"/>
      <c r="C64" s="355"/>
      <c r="D64" s="521"/>
      <c r="E64" s="357"/>
      <c r="F64" s="358">
        <f t="shared" si="4"/>
        <v>0</v>
      </c>
      <c r="G64" s="359" t="b">
        <f t="shared" si="5"/>
        <v>0</v>
      </c>
    </row>
    <row r="65" spans="1:7">
      <c r="A65" s="516"/>
      <c r="B65" s="559"/>
      <c r="C65" s="355"/>
      <c r="D65" s="521"/>
      <c r="E65" s="357"/>
      <c r="F65" s="358">
        <f t="shared" si="4"/>
        <v>0</v>
      </c>
      <c r="G65" s="359" t="b">
        <f t="shared" si="5"/>
        <v>0</v>
      </c>
    </row>
    <row r="66" spans="1:7">
      <c r="A66" s="516"/>
      <c r="B66" s="559"/>
      <c r="C66" s="355"/>
      <c r="D66" s="521"/>
      <c r="E66" s="357"/>
      <c r="F66" s="358">
        <f t="shared" si="4"/>
        <v>0</v>
      </c>
      <c r="G66" s="359" t="b">
        <f t="shared" si="5"/>
        <v>0</v>
      </c>
    </row>
    <row r="67" spans="1:7">
      <c r="A67" s="516"/>
      <c r="B67" s="559"/>
      <c r="C67" s="355"/>
      <c r="D67" s="521"/>
      <c r="E67" s="357"/>
      <c r="F67" s="358">
        <f t="shared" si="4"/>
        <v>0</v>
      </c>
      <c r="G67" s="359" t="b">
        <f t="shared" si="5"/>
        <v>0</v>
      </c>
    </row>
    <row r="68" spans="1:7">
      <c r="A68" s="516"/>
      <c r="B68" s="559"/>
      <c r="C68" s="355"/>
      <c r="D68" s="521"/>
      <c r="E68" s="357"/>
      <c r="F68" s="358">
        <f t="shared" si="4"/>
        <v>0</v>
      </c>
      <c r="G68" s="359" t="b">
        <f t="shared" si="5"/>
        <v>0</v>
      </c>
    </row>
    <row r="69" spans="1:7">
      <c r="A69" s="516"/>
      <c r="B69" s="559"/>
      <c r="C69" s="355"/>
      <c r="D69" s="521"/>
      <c r="E69" s="357"/>
      <c r="F69" s="358">
        <f t="shared" si="4"/>
        <v>0</v>
      </c>
      <c r="G69" s="359"/>
    </row>
    <row r="70" spans="1:7">
      <c r="A70" s="516"/>
      <c r="B70" s="559"/>
      <c r="C70" s="355"/>
      <c r="D70" s="521"/>
      <c r="E70" s="357"/>
      <c r="F70" s="358">
        <f t="shared" si="4"/>
        <v>0</v>
      </c>
      <c r="G70" s="359"/>
    </row>
    <row r="71" spans="1:7">
      <c r="A71" s="516"/>
      <c r="B71" s="559"/>
      <c r="C71" s="355"/>
      <c r="D71" s="521"/>
      <c r="E71" s="357"/>
      <c r="F71" s="358">
        <f t="shared" si="4"/>
        <v>0</v>
      </c>
      <c r="G71" s="359"/>
    </row>
    <row r="72" spans="1:7">
      <c r="A72" s="516"/>
      <c r="B72" s="559"/>
      <c r="C72" s="355"/>
      <c r="D72" s="521"/>
      <c r="E72" s="357"/>
      <c r="F72" s="358">
        <f t="shared" si="4"/>
        <v>0</v>
      </c>
      <c r="G72" s="359"/>
    </row>
    <row r="73" spans="1:7">
      <c r="A73" s="516"/>
      <c r="B73" s="559"/>
      <c r="C73" s="355"/>
      <c r="D73" s="521"/>
      <c r="E73" s="357"/>
      <c r="F73" s="358">
        <f t="shared" si="4"/>
        <v>0</v>
      </c>
      <c r="G73" s="359"/>
    </row>
    <row r="74" spans="1:7">
      <c r="A74" s="516"/>
      <c r="B74" s="559"/>
      <c r="C74" s="355"/>
      <c r="D74" s="521"/>
      <c r="E74" s="357"/>
      <c r="F74" s="358">
        <f t="shared" si="4"/>
        <v>0</v>
      </c>
      <c r="G74" s="359"/>
    </row>
    <row r="75" spans="1:7">
      <c r="A75" s="516"/>
      <c r="B75" s="559"/>
      <c r="C75" s="355"/>
      <c r="D75" s="521"/>
      <c r="E75" s="357"/>
      <c r="F75" s="358">
        <f t="shared" si="4"/>
        <v>0</v>
      </c>
      <c r="G75" s="359"/>
    </row>
    <row r="76" spans="1:7">
      <c r="A76" s="516"/>
      <c r="B76" s="559"/>
      <c r="C76" s="355"/>
      <c r="D76" s="521"/>
      <c r="E76" s="357"/>
      <c r="F76" s="358">
        <f t="shared" si="4"/>
        <v>0</v>
      </c>
      <c r="G76" s="359"/>
    </row>
    <row r="77" spans="1:7">
      <c r="A77" s="516"/>
      <c r="B77" s="559"/>
      <c r="C77" s="355"/>
      <c r="D77" s="521"/>
      <c r="E77" s="357"/>
      <c r="F77" s="358">
        <f t="shared" si="4"/>
        <v>0</v>
      </c>
      <c r="G77" s="359"/>
    </row>
    <row r="78" spans="1:7">
      <c r="A78" s="516"/>
      <c r="B78" s="559"/>
      <c r="C78" s="355"/>
      <c r="D78" s="521"/>
      <c r="E78" s="357"/>
      <c r="F78" s="358">
        <f t="shared" si="4"/>
        <v>0</v>
      </c>
      <c r="G78" s="359"/>
    </row>
    <row r="79" spans="1:7">
      <c r="A79" s="516"/>
      <c r="B79" s="559"/>
      <c r="C79" s="355"/>
      <c r="D79" s="521"/>
      <c r="E79" s="357"/>
      <c r="F79" s="358">
        <f t="shared" si="4"/>
        <v>0</v>
      </c>
      <c r="G79" s="359"/>
    </row>
    <row r="80" spans="1:7">
      <c r="A80" s="516"/>
      <c r="B80" s="559"/>
      <c r="C80" s="355"/>
      <c r="D80" s="521"/>
      <c r="E80" s="357"/>
      <c r="F80" s="358">
        <f t="shared" si="4"/>
        <v>0</v>
      </c>
      <c r="G80" s="359"/>
    </row>
  </sheetData>
  <mergeCells count="6">
    <mergeCell ref="B1:C1"/>
    <mergeCell ref="D1:E1"/>
    <mergeCell ref="F1:G1"/>
    <mergeCell ref="B42:C42"/>
    <mergeCell ref="D42:E42"/>
    <mergeCell ref="F42:G42"/>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18"/>
  <sheetViews>
    <sheetView zoomScale="75" workbookViewId="0">
      <selection activeCell="Q18" sqref="A1:XFD1048576"/>
    </sheetView>
  </sheetViews>
  <sheetFormatPr defaultColWidth="9.140625" defaultRowHeight="12.75"/>
  <cols>
    <col min="1" max="2" width="9.140625" style="260"/>
    <col min="3" max="3" width="10.5703125" style="260" customWidth="1"/>
    <col min="4" max="4" width="10" style="260" customWidth="1"/>
    <col min="5" max="16384" width="9.140625" style="260"/>
  </cols>
  <sheetData>
    <row r="4" spans="1:6" ht="59.25" customHeight="1">
      <c r="C4" s="261" t="s">
        <v>158</v>
      </c>
      <c r="D4" s="261" t="s">
        <v>157</v>
      </c>
      <c r="F4" s="262"/>
    </row>
    <row r="6" spans="1:6" ht="15">
      <c r="A6" s="260" t="s">
        <v>156</v>
      </c>
      <c r="B6" s="263">
        <v>1</v>
      </c>
      <c r="C6" s="264">
        <f>'[7]Projected Maint Practices'!Q7</f>
        <v>4913</v>
      </c>
      <c r="D6" s="264">
        <f>'[7]True Maint Practices'!Q7</f>
        <v>2827</v>
      </c>
    </row>
    <row r="7" spans="1:6" ht="15">
      <c r="B7" s="263">
        <v>2</v>
      </c>
      <c r="C7" s="264">
        <f>'[7]Projected Maint Practices'!Q8</f>
        <v>4913</v>
      </c>
      <c r="D7" s="264">
        <f>'[7]True Maint Practices'!Q8</f>
        <v>2499</v>
      </c>
    </row>
    <row r="8" spans="1:6" ht="15">
      <c r="B8" s="263">
        <v>3</v>
      </c>
      <c r="C8" s="264">
        <f>'[7]Projected Maint Practices'!Q9</f>
        <v>4913</v>
      </c>
      <c r="D8" s="264">
        <f>'[7]True Maint Practices'!Q9</f>
        <v>3530.5</v>
      </c>
    </row>
    <row r="9" spans="1:6" ht="15">
      <c r="B9" s="263">
        <v>4</v>
      </c>
      <c r="C9" s="264">
        <f>'[7]Projected Maint Practices'!Q10</f>
        <v>4913</v>
      </c>
      <c r="D9" s="264">
        <f>'[7]True Maint Practices'!Q10</f>
        <v>125</v>
      </c>
    </row>
    <row r="10" spans="1:6" ht="15">
      <c r="B10" s="263">
        <v>5</v>
      </c>
      <c r="C10" s="264">
        <f>'[7]Projected Maint Practices'!Q11</f>
        <v>17239.669999999998</v>
      </c>
      <c r="D10" s="264">
        <f>'[7]True Maint Practices'!Q11</f>
        <v>0</v>
      </c>
    </row>
    <row r="11" spans="1:6" ht="15">
      <c r="B11" s="263">
        <v>6</v>
      </c>
      <c r="C11" s="264">
        <f>'[7]Projected Maint Practices'!Q12</f>
        <v>4913</v>
      </c>
      <c r="D11" s="264">
        <f>'[7]True Maint Practices'!Q12</f>
        <v>0</v>
      </c>
    </row>
    <row r="12" spans="1:6" ht="15">
      <c r="B12" s="263">
        <v>7</v>
      </c>
      <c r="C12" s="264">
        <f>'[7]Projected Maint Practices'!Q13</f>
        <v>4913</v>
      </c>
      <c r="D12" s="264">
        <f>'[7]True Maint Practices'!Q13</f>
        <v>0</v>
      </c>
    </row>
    <row r="13" spans="1:6" ht="15">
      <c r="B13" s="263">
        <v>8</v>
      </c>
      <c r="C13" s="264">
        <f>'[7]Projected Maint Practices'!Q14</f>
        <v>4913</v>
      </c>
      <c r="D13" s="264">
        <f>'[7]True Maint Practices'!Q14</f>
        <v>0</v>
      </c>
    </row>
    <row r="14" spans="1:6" ht="15">
      <c r="B14" s="263">
        <v>9</v>
      </c>
      <c r="C14" s="264">
        <f>'[7]Projected Maint Practices'!Q15</f>
        <v>4913</v>
      </c>
      <c r="D14" s="264">
        <f>'[7]True Maint Practices'!Q15</f>
        <v>0</v>
      </c>
    </row>
    <row r="15" spans="1:6" ht="15">
      <c r="B15" s="263">
        <v>10</v>
      </c>
      <c r="C15" s="264">
        <f>'[7]Projected Maint Practices'!Q16</f>
        <v>4913</v>
      </c>
      <c r="D15" s="264">
        <f>'[7]True Maint Practices'!Q16</f>
        <v>0</v>
      </c>
    </row>
    <row r="16" spans="1:6" ht="15">
      <c r="B16" s="263">
        <v>11</v>
      </c>
      <c r="C16" s="264">
        <f>'[7]Projected Maint Practices'!Q17</f>
        <v>4913</v>
      </c>
      <c r="D16" s="264">
        <f>'[7]True Maint Practices'!Q17</f>
        <v>0</v>
      </c>
    </row>
    <row r="17" spans="2:4" ht="15">
      <c r="B17" s="263">
        <v>12</v>
      </c>
      <c r="C17" s="264">
        <f>'[7]Projected Maint Practices'!Q18</f>
        <v>4913</v>
      </c>
      <c r="D17" s="264">
        <f>'[7]True Maint Practices'!Q18</f>
        <v>0</v>
      </c>
    </row>
    <row r="18" spans="2:4" ht="15">
      <c r="B18" s="260" t="s">
        <v>1</v>
      </c>
      <c r="C18" s="264">
        <f>SUM(C6:C17)</f>
        <v>71282.67</v>
      </c>
      <c r="D18" s="264">
        <f>SUM(D6:D17)</f>
        <v>8981.5</v>
      </c>
    </row>
  </sheetData>
  <printOptions horizontalCentered="1" verticalCentered="1"/>
  <pageMargins left="0.5" right="0.5" top="0.75" bottom="0.75" header="0.5" footer="0.5"/>
  <pageSetup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workbookViewId="0">
      <selection activeCell="B40" sqref="B40"/>
    </sheetView>
  </sheetViews>
  <sheetFormatPr defaultColWidth="9.140625" defaultRowHeight="12.75"/>
  <cols>
    <col min="1" max="1" width="25.7109375" style="72" customWidth="1"/>
    <col min="2" max="2" width="12.85546875" style="40" customWidth="1"/>
    <col min="3" max="3" width="1.7109375" style="40" customWidth="1"/>
    <col min="4" max="4" width="13.42578125" style="40" customWidth="1"/>
    <col min="5" max="5" width="1" style="40" customWidth="1"/>
    <col min="6" max="6" width="7.28515625" style="40" customWidth="1"/>
    <col min="7" max="16384" width="9.140625" style="20"/>
  </cols>
  <sheetData>
    <row r="1" spans="1:7">
      <c r="A1" s="88" t="s">
        <v>1594</v>
      </c>
      <c r="B1" s="87"/>
      <c r="C1" s="87"/>
      <c r="D1" s="87"/>
      <c r="E1" s="87"/>
      <c r="F1" s="87"/>
    </row>
    <row r="2" spans="1:7">
      <c r="A2" s="57"/>
    </row>
    <row r="3" spans="1:7">
      <c r="A3" s="57" t="s">
        <v>1595</v>
      </c>
    </row>
    <row r="5" spans="1:7">
      <c r="A5" s="58"/>
      <c r="B5" s="59"/>
      <c r="C5" s="59"/>
      <c r="D5" s="59"/>
      <c r="E5" s="59"/>
      <c r="F5" s="60"/>
      <c r="G5" s="40"/>
    </row>
    <row r="6" spans="1:7">
      <c r="A6" s="61"/>
      <c r="B6" s="62" t="s">
        <v>1596</v>
      </c>
      <c r="C6" s="62"/>
      <c r="D6" s="62" t="s">
        <v>1597</v>
      </c>
      <c r="E6" s="62"/>
      <c r="F6" s="63" t="s">
        <v>1598</v>
      </c>
      <c r="G6" s="40"/>
    </row>
    <row r="7" spans="1:7">
      <c r="A7" s="64" t="s">
        <v>1599</v>
      </c>
      <c r="B7" s="64"/>
      <c r="C7" s="64"/>
      <c r="D7" s="64"/>
      <c r="E7" s="64"/>
      <c r="F7" s="65"/>
      <c r="G7" s="40"/>
    </row>
    <row r="8" spans="1:7">
      <c r="A8" s="66" t="s">
        <v>1600</v>
      </c>
      <c r="B8" s="67">
        <v>0</v>
      </c>
      <c r="C8" s="67"/>
      <c r="D8" s="67">
        <v>2</v>
      </c>
      <c r="E8" s="67"/>
      <c r="F8" s="68">
        <f t="shared" ref="F8:F19" si="0">SUM(B8:D8)</f>
        <v>2</v>
      </c>
    </row>
    <row r="9" spans="1:7">
      <c r="A9" s="66" t="s">
        <v>1601</v>
      </c>
      <c r="B9" s="67"/>
      <c r="C9" s="67"/>
      <c r="D9" s="67">
        <v>5</v>
      </c>
      <c r="E9" s="67"/>
      <c r="F9" s="68">
        <f t="shared" si="0"/>
        <v>5</v>
      </c>
    </row>
    <row r="10" spans="1:7">
      <c r="A10" s="66" t="s">
        <v>1602</v>
      </c>
      <c r="B10" s="67"/>
      <c r="C10" s="67"/>
      <c r="D10" s="67">
        <v>1</v>
      </c>
      <c r="E10" s="67"/>
      <c r="F10" s="68">
        <f t="shared" si="0"/>
        <v>1</v>
      </c>
    </row>
    <row r="11" spans="1:7">
      <c r="A11" s="66" t="s">
        <v>1603</v>
      </c>
      <c r="B11" s="67"/>
      <c r="C11" s="67"/>
      <c r="D11" s="67"/>
      <c r="E11" s="67"/>
      <c r="F11" s="68">
        <f t="shared" si="0"/>
        <v>0</v>
      </c>
    </row>
    <row r="12" spans="1:7">
      <c r="A12" s="66" t="s">
        <v>1604</v>
      </c>
      <c r="B12" s="67"/>
      <c r="C12" s="67"/>
      <c r="D12" s="67"/>
      <c r="E12" s="67"/>
      <c r="F12" s="68">
        <f t="shared" si="0"/>
        <v>0</v>
      </c>
    </row>
    <row r="13" spans="1:7">
      <c r="A13" s="66" t="s">
        <v>1605</v>
      </c>
      <c r="B13" s="67"/>
      <c r="C13" s="67"/>
      <c r="D13" s="67"/>
      <c r="E13" s="67"/>
      <c r="F13" s="68">
        <f t="shared" si="0"/>
        <v>0</v>
      </c>
    </row>
    <row r="14" spans="1:7">
      <c r="A14" s="66" t="s">
        <v>1606</v>
      </c>
      <c r="B14" s="67"/>
      <c r="C14" s="67"/>
      <c r="D14" s="67"/>
      <c r="E14" s="67"/>
      <c r="F14" s="68">
        <f t="shared" si="0"/>
        <v>0</v>
      </c>
    </row>
    <row r="15" spans="1:7">
      <c r="A15" s="66" t="s">
        <v>1607</v>
      </c>
      <c r="B15" s="67"/>
      <c r="C15" s="67"/>
      <c r="D15" s="67"/>
      <c r="E15" s="67"/>
      <c r="F15" s="68">
        <f t="shared" si="0"/>
        <v>0</v>
      </c>
    </row>
    <row r="16" spans="1:7">
      <c r="A16" s="66" t="s">
        <v>1608</v>
      </c>
      <c r="B16" s="67"/>
      <c r="C16" s="67"/>
      <c r="D16" s="67"/>
      <c r="E16" s="67"/>
      <c r="F16" s="68">
        <f t="shared" si="0"/>
        <v>0</v>
      </c>
    </row>
    <row r="17" spans="1:7">
      <c r="A17" s="66" t="s">
        <v>1609</v>
      </c>
      <c r="B17" s="67"/>
      <c r="C17" s="67"/>
      <c r="D17" s="67"/>
      <c r="E17" s="67"/>
      <c r="F17" s="68">
        <f t="shared" si="0"/>
        <v>0</v>
      </c>
    </row>
    <row r="18" spans="1:7">
      <c r="A18" s="66" t="s">
        <v>1610</v>
      </c>
      <c r="B18" s="67"/>
      <c r="C18" s="67"/>
      <c r="D18" s="67"/>
      <c r="E18" s="67"/>
      <c r="F18" s="68">
        <f t="shared" si="0"/>
        <v>0</v>
      </c>
    </row>
    <row r="19" spans="1:7">
      <c r="A19" s="66" t="s">
        <v>1611</v>
      </c>
      <c r="B19" s="67"/>
      <c r="C19" s="67"/>
      <c r="D19" s="67"/>
      <c r="E19" s="67"/>
      <c r="F19" s="68">
        <f t="shared" si="0"/>
        <v>0</v>
      </c>
    </row>
    <row r="20" spans="1:7">
      <c r="A20" s="69"/>
      <c r="B20" s="70"/>
      <c r="C20" s="70"/>
      <c r="D20" s="70"/>
      <c r="E20" s="70"/>
      <c r="F20" s="70"/>
    </row>
    <row r="21" spans="1:7">
      <c r="A21" s="69" t="s">
        <v>1598</v>
      </c>
      <c r="B21" s="70">
        <f>SUM(B8:B19)</f>
        <v>0</v>
      </c>
      <c r="C21" s="70"/>
      <c r="D21" s="70">
        <f>SUM(D8:D19)</f>
        <v>8</v>
      </c>
      <c r="E21" s="70"/>
      <c r="F21" s="70">
        <f>SUM(F8:F19)</f>
        <v>8</v>
      </c>
    </row>
    <row r="24" spans="1:7">
      <c r="A24" s="85" t="s">
        <v>1612</v>
      </c>
      <c r="B24" s="87"/>
      <c r="C24" s="87"/>
      <c r="D24" s="87"/>
      <c r="E24" s="87"/>
      <c r="F24" s="87"/>
      <c r="G24" s="87"/>
    </row>
    <row r="25" spans="1:7">
      <c r="A25" s="85" t="s">
        <v>1613</v>
      </c>
      <c r="B25" s="87"/>
      <c r="C25" s="87"/>
      <c r="D25" s="87"/>
      <c r="E25" s="87"/>
      <c r="F25" s="87"/>
      <c r="G25" s="87"/>
    </row>
    <row r="26" spans="1:7">
      <c r="A26" s="85" t="s">
        <v>1614</v>
      </c>
      <c r="B26" s="86"/>
      <c r="C26" s="86"/>
      <c r="D26" s="86"/>
      <c r="E26" s="87"/>
      <c r="F26" s="87"/>
      <c r="G26" s="87"/>
    </row>
    <row r="27" spans="1:7">
      <c r="A27" s="85" t="s">
        <v>1615</v>
      </c>
      <c r="B27" s="87"/>
      <c r="C27" s="87"/>
      <c r="D27" s="87"/>
    </row>
    <row r="29" spans="1:7">
      <c r="A29" s="57" t="s">
        <v>1616</v>
      </c>
    </row>
    <row r="30" spans="1:7">
      <c r="A30" s="89" t="s">
        <v>1617</v>
      </c>
      <c r="B30" s="89"/>
      <c r="C30" s="89"/>
      <c r="D30" s="89"/>
      <c r="E30" s="90"/>
      <c r="F30" s="90"/>
      <c r="G30" s="90"/>
    </row>
    <row r="31" spans="1:7">
      <c r="A31" s="85" t="s">
        <v>1618</v>
      </c>
      <c r="B31" s="86"/>
      <c r="C31" s="86"/>
      <c r="D31" s="86"/>
      <c r="E31" s="87"/>
      <c r="F31" s="87"/>
      <c r="G31" s="87"/>
    </row>
    <row r="32" spans="1:7">
      <c r="A32" s="85" t="s">
        <v>1619</v>
      </c>
      <c r="B32" s="86"/>
      <c r="C32" s="86"/>
      <c r="D32" s="86"/>
    </row>
    <row r="34" spans="1:1">
      <c r="A34" s="71" t="s">
        <v>1620</v>
      </c>
    </row>
  </sheetData>
  <mergeCells count="8">
    <mergeCell ref="A31:G31"/>
    <mergeCell ref="A32:D32"/>
    <mergeCell ref="A1:F1"/>
    <mergeCell ref="A24:G24"/>
    <mergeCell ref="A25:G25"/>
    <mergeCell ref="A26:G26"/>
    <mergeCell ref="A27:D27"/>
    <mergeCell ref="A30:G30"/>
  </mergeCells>
  <pageMargins left="0.75" right="0.75" top="1" bottom="1" header="0.5" footer="0.5"/>
  <pageSetup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workbookViewId="0">
      <selection activeCell="G16" sqref="G16"/>
    </sheetView>
  </sheetViews>
  <sheetFormatPr defaultColWidth="9.140625" defaultRowHeight="12.75"/>
  <cols>
    <col min="1" max="1" width="13.42578125" style="20" customWidth="1"/>
    <col min="2" max="2" width="12.42578125" style="20" customWidth="1"/>
    <col min="3" max="3" width="1" style="20" customWidth="1"/>
    <col min="4" max="4" width="13.140625" style="20" customWidth="1"/>
    <col min="5" max="5" width="0.85546875" style="20" customWidth="1"/>
    <col min="6" max="6" width="9.140625" style="20"/>
    <col min="7" max="7" width="18.5703125" style="20" customWidth="1"/>
    <col min="8" max="16384" width="9.140625" style="20"/>
  </cols>
  <sheetData>
    <row r="1" spans="1:7">
      <c r="A1" s="85" t="s">
        <v>1621</v>
      </c>
      <c r="B1" s="86"/>
      <c r="C1" s="86"/>
      <c r="D1" s="86"/>
      <c r="E1" s="86"/>
      <c r="F1" s="86"/>
      <c r="G1" s="86"/>
    </row>
    <row r="2" spans="1:7">
      <c r="A2" s="85" t="s">
        <v>1622</v>
      </c>
      <c r="B2" s="87"/>
      <c r="C2" s="87"/>
      <c r="D2" s="87"/>
      <c r="E2" s="87"/>
      <c r="F2" s="87"/>
    </row>
    <row r="3" spans="1:7">
      <c r="A3" s="72"/>
      <c r="B3" s="40"/>
      <c r="C3" s="72"/>
      <c r="D3" s="40"/>
      <c r="E3" s="72"/>
      <c r="F3" s="40"/>
    </row>
    <row r="4" spans="1:7">
      <c r="A4" s="58"/>
      <c r="B4" s="59"/>
      <c r="C4" s="58"/>
      <c r="D4" s="59"/>
      <c r="E4" s="58"/>
      <c r="F4" s="60"/>
    </row>
    <row r="5" spans="1:7">
      <c r="A5" s="61"/>
      <c r="B5" s="62" t="s">
        <v>1596</v>
      </c>
      <c r="C5" s="61"/>
      <c r="D5" s="62" t="s">
        <v>1597</v>
      </c>
      <c r="E5" s="61"/>
      <c r="F5" s="63" t="s">
        <v>1598</v>
      </c>
    </row>
    <row r="6" spans="1:7">
      <c r="A6" s="73" t="s">
        <v>1599</v>
      </c>
      <c r="B6" s="64"/>
      <c r="C6" s="73"/>
      <c r="D6" s="64"/>
      <c r="E6" s="73"/>
      <c r="F6" s="65"/>
    </row>
    <row r="7" spans="1:7">
      <c r="A7" s="66" t="s">
        <v>1600</v>
      </c>
      <c r="B7" s="67">
        <v>0</v>
      </c>
      <c r="C7" s="74"/>
      <c r="D7" s="67">
        <v>0</v>
      </c>
      <c r="E7" s="74"/>
      <c r="F7" s="68">
        <f t="shared" ref="F7:F18" si="0">SUM(B7:D7)</f>
        <v>0</v>
      </c>
    </row>
    <row r="8" spans="1:7">
      <c r="A8" s="66" t="s">
        <v>1601</v>
      </c>
      <c r="B8" s="67"/>
      <c r="C8" s="74"/>
      <c r="D8" s="67"/>
      <c r="E8" s="74"/>
      <c r="F8" s="68">
        <f t="shared" si="0"/>
        <v>0</v>
      </c>
    </row>
    <row r="9" spans="1:7">
      <c r="A9" s="66" t="s">
        <v>1602</v>
      </c>
      <c r="B9" s="67"/>
      <c r="C9" s="74"/>
      <c r="D9" s="67"/>
      <c r="E9" s="74"/>
      <c r="F9" s="68">
        <f t="shared" si="0"/>
        <v>0</v>
      </c>
    </row>
    <row r="10" spans="1:7">
      <c r="A10" s="66" t="s">
        <v>1603</v>
      </c>
      <c r="B10" s="67"/>
      <c r="C10" s="74"/>
      <c r="D10" s="67"/>
      <c r="E10" s="74"/>
      <c r="F10" s="68">
        <f t="shared" si="0"/>
        <v>0</v>
      </c>
    </row>
    <row r="11" spans="1:7">
      <c r="A11" s="66" t="s">
        <v>1604</v>
      </c>
      <c r="B11" s="67"/>
      <c r="C11" s="74"/>
      <c r="D11" s="67"/>
      <c r="E11" s="74"/>
      <c r="F11" s="68">
        <f t="shared" si="0"/>
        <v>0</v>
      </c>
    </row>
    <row r="12" spans="1:7">
      <c r="A12" s="66" t="s">
        <v>1605</v>
      </c>
      <c r="B12" s="67"/>
      <c r="C12" s="74"/>
      <c r="D12" s="67"/>
      <c r="E12" s="74"/>
      <c r="F12" s="68">
        <f t="shared" si="0"/>
        <v>0</v>
      </c>
    </row>
    <row r="13" spans="1:7">
      <c r="A13" s="66" t="s">
        <v>1606</v>
      </c>
      <c r="B13" s="67"/>
      <c r="C13" s="74"/>
      <c r="D13" s="67"/>
      <c r="E13" s="74"/>
      <c r="F13" s="68">
        <f t="shared" si="0"/>
        <v>0</v>
      </c>
    </row>
    <row r="14" spans="1:7">
      <c r="A14" s="66" t="s">
        <v>1607</v>
      </c>
      <c r="B14" s="67"/>
      <c r="C14" s="74"/>
      <c r="D14" s="67"/>
      <c r="E14" s="74"/>
      <c r="F14" s="68">
        <f t="shared" si="0"/>
        <v>0</v>
      </c>
    </row>
    <row r="15" spans="1:7">
      <c r="A15" s="66" t="s">
        <v>1608</v>
      </c>
      <c r="B15" s="67"/>
      <c r="C15" s="74"/>
      <c r="D15" s="67"/>
      <c r="E15" s="74"/>
      <c r="F15" s="68">
        <f t="shared" si="0"/>
        <v>0</v>
      </c>
    </row>
    <row r="16" spans="1:7">
      <c r="A16" s="66" t="s">
        <v>1609</v>
      </c>
      <c r="B16" s="67"/>
      <c r="C16" s="74"/>
      <c r="D16" s="67"/>
      <c r="E16" s="74"/>
      <c r="F16" s="68">
        <f t="shared" si="0"/>
        <v>0</v>
      </c>
    </row>
    <row r="17" spans="1:7">
      <c r="A17" s="66" t="s">
        <v>1610</v>
      </c>
      <c r="B17" s="67"/>
      <c r="C17" s="74"/>
      <c r="D17" s="67"/>
      <c r="E17" s="74"/>
      <c r="F17" s="68">
        <f t="shared" si="0"/>
        <v>0</v>
      </c>
    </row>
    <row r="18" spans="1:7">
      <c r="A18" s="66" t="s">
        <v>1611</v>
      </c>
      <c r="B18" s="67"/>
      <c r="C18" s="74"/>
      <c r="D18" s="67"/>
      <c r="E18" s="74"/>
      <c r="F18" s="68">
        <f t="shared" si="0"/>
        <v>0</v>
      </c>
    </row>
    <row r="19" spans="1:7">
      <c r="A19" s="69"/>
      <c r="B19" s="70"/>
      <c r="C19" s="75"/>
      <c r="D19" s="70"/>
      <c r="E19" s="75"/>
      <c r="F19" s="70"/>
    </row>
    <row r="20" spans="1:7">
      <c r="A20" s="69" t="s">
        <v>1598</v>
      </c>
      <c r="B20" s="70">
        <f>SUM(B7:B18)</f>
        <v>0</v>
      </c>
      <c r="C20" s="75"/>
      <c r="D20" s="70">
        <f>SUM(D7:D18)</f>
        <v>0</v>
      </c>
      <c r="E20" s="75"/>
      <c r="F20" s="70">
        <f>SUM(F7:F18)</f>
        <v>0</v>
      </c>
    </row>
    <row r="22" spans="1:7">
      <c r="A22" s="57" t="s">
        <v>1623</v>
      </c>
      <c r="B22" s="40"/>
      <c r="C22" s="40"/>
      <c r="D22" s="40"/>
      <c r="E22" s="72"/>
      <c r="F22" s="40"/>
    </row>
    <row r="23" spans="1:7">
      <c r="A23" s="85" t="s">
        <v>1613</v>
      </c>
      <c r="B23" s="87"/>
      <c r="C23" s="87"/>
      <c r="D23" s="87"/>
      <c r="E23" s="87"/>
      <c r="F23" s="87"/>
      <c r="G23" s="87"/>
    </row>
    <row r="24" spans="1:7">
      <c r="A24" s="85" t="s">
        <v>1624</v>
      </c>
      <c r="B24" s="86"/>
      <c r="C24" s="86"/>
      <c r="D24" s="86"/>
      <c r="E24" s="87"/>
      <c r="F24" s="87"/>
      <c r="G24" s="87"/>
    </row>
    <row r="25" spans="1:7">
      <c r="A25" s="85" t="s">
        <v>1625</v>
      </c>
      <c r="B25" s="87"/>
      <c r="C25" s="87"/>
      <c r="D25" s="87"/>
      <c r="E25" s="87"/>
      <c r="F25" s="87"/>
      <c r="G25" s="87"/>
    </row>
    <row r="26" spans="1:7">
      <c r="A26" s="72"/>
      <c r="B26" s="40"/>
      <c r="C26" s="40"/>
      <c r="D26" s="40"/>
      <c r="E26" s="72"/>
      <c r="F26" s="40"/>
    </row>
    <row r="27" spans="1:7">
      <c r="A27" s="57" t="s">
        <v>1626</v>
      </c>
      <c r="B27" s="40"/>
      <c r="C27" s="40"/>
      <c r="D27" s="40"/>
      <c r="E27" s="72"/>
      <c r="F27" s="40"/>
    </row>
    <row r="28" spans="1:7">
      <c r="A28" s="89" t="s">
        <v>1617</v>
      </c>
      <c r="B28" s="89"/>
      <c r="C28" s="89"/>
      <c r="D28" s="89"/>
      <c r="E28" s="90"/>
      <c r="F28" s="90"/>
      <c r="G28" s="90"/>
    </row>
    <row r="29" spans="1:7">
      <c r="A29" s="85" t="s">
        <v>1618</v>
      </c>
      <c r="B29" s="86"/>
      <c r="C29" s="86"/>
      <c r="D29" s="86"/>
      <c r="E29" s="87"/>
      <c r="F29" s="87"/>
      <c r="G29" s="87"/>
    </row>
    <row r="30" spans="1:7">
      <c r="A30" s="85" t="s">
        <v>1627</v>
      </c>
      <c r="B30" s="86"/>
      <c r="C30" s="86"/>
      <c r="D30" s="86"/>
      <c r="E30" s="87"/>
      <c r="F30" s="87"/>
      <c r="G30" s="87"/>
    </row>
    <row r="31" spans="1:7">
      <c r="A31" s="72"/>
      <c r="B31" s="40"/>
      <c r="C31" s="72"/>
      <c r="D31" s="40"/>
      <c r="E31" s="72"/>
      <c r="F31" s="40"/>
    </row>
    <row r="32" spans="1:7">
      <c r="A32" s="72"/>
      <c r="B32" s="40"/>
      <c r="C32" s="72"/>
      <c r="D32" s="40"/>
      <c r="E32" s="72"/>
      <c r="F32" s="40"/>
    </row>
    <row r="33" spans="1:6">
      <c r="A33" s="72"/>
      <c r="B33" s="40"/>
      <c r="C33" s="72"/>
      <c r="D33" s="40"/>
      <c r="E33" s="72"/>
      <c r="F33" s="40"/>
    </row>
    <row r="34" spans="1:6">
      <c r="A34" s="72"/>
      <c r="B34" s="40"/>
      <c r="C34" s="72"/>
      <c r="D34" s="40"/>
      <c r="E34" s="72"/>
      <c r="F34" s="40"/>
    </row>
    <row r="35" spans="1:6">
      <c r="A35" s="71"/>
      <c r="B35" s="40"/>
      <c r="C35" s="72"/>
      <c r="D35" s="40"/>
      <c r="E35" s="72"/>
      <c r="F35" s="40"/>
    </row>
  </sheetData>
  <mergeCells count="8">
    <mergeCell ref="A29:G29"/>
    <mergeCell ref="A30:G30"/>
    <mergeCell ref="A1:G1"/>
    <mergeCell ref="A2:F2"/>
    <mergeCell ref="A23:G23"/>
    <mergeCell ref="A24:G24"/>
    <mergeCell ref="A25:G25"/>
    <mergeCell ref="A28:G28"/>
  </mergeCells>
  <pageMargins left="0.75" right="0.75" top="1" bottom="1" header="0.5" footer="0.5"/>
  <pageSetup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activeCell="F18" sqref="F18"/>
    </sheetView>
  </sheetViews>
  <sheetFormatPr defaultColWidth="9.140625" defaultRowHeight="12.75"/>
  <cols>
    <col min="1" max="1" width="10.140625" style="20" bestFit="1" customWidth="1"/>
    <col min="2" max="2" width="6.85546875" style="20" customWidth="1"/>
    <col min="3" max="3" width="11.140625" style="20" customWidth="1"/>
    <col min="4" max="4" width="19" style="20" customWidth="1"/>
    <col min="5" max="5" width="7.85546875" style="20" customWidth="1"/>
    <col min="6" max="6" width="54.42578125" style="20" customWidth="1"/>
    <col min="7" max="7" width="27.140625" style="20" customWidth="1"/>
    <col min="8" max="16384" width="9.140625" style="20"/>
  </cols>
  <sheetData>
    <row r="1" spans="1:7">
      <c r="A1" s="76" t="s">
        <v>1628</v>
      </c>
      <c r="B1" s="77" t="s">
        <v>1629</v>
      </c>
      <c r="C1" s="77" t="s">
        <v>1630</v>
      </c>
      <c r="D1" s="77" t="s">
        <v>1631</v>
      </c>
      <c r="E1" s="77" t="s">
        <v>1632</v>
      </c>
      <c r="F1" s="77" t="s">
        <v>1633</v>
      </c>
      <c r="G1" s="78"/>
    </row>
    <row r="2" spans="1:7" ht="15">
      <c r="A2" s="79" t="s">
        <v>1634</v>
      </c>
      <c r="B2" s="79">
        <v>304</v>
      </c>
      <c r="C2" s="79" t="s">
        <v>1635</v>
      </c>
      <c r="D2" s="80">
        <v>303</v>
      </c>
      <c r="E2" s="79" t="s">
        <v>1636</v>
      </c>
      <c r="F2" s="79" t="s">
        <v>1637</v>
      </c>
      <c r="G2" s="78"/>
    </row>
    <row r="3" spans="1:7" ht="15">
      <c r="A3" s="79" t="s">
        <v>1638</v>
      </c>
      <c r="B3" s="79">
        <v>401</v>
      </c>
      <c r="C3" s="79" t="s">
        <v>1635</v>
      </c>
      <c r="D3" s="80">
        <v>310</v>
      </c>
      <c r="E3" s="79" t="s">
        <v>1636</v>
      </c>
      <c r="F3" s="79" t="s">
        <v>1639</v>
      </c>
      <c r="G3" s="78"/>
    </row>
    <row r="4" spans="1:7" ht="15">
      <c r="A4" s="79" t="s">
        <v>1640</v>
      </c>
      <c r="B4" s="79">
        <v>401</v>
      </c>
      <c r="C4" s="79" t="s">
        <v>1635</v>
      </c>
      <c r="D4" s="80">
        <v>305</v>
      </c>
      <c r="E4" s="79" t="s">
        <v>1636</v>
      </c>
      <c r="F4" s="79" t="s">
        <v>1641</v>
      </c>
      <c r="G4" s="78"/>
    </row>
    <row r="5" spans="1:7" ht="15">
      <c r="A5" s="79" t="s">
        <v>1640</v>
      </c>
      <c r="B5" s="79">
        <v>309</v>
      </c>
      <c r="C5" s="79" t="s">
        <v>1635</v>
      </c>
      <c r="D5" s="80">
        <v>305</v>
      </c>
      <c r="E5" s="79" t="s">
        <v>1636</v>
      </c>
      <c r="F5" s="79" t="s">
        <v>1642</v>
      </c>
      <c r="G5" s="78"/>
    </row>
    <row r="6" spans="1:7" ht="15">
      <c r="A6" s="79" t="s">
        <v>1643</v>
      </c>
      <c r="B6" s="79">
        <v>404</v>
      </c>
      <c r="C6" s="79" t="s">
        <v>1635</v>
      </c>
      <c r="D6" s="80">
        <v>311</v>
      </c>
      <c r="E6" s="79" t="s">
        <v>1644</v>
      </c>
      <c r="F6" s="79" t="s">
        <v>1645</v>
      </c>
      <c r="G6" s="78"/>
    </row>
    <row r="7" spans="1:7" ht="15">
      <c r="A7" s="79" t="s">
        <v>1646</v>
      </c>
      <c r="B7" s="79">
        <v>401</v>
      </c>
      <c r="C7" s="79" t="s">
        <v>1635</v>
      </c>
      <c r="D7" s="79"/>
      <c r="E7" s="79" t="s">
        <v>1636</v>
      </c>
      <c r="F7" s="79" t="s">
        <v>1647</v>
      </c>
      <c r="G7" s="78"/>
    </row>
    <row r="8" spans="1:7" ht="15">
      <c r="A8" s="79" t="s">
        <v>1648</v>
      </c>
      <c r="B8" s="79">
        <v>402</v>
      </c>
      <c r="C8" s="79" t="s">
        <v>1635</v>
      </c>
      <c r="D8" s="79"/>
      <c r="E8" s="79" t="s">
        <v>1636</v>
      </c>
      <c r="F8" s="79" t="s">
        <v>1649</v>
      </c>
      <c r="G8" s="78"/>
    </row>
    <row r="9" spans="1:7" ht="15">
      <c r="A9" s="79" t="s">
        <v>1650</v>
      </c>
      <c r="B9" s="79">
        <v>302</v>
      </c>
      <c r="C9" s="79" t="s">
        <v>1635</v>
      </c>
      <c r="D9" s="80">
        <v>310</v>
      </c>
      <c r="E9" s="79" t="s">
        <v>1651</v>
      </c>
      <c r="F9" s="79" t="s">
        <v>1652</v>
      </c>
      <c r="G9" s="78"/>
    </row>
    <row r="10" spans="1:7" ht="15">
      <c r="A10" s="570" t="s">
        <v>1653</v>
      </c>
      <c r="B10" s="570">
        <v>311</v>
      </c>
      <c r="C10" s="570" t="s">
        <v>1635</v>
      </c>
      <c r="D10" s="570"/>
      <c r="E10" s="570" t="s">
        <v>1636</v>
      </c>
      <c r="F10" s="570" t="s">
        <v>1654</v>
      </c>
      <c r="G10" s="78"/>
    </row>
    <row r="11" spans="1:7" ht="15">
      <c r="A11" s="569"/>
      <c r="B11" s="569"/>
      <c r="C11" s="569"/>
      <c r="D11" s="569"/>
      <c r="E11" s="569"/>
      <c r="F11" s="569"/>
      <c r="G11" s="78"/>
    </row>
    <row r="12" spans="1:7" ht="15">
      <c r="A12" s="569"/>
      <c r="B12" s="569"/>
      <c r="C12" s="569"/>
      <c r="D12" s="569"/>
      <c r="E12" s="569"/>
      <c r="F12" s="569"/>
      <c r="G12" s="78"/>
    </row>
    <row r="13" spans="1:7" ht="15">
      <c r="A13" s="569"/>
      <c r="B13" s="569"/>
      <c r="C13" s="569"/>
      <c r="D13" s="569"/>
      <c r="E13" s="569"/>
      <c r="F13" s="569"/>
      <c r="G13" s="78"/>
    </row>
    <row r="14" spans="1:7" ht="15">
      <c r="A14" s="569"/>
      <c r="B14" s="569"/>
      <c r="C14" s="569"/>
      <c r="D14" s="569"/>
      <c r="E14" s="569"/>
      <c r="F14" s="569"/>
      <c r="G14" s="78"/>
    </row>
    <row r="15" spans="1:7" ht="15">
      <c r="A15" s="569"/>
      <c r="B15" s="569"/>
      <c r="C15" s="569"/>
      <c r="D15" s="569"/>
      <c r="E15" s="569"/>
      <c r="F15" s="569"/>
      <c r="G15" s="78"/>
    </row>
    <row r="16" spans="1:7" ht="15">
      <c r="A16" s="569"/>
      <c r="B16" s="569"/>
      <c r="C16" s="569"/>
      <c r="D16" s="569"/>
      <c r="E16" s="569"/>
      <c r="F16" s="569"/>
      <c r="G16" s="78"/>
    </row>
    <row r="17" spans="1:7" ht="15">
      <c r="A17" s="569"/>
      <c r="B17" s="569"/>
      <c r="C17" s="569"/>
      <c r="D17" s="569"/>
      <c r="E17" s="569"/>
      <c r="F17" s="569"/>
      <c r="G17" s="78"/>
    </row>
    <row r="18" spans="1:7" ht="15">
      <c r="A18" s="569"/>
      <c r="B18" s="569"/>
      <c r="C18" s="569"/>
      <c r="D18" s="569"/>
      <c r="E18" s="569"/>
      <c r="F18" s="569"/>
      <c r="G18" s="78"/>
    </row>
    <row r="19" spans="1:7" ht="15">
      <c r="A19" s="569"/>
      <c r="B19" s="569"/>
      <c r="C19" s="569"/>
      <c r="D19" s="569"/>
      <c r="E19" s="569"/>
      <c r="F19" s="569"/>
      <c r="G19" s="78"/>
    </row>
    <row r="20" spans="1:7" ht="15">
      <c r="A20" s="569"/>
      <c r="B20" s="569"/>
      <c r="C20" s="569"/>
      <c r="D20" s="569"/>
      <c r="E20" s="569"/>
      <c r="F20" s="569"/>
      <c r="G20" s="78"/>
    </row>
    <row r="21" spans="1:7" ht="15">
      <c r="A21" s="569"/>
      <c r="B21" s="569"/>
      <c r="C21" s="569"/>
      <c r="D21" s="569"/>
      <c r="E21" s="569"/>
      <c r="F21" s="569"/>
      <c r="G21" s="78"/>
    </row>
    <row r="22" spans="1:7" ht="15">
      <c r="A22" s="569"/>
      <c r="B22" s="569"/>
      <c r="C22" s="569"/>
      <c r="D22" s="569"/>
      <c r="E22" s="569"/>
      <c r="F22" s="569"/>
      <c r="G22" s="78"/>
    </row>
    <row r="23" spans="1:7" ht="15">
      <c r="A23" s="569"/>
      <c r="B23" s="569"/>
      <c r="C23" s="569"/>
      <c r="D23" s="569"/>
      <c r="E23" s="569"/>
      <c r="F23" s="569"/>
      <c r="G23" s="78"/>
    </row>
    <row r="24" spans="1:7" ht="15">
      <c r="A24" s="569"/>
      <c r="B24" s="569"/>
      <c r="C24" s="569"/>
      <c r="D24" s="569"/>
      <c r="E24" s="569"/>
      <c r="F24" s="569"/>
      <c r="G24" s="78"/>
    </row>
    <row r="25" spans="1:7" ht="15">
      <c r="A25" s="569"/>
      <c r="B25" s="569"/>
      <c r="C25" s="569"/>
      <c r="D25" s="569"/>
      <c r="E25" s="569"/>
      <c r="F25" s="569"/>
      <c r="G25" s="78"/>
    </row>
    <row r="26" spans="1:7" ht="15">
      <c r="A26" s="569"/>
      <c r="B26" s="569"/>
      <c r="C26" s="569"/>
      <c r="D26" s="569"/>
      <c r="E26" s="569"/>
      <c r="F26" s="569"/>
      <c r="G26" s="78"/>
    </row>
    <row r="27" spans="1:7" ht="15">
      <c r="A27" s="569"/>
      <c r="B27" s="569"/>
      <c r="C27" s="569"/>
      <c r="D27" s="569"/>
      <c r="E27" s="569"/>
      <c r="F27" s="569"/>
      <c r="G27" s="78"/>
    </row>
    <row r="28" spans="1:7" ht="15">
      <c r="A28" s="569"/>
      <c r="B28" s="569"/>
      <c r="C28" s="569"/>
      <c r="D28" s="569"/>
      <c r="E28" s="569"/>
      <c r="F28" s="569"/>
      <c r="G28" s="78"/>
    </row>
    <row r="29" spans="1:7" ht="15">
      <c r="A29" s="569"/>
      <c r="B29" s="569"/>
      <c r="C29" s="569"/>
      <c r="D29" s="569"/>
      <c r="E29" s="569"/>
      <c r="F29" s="569"/>
      <c r="G29" s="78"/>
    </row>
    <row r="30" spans="1:7" ht="15">
      <c r="A30" s="569"/>
      <c r="B30" s="569"/>
      <c r="C30" s="569"/>
      <c r="D30" s="569"/>
      <c r="E30" s="569"/>
      <c r="F30" s="569"/>
      <c r="G30" s="78"/>
    </row>
    <row r="31" spans="1:7" ht="15">
      <c r="A31" s="569"/>
      <c r="B31" s="569"/>
      <c r="C31" s="569"/>
      <c r="D31" s="569"/>
      <c r="E31" s="569"/>
      <c r="F31" s="569"/>
      <c r="G31" s="78"/>
    </row>
    <row r="32" spans="1:7" ht="15">
      <c r="A32" s="569"/>
      <c r="B32" s="569"/>
      <c r="C32" s="569"/>
      <c r="D32" s="569"/>
      <c r="E32" s="569"/>
      <c r="F32" s="569"/>
      <c r="G32" s="78"/>
    </row>
    <row r="33" spans="1:7" ht="15">
      <c r="A33" s="569"/>
      <c r="B33" s="569"/>
      <c r="C33" s="569"/>
      <c r="D33" s="569"/>
      <c r="E33" s="569"/>
      <c r="F33" s="569"/>
      <c r="G33" s="78"/>
    </row>
    <row r="34" spans="1:7" ht="15">
      <c r="A34" s="569"/>
      <c r="B34" s="569"/>
      <c r="C34" s="569"/>
      <c r="D34" s="569"/>
      <c r="E34" s="569"/>
      <c r="F34" s="569"/>
      <c r="G34" s="78"/>
    </row>
    <row r="35" spans="1:7" ht="15">
      <c r="A35" s="569"/>
      <c r="B35" s="569"/>
      <c r="C35" s="569"/>
      <c r="D35" s="569"/>
      <c r="E35" s="569"/>
      <c r="F35" s="569"/>
      <c r="G35" s="78"/>
    </row>
    <row r="36" spans="1:7" ht="15">
      <c r="A36" s="569"/>
      <c r="B36" s="569"/>
      <c r="C36" s="569"/>
      <c r="D36" s="569"/>
      <c r="E36" s="569"/>
      <c r="F36" s="569"/>
      <c r="G36" s="78"/>
    </row>
    <row r="37" spans="1:7" ht="15">
      <c r="A37" s="569"/>
      <c r="B37" s="569"/>
      <c r="C37" s="569"/>
      <c r="D37" s="569"/>
      <c r="E37" s="569"/>
      <c r="F37" s="569"/>
      <c r="G37" s="78"/>
    </row>
    <row r="38" spans="1:7" ht="15">
      <c r="A38" s="569"/>
      <c r="B38" s="569"/>
      <c r="C38" s="569"/>
      <c r="D38" s="569"/>
      <c r="E38" s="569"/>
      <c r="F38" s="569"/>
      <c r="G38" s="78"/>
    </row>
    <row r="39" spans="1:7" ht="15">
      <c r="A39" s="569"/>
      <c r="B39" s="569"/>
      <c r="C39" s="569"/>
      <c r="D39" s="569"/>
      <c r="E39" s="569"/>
      <c r="F39" s="569"/>
      <c r="G39" s="78"/>
    </row>
    <row r="40" spans="1:7" ht="15">
      <c r="A40" s="569"/>
      <c r="B40" s="569"/>
      <c r="C40" s="569"/>
      <c r="D40" s="569"/>
      <c r="E40" s="569"/>
      <c r="F40" s="569"/>
      <c r="G40" s="78"/>
    </row>
    <row r="41" spans="1:7">
      <c r="A41" s="78"/>
      <c r="B41" s="78"/>
      <c r="C41" s="78"/>
      <c r="D41" s="78"/>
      <c r="E41" s="78"/>
      <c r="F41" s="78"/>
      <c r="G41" s="78"/>
    </row>
    <row r="42" spans="1:7">
      <c r="A42" s="78"/>
      <c r="B42" s="78"/>
      <c r="C42" s="78"/>
      <c r="D42" s="78"/>
      <c r="E42" s="78"/>
      <c r="F42" s="78"/>
    </row>
    <row r="43" spans="1:7">
      <c r="A43" s="78"/>
      <c r="B43" s="78"/>
      <c r="C43" s="78"/>
      <c r="D43" s="78"/>
      <c r="E43" s="78"/>
      <c r="F43" s="78"/>
    </row>
    <row r="44" spans="1:7">
      <c r="A44" s="78"/>
      <c r="B44" s="78"/>
      <c r="C44" s="78"/>
      <c r="D44" s="78"/>
      <c r="E44" s="78"/>
      <c r="F44" s="78"/>
    </row>
  </sheetData>
  <pageMargins left="0.7" right="0.7" top="0.75" bottom="0.75" header="0.3" footer="0.3"/>
  <pageSetup orientation="landscape"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8"/>
  <sheetViews>
    <sheetView workbookViewId="0">
      <selection activeCell="I17" sqref="I17"/>
    </sheetView>
  </sheetViews>
  <sheetFormatPr defaultColWidth="9.140625" defaultRowHeight="12.75"/>
  <cols>
    <col min="1" max="1" width="15.42578125" style="260" customWidth="1"/>
    <col min="2" max="2" width="14" style="260" customWidth="1"/>
    <col min="3" max="3" width="13.28515625" style="260" customWidth="1"/>
    <col min="4" max="4" width="13.5703125" style="260" customWidth="1"/>
    <col min="5" max="5" width="13.7109375" style="260" customWidth="1"/>
    <col min="6" max="6" width="14.7109375" style="260" customWidth="1"/>
    <col min="7" max="7" width="17.7109375" style="260" customWidth="1"/>
    <col min="8" max="16384" width="9.140625" style="260"/>
  </cols>
  <sheetData>
    <row r="1" spans="1:7">
      <c r="A1" s="278" t="s">
        <v>155</v>
      </c>
      <c r="B1" s="279" t="s">
        <v>154</v>
      </c>
      <c r="C1" s="280"/>
      <c r="D1" s="279" t="s">
        <v>153</v>
      </c>
      <c r="E1" s="280"/>
      <c r="F1" s="279" t="s">
        <v>152</v>
      </c>
      <c r="G1" s="280"/>
    </row>
    <row r="2" spans="1:7">
      <c r="A2" s="348"/>
      <c r="B2" s="349"/>
      <c r="C2" s="350"/>
      <c r="D2" s="351" t="s">
        <v>227</v>
      </c>
      <c r="E2" s="352">
        <v>5077</v>
      </c>
      <c r="F2" s="285"/>
      <c r="G2" s="353"/>
    </row>
    <row r="3" spans="1:7">
      <c r="A3" s="348">
        <v>7598</v>
      </c>
      <c r="B3" s="354" t="str">
        <f t="shared" ref="B3:B38" si="0">D2</f>
        <v>5.23.13</v>
      </c>
      <c r="C3" s="355">
        <v>5077</v>
      </c>
      <c r="D3" s="356" t="s">
        <v>226</v>
      </c>
      <c r="E3" s="357">
        <v>10109</v>
      </c>
      <c r="F3" s="358">
        <f t="shared" ref="F3:F38" si="1">SUM(E3-E2)</f>
        <v>5032</v>
      </c>
      <c r="G3" s="359" t="b">
        <f t="shared" ref="G3:G9" si="2">IF(F3&gt;5250,"OVER")</f>
        <v>0</v>
      </c>
    </row>
    <row r="4" spans="1:7">
      <c r="A4" s="348">
        <v>7711</v>
      </c>
      <c r="B4" s="354" t="str">
        <f t="shared" si="0"/>
        <v>7.23.13</v>
      </c>
      <c r="C4" s="355">
        <v>10109</v>
      </c>
      <c r="D4" s="356" t="s">
        <v>225</v>
      </c>
      <c r="E4" s="357">
        <v>15005</v>
      </c>
      <c r="F4" s="358">
        <f t="shared" si="1"/>
        <v>4896</v>
      </c>
      <c r="G4" s="359" t="b">
        <f t="shared" si="2"/>
        <v>0</v>
      </c>
    </row>
    <row r="5" spans="1:7">
      <c r="A5" s="348">
        <v>7830</v>
      </c>
      <c r="B5" s="354" t="str">
        <f t="shared" si="0"/>
        <v>9.19.13</v>
      </c>
      <c r="C5" s="355">
        <v>15005</v>
      </c>
      <c r="D5" s="356" t="s">
        <v>224</v>
      </c>
      <c r="E5" s="357">
        <v>20009</v>
      </c>
      <c r="F5" s="358">
        <f t="shared" si="1"/>
        <v>5004</v>
      </c>
      <c r="G5" s="359" t="b">
        <f t="shared" si="2"/>
        <v>0</v>
      </c>
    </row>
    <row r="6" spans="1:7">
      <c r="A6" s="348">
        <v>7970</v>
      </c>
      <c r="B6" s="354" t="str">
        <f t="shared" si="0"/>
        <v>11.25.13</v>
      </c>
      <c r="C6" s="355">
        <v>20009</v>
      </c>
      <c r="D6" s="356" t="s">
        <v>223</v>
      </c>
      <c r="E6" s="357">
        <v>24998</v>
      </c>
      <c r="F6" s="358">
        <f t="shared" si="1"/>
        <v>4989</v>
      </c>
      <c r="G6" s="359" t="b">
        <f t="shared" si="2"/>
        <v>0</v>
      </c>
    </row>
    <row r="7" spans="1:7">
      <c r="A7" s="348">
        <v>8164</v>
      </c>
      <c r="B7" s="354" t="str">
        <f t="shared" si="0"/>
        <v>2.24.14</v>
      </c>
      <c r="C7" s="355">
        <v>24998</v>
      </c>
      <c r="D7" s="356" t="s">
        <v>222</v>
      </c>
      <c r="E7" s="357">
        <v>30016</v>
      </c>
      <c r="F7" s="358">
        <f t="shared" si="1"/>
        <v>5018</v>
      </c>
      <c r="G7" s="359" t="b">
        <f t="shared" si="2"/>
        <v>0</v>
      </c>
    </row>
    <row r="8" spans="1:7">
      <c r="A8" s="348">
        <v>8351</v>
      </c>
      <c r="B8" s="354" t="str">
        <f t="shared" si="0"/>
        <v>5.12.14</v>
      </c>
      <c r="C8" s="355">
        <v>30016</v>
      </c>
      <c r="D8" s="356" t="s">
        <v>221</v>
      </c>
      <c r="E8" s="357">
        <v>35277</v>
      </c>
      <c r="F8" s="358">
        <f t="shared" si="1"/>
        <v>5261</v>
      </c>
      <c r="G8" s="360" t="str">
        <f t="shared" si="2"/>
        <v>OVER</v>
      </c>
    </row>
    <row r="9" spans="1:7">
      <c r="A9" s="348">
        <v>8437</v>
      </c>
      <c r="B9" s="354" t="str">
        <f t="shared" si="0"/>
        <v>6.24.14</v>
      </c>
      <c r="C9" s="355">
        <v>35277</v>
      </c>
      <c r="D9" s="356" t="s">
        <v>220</v>
      </c>
      <c r="E9" s="357">
        <v>39941</v>
      </c>
      <c r="F9" s="358">
        <f t="shared" si="1"/>
        <v>4664</v>
      </c>
      <c r="G9" s="359" t="b">
        <f t="shared" si="2"/>
        <v>0</v>
      </c>
    </row>
    <row r="10" spans="1:7">
      <c r="A10" s="348">
        <v>8528</v>
      </c>
      <c r="B10" s="354" t="str">
        <f t="shared" si="0"/>
        <v>8.2.14</v>
      </c>
      <c r="C10" s="355">
        <v>39941</v>
      </c>
      <c r="D10" s="356" t="s">
        <v>219</v>
      </c>
      <c r="E10" s="357">
        <v>45026</v>
      </c>
      <c r="F10" s="358">
        <f t="shared" si="1"/>
        <v>5085</v>
      </c>
      <c r="G10" s="359" t="b">
        <v>0</v>
      </c>
    </row>
    <row r="11" spans="1:7">
      <c r="A11" s="348">
        <v>8649</v>
      </c>
      <c r="B11" s="354" t="str">
        <f t="shared" si="0"/>
        <v>10.6.14</v>
      </c>
      <c r="C11" s="355">
        <v>45026</v>
      </c>
      <c r="D11" s="356" t="s">
        <v>218</v>
      </c>
      <c r="E11" s="357">
        <v>50063</v>
      </c>
      <c r="F11" s="358">
        <f t="shared" si="1"/>
        <v>5037</v>
      </c>
      <c r="G11" s="359" t="b">
        <v>0</v>
      </c>
    </row>
    <row r="12" spans="1:7">
      <c r="A12" s="348">
        <v>8817</v>
      </c>
      <c r="B12" s="354" t="str">
        <f t="shared" si="0"/>
        <v>12.17.14</v>
      </c>
      <c r="C12" s="355">
        <v>50063</v>
      </c>
      <c r="D12" s="356" t="s">
        <v>217</v>
      </c>
      <c r="E12" s="357">
        <v>54970</v>
      </c>
      <c r="F12" s="358">
        <f t="shared" si="1"/>
        <v>4907</v>
      </c>
      <c r="G12" s="359" t="b">
        <v>0</v>
      </c>
    </row>
    <row r="13" spans="1:7">
      <c r="A13" s="348">
        <v>8992</v>
      </c>
      <c r="B13" s="354" t="str">
        <f t="shared" si="0"/>
        <v>3.4.15</v>
      </c>
      <c r="C13" s="355">
        <v>54970</v>
      </c>
      <c r="D13" s="356" t="s">
        <v>216</v>
      </c>
      <c r="E13" s="357">
        <v>60098</v>
      </c>
      <c r="F13" s="358">
        <f t="shared" si="1"/>
        <v>5128</v>
      </c>
      <c r="G13" s="359" t="b">
        <v>0</v>
      </c>
    </row>
    <row r="14" spans="1:7">
      <c r="A14" s="348">
        <v>9150</v>
      </c>
      <c r="B14" s="354" t="str">
        <f t="shared" si="0"/>
        <v>6.2.15</v>
      </c>
      <c r="C14" s="355">
        <v>60098</v>
      </c>
      <c r="D14" s="356" t="s">
        <v>215</v>
      </c>
      <c r="E14" s="357">
        <v>64962</v>
      </c>
      <c r="F14" s="358">
        <f t="shared" si="1"/>
        <v>4864</v>
      </c>
      <c r="G14" s="359" t="b">
        <v>0</v>
      </c>
    </row>
    <row r="15" spans="1:7">
      <c r="A15" s="348">
        <v>9269</v>
      </c>
      <c r="B15" s="354" t="str">
        <f t="shared" si="0"/>
        <v>7.31.15</v>
      </c>
      <c r="C15" s="361">
        <v>64962</v>
      </c>
      <c r="D15" s="362" t="s">
        <v>214</v>
      </c>
      <c r="E15" s="363">
        <v>69913</v>
      </c>
      <c r="F15" s="358">
        <f t="shared" si="1"/>
        <v>4951</v>
      </c>
      <c r="G15" s="359" t="b">
        <v>0</v>
      </c>
    </row>
    <row r="16" spans="1:7" ht="13.5" thickBot="1">
      <c r="A16" s="364">
        <v>9372</v>
      </c>
      <c r="B16" s="354" t="str">
        <f t="shared" si="0"/>
        <v>9.24.15</v>
      </c>
      <c r="C16" s="365">
        <v>69913</v>
      </c>
      <c r="D16" s="366" t="s">
        <v>213</v>
      </c>
      <c r="E16" s="367">
        <v>75013</v>
      </c>
      <c r="F16" s="358">
        <f t="shared" si="1"/>
        <v>5100</v>
      </c>
      <c r="G16" s="368" t="b">
        <v>0</v>
      </c>
    </row>
    <row r="17" spans="1:7" ht="13.5" thickBot="1">
      <c r="A17" s="369">
        <v>9502</v>
      </c>
      <c r="B17" s="354" t="str">
        <f t="shared" si="0"/>
        <v>11.27.15</v>
      </c>
      <c r="C17" s="370">
        <v>75013</v>
      </c>
      <c r="D17" s="371" t="s">
        <v>212</v>
      </c>
      <c r="E17" s="372">
        <v>80011</v>
      </c>
      <c r="F17" s="358">
        <f t="shared" si="1"/>
        <v>4998</v>
      </c>
      <c r="G17" s="373" t="b">
        <v>0</v>
      </c>
    </row>
    <row r="18" spans="1:7">
      <c r="A18" s="374">
        <v>9629</v>
      </c>
      <c r="B18" s="354" t="str">
        <f t="shared" si="0"/>
        <v>2.3.16</v>
      </c>
      <c r="C18" s="375">
        <v>80011</v>
      </c>
      <c r="D18" s="376" t="s">
        <v>211</v>
      </c>
      <c r="E18" s="377">
        <v>84973</v>
      </c>
      <c r="F18" s="358">
        <f t="shared" si="1"/>
        <v>4962</v>
      </c>
      <c r="G18" s="378" t="b">
        <v>0</v>
      </c>
    </row>
    <row r="19" spans="1:7">
      <c r="A19" s="348">
        <v>9741</v>
      </c>
      <c r="B19" s="354" t="str">
        <f t="shared" si="0"/>
        <v>4.1.16</v>
      </c>
      <c r="C19" s="355">
        <v>84973</v>
      </c>
      <c r="D19" s="356" t="s">
        <v>210</v>
      </c>
      <c r="E19" s="357">
        <v>89971</v>
      </c>
      <c r="F19" s="358">
        <f t="shared" si="1"/>
        <v>4998</v>
      </c>
      <c r="G19" s="359" t="b">
        <v>0</v>
      </c>
    </row>
    <row r="20" spans="1:7">
      <c r="A20" s="348">
        <v>9831</v>
      </c>
      <c r="B20" s="354" t="str">
        <f t="shared" si="0"/>
        <v>5.27.16</v>
      </c>
      <c r="C20" s="355">
        <v>89971</v>
      </c>
      <c r="D20" s="356" t="s">
        <v>209</v>
      </c>
      <c r="E20" s="357">
        <v>94935</v>
      </c>
      <c r="F20" s="358">
        <f t="shared" si="1"/>
        <v>4964</v>
      </c>
      <c r="G20" s="359" t="b">
        <v>0</v>
      </c>
    </row>
    <row r="21" spans="1:7">
      <c r="A21" s="348">
        <v>9927</v>
      </c>
      <c r="B21" s="354" t="str">
        <f t="shared" si="0"/>
        <v>7.22.16</v>
      </c>
      <c r="C21" s="355">
        <v>94935</v>
      </c>
      <c r="D21" s="356" t="s">
        <v>208</v>
      </c>
      <c r="E21" s="357">
        <v>99868</v>
      </c>
      <c r="F21" s="358">
        <f t="shared" si="1"/>
        <v>4933</v>
      </c>
      <c r="G21" s="359" t="b">
        <v>0</v>
      </c>
    </row>
    <row r="22" spans="1:7">
      <c r="A22" s="348">
        <v>10069</v>
      </c>
      <c r="B22" s="354" t="str">
        <f t="shared" si="0"/>
        <v>9.29.16</v>
      </c>
      <c r="C22" s="355">
        <v>99868</v>
      </c>
      <c r="D22" s="356" t="s">
        <v>207</v>
      </c>
      <c r="E22" s="357">
        <v>104845</v>
      </c>
      <c r="F22" s="358">
        <f t="shared" si="1"/>
        <v>4977</v>
      </c>
      <c r="G22" s="359" t="b">
        <v>0</v>
      </c>
    </row>
    <row r="23" spans="1:7">
      <c r="A23" s="348">
        <v>10248</v>
      </c>
      <c r="B23" s="354" t="str">
        <f t="shared" si="0"/>
        <v>1.14.17</v>
      </c>
      <c r="C23" s="355">
        <v>104845</v>
      </c>
      <c r="D23" s="356" t="s">
        <v>206</v>
      </c>
      <c r="E23" s="357">
        <v>110002</v>
      </c>
      <c r="F23" s="358">
        <f t="shared" si="1"/>
        <v>5157</v>
      </c>
      <c r="G23" s="359" t="b">
        <v>0</v>
      </c>
    </row>
    <row r="24" spans="1:7">
      <c r="A24" s="348">
        <v>10355</v>
      </c>
      <c r="B24" s="354" t="str">
        <f t="shared" si="0"/>
        <v>3.16.17</v>
      </c>
      <c r="C24" s="355">
        <v>110002</v>
      </c>
      <c r="D24" s="356" t="s">
        <v>205</v>
      </c>
      <c r="E24" s="357">
        <v>114977</v>
      </c>
      <c r="F24" s="358">
        <f t="shared" si="1"/>
        <v>4975</v>
      </c>
      <c r="G24" s="359" t="b">
        <v>0</v>
      </c>
    </row>
    <row r="25" spans="1:7">
      <c r="A25" s="348">
        <v>10455</v>
      </c>
      <c r="B25" s="354" t="str">
        <f t="shared" si="0"/>
        <v>5.4.17</v>
      </c>
      <c r="C25" s="355">
        <v>114977</v>
      </c>
      <c r="D25" s="356" t="s">
        <v>204</v>
      </c>
      <c r="E25" s="357">
        <v>119931</v>
      </c>
      <c r="F25" s="358">
        <f t="shared" si="1"/>
        <v>4954</v>
      </c>
      <c r="G25" s="359" t="b">
        <v>0</v>
      </c>
    </row>
    <row r="26" spans="1:7">
      <c r="A26" s="348">
        <v>10739</v>
      </c>
      <c r="B26" s="354" t="str">
        <f t="shared" si="0"/>
        <v>8.24.17</v>
      </c>
      <c r="C26" s="355">
        <v>119931</v>
      </c>
      <c r="D26" s="356"/>
      <c r="E26" s="357"/>
      <c r="F26" s="358">
        <f t="shared" si="1"/>
        <v>-119931</v>
      </c>
      <c r="G26" s="359" t="b">
        <v>0</v>
      </c>
    </row>
    <row r="27" spans="1:7">
      <c r="A27" s="348"/>
      <c r="B27" s="354">
        <f t="shared" si="0"/>
        <v>0</v>
      </c>
      <c r="C27" s="355"/>
      <c r="D27" s="356"/>
      <c r="E27" s="357"/>
      <c r="F27" s="358">
        <f t="shared" si="1"/>
        <v>0</v>
      </c>
      <c r="G27" s="359"/>
    </row>
    <row r="28" spans="1:7">
      <c r="A28" s="348"/>
      <c r="B28" s="354">
        <f t="shared" si="0"/>
        <v>0</v>
      </c>
      <c r="C28" s="355"/>
      <c r="D28" s="356"/>
      <c r="E28" s="357"/>
      <c r="F28" s="358">
        <f t="shared" si="1"/>
        <v>0</v>
      </c>
      <c r="G28" s="359"/>
    </row>
    <row r="29" spans="1:7">
      <c r="A29" s="348"/>
      <c r="B29" s="354">
        <f t="shared" si="0"/>
        <v>0</v>
      </c>
      <c r="C29" s="355"/>
      <c r="D29" s="356"/>
      <c r="E29" s="357"/>
      <c r="F29" s="358">
        <f t="shared" si="1"/>
        <v>0</v>
      </c>
      <c r="G29" s="359"/>
    </row>
    <row r="30" spans="1:7">
      <c r="A30" s="348"/>
      <c r="B30" s="354">
        <f t="shared" si="0"/>
        <v>0</v>
      </c>
      <c r="C30" s="355"/>
      <c r="D30" s="356"/>
      <c r="E30" s="357"/>
      <c r="F30" s="358">
        <f t="shared" si="1"/>
        <v>0</v>
      </c>
      <c r="G30" s="359"/>
    </row>
    <row r="31" spans="1:7">
      <c r="A31" s="348"/>
      <c r="B31" s="354">
        <f t="shared" si="0"/>
        <v>0</v>
      </c>
      <c r="C31" s="355"/>
      <c r="D31" s="356"/>
      <c r="E31" s="357"/>
      <c r="F31" s="358">
        <f t="shared" si="1"/>
        <v>0</v>
      </c>
      <c r="G31" s="359"/>
    </row>
    <row r="32" spans="1:7">
      <c r="A32" s="348"/>
      <c r="B32" s="354">
        <f t="shared" si="0"/>
        <v>0</v>
      </c>
      <c r="C32" s="355"/>
      <c r="D32" s="356"/>
      <c r="E32" s="357"/>
      <c r="F32" s="358">
        <f t="shared" si="1"/>
        <v>0</v>
      </c>
      <c r="G32" s="359"/>
    </row>
    <row r="33" spans="1:7">
      <c r="A33" s="348"/>
      <c r="B33" s="354">
        <f t="shared" si="0"/>
        <v>0</v>
      </c>
      <c r="C33" s="355"/>
      <c r="D33" s="356"/>
      <c r="E33" s="357"/>
      <c r="F33" s="358">
        <f t="shared" si="1"/>
        <v>0</v>
      </c>
      <c r="G33" s="359"/>
    </row>
    <row r="34" spans="1:7">
      <c r="A34" s="348"/>
      <c r="B34" s="354">
        <f t="shared" si="0"/>
        <v>0</v>
      </c>
      <c r="C34" s="355"/>
      <c r="D34" s="356"/>
      <c r="E34" s="357"/>
      <c r="F34" s="358">
        <f t="shared" si="1"/>
        <v>0</v>
      </c>
      <c r="G34" s="359"/>
    </row>
    <row r="35" spans="1:7">
      <c r="A35" s="348"/>
      <c r="B35" s="354">
        <f t="shared" si="0"/>
        <v>0</v>
      </c>
      <c r="C35" s="355"/>
      <c r="D35" s="356"/>
      <c r="E35" s="357"/>
      <c r="F35" s="358">
        <f t="shared" si="1"/>
        <v>0</v>
      </c>
      <c r="G35" s="359"/>
    </row>
    <row r="36" spans="1:7">
      <c r="A36" s="348"/>
      <c r="B36" s="354">
        <f t="shared" si="0"/>
        <v>0</v>
      </c>
      <c r="C36" s="355"/>
      <c r="D36" s="356"/>
      <c r="E36" s="357"/>
      <c r="F36" s="358">
        <f t="shared" si="1"/>
        <v>0</v>
      </c>
      <c r="G36" s="359"/>
    </row>
    <row r="37" spans="1:7">
      <c r="A37" s="348"/>
      <c r="B37" s="354">
        <f t="shared" si="0"/>
        <v>0</v>
      </c>
      <c r="C37" s="355"/>
      <c r="D37" s="356"/>
      <c r="E37" s="357"/>
      <c r="F37" s="358">
        <f t="shared" si="1"/>
        <v>0</v>
      </c>
      <c r="G37" s="359"/>
    </row>
    <row r="38" spans="1:7">
      <c r="A38" s="348"/>
      <c r="B38" s="354">
        <f t="shared" si="0"/>
        <v>0</v>
      </c>
      <c r="C38" s="355"/>
      <c r="D38" s="356"/>
      <c r="E38" s="357"/>
      <c r="F38" s="358">
        <f t="shared" si="1"/>
        <v>0</v>
      </c>
      <c r="G38" s="359"/>
    </row>
  </sheetData>
  <mergeCells count="3">
    <mergeCell ref="B1:C1"/>
    <mergeCell ref="D1:E1"/>
    <mergeCell ref="F1:G1"/>
  </mergeCells>
  <pageMargins left="0.7" right="0.7" top="0.75" bottom="0.75"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E7851568332649BF37E5992F7124F0" ma:contentTypeVersion="4" ma:contentTypeDescription="Create a new document." ma:contentTypeScope="" ma:versionID="511b3cc7a614a5ce09b845ee311ce282">
  <xsd:schema xmlns:xsd="http://www.w3.org/2001/XMLSchema" xmlns:xs="http://www.w3.org/2001/XMLSchema" xmlns:p="http://schemas.microsoft.com/office/2006/metadata/properties" xmlns:ns2="8c904da9-896d-485d-8232-f1eb8324a866" xmlns:ns3="35561c2c-2a3a-4ee2-9260-577570565d4d" targetNamespace="http://schemas.microsoft.com/office/2006/metadata/properties" ma:root="true" ma:fieldsID="81f2ced9100e077c5cffa38397c66396" ns2:_="" ns3:_="">
    <xsd:import namespace="8c904da9-896d-485d-8232-f1eb8324a866"/>
    <xsd:import namespace="35561c2c-2a3a-4ee2-9260-577570565d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904da9-896d-485d-8232-f1eb8324a8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5561c2c-2a3a-4ee2-9260-577570565d4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35561c2c-2a3a-4ee2-9260-577570565d4d">
      <UserInfo>
        <DisplayName>Timothy Thomas</DisplayName>
        <AccountId>13</AccountId>
        <AccountType/>
      </UserInfo>
    </SharedWithUsers>
  </documentManagement>
</p:properties>
</file>

<file path=customXml/itemProps1.xml><?xml version="1.0" encoding="utf-8"?>
<ds:datastoreItem xmlns:ds="http://schemas.openxmlformats.org/officeDocument/2006/customXml" ds:itemID="{D86A264B-422F-433E-A23D-9EDB4098A6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904da9-896d-485d-8232-f1eb8324a866"/>
    <ds:schemaRef ds:uri="35561c2c-2a3a-4ee2-9260-577570565d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1C51701-91B2-4B75-812E-658D4695C927}">
  <ds:schemaRefs>
    <ds:schemaRef ds:uri="http://schemas.microsoft.com/sharepoint/v3/contenttype/forms"/>
  </ds:schemaRefs>
</ds:datastoreItem>
</file>

<file path=customXml/itemProps3.xml><?xml version="1.0" encoding="utf-8"?>
<ds:datastoreItem xmlns:ds="http://schemas.openxmlformats.org/officeDocument/2006/customXml" ds:itemID="{194F31F7-F132-435F-A418-6A3E97A3080B}">
  <ds:schemaRefs>
    <ds:schemaRef ds:uri="http://purl.org/dc/terms/"/>
    <ds:schemaRef ds:uri="8c904da9-896d-485d-8232-f1eb8324a866"/>
    <ds:schemaRef ds:uri="http://schemas.microsoft.com/office/2006/documentManagement/types"/>
    <ds:schemaRef ds:uri="http://purl.org/dc/elements/1.1/"/>
    <ds:schemaRef ds:uri="http://www.w3.org/XML/1998/namespace"/>
    <ds:schemaRef ds:uri="http://purl.org/dc/dcmitype/"/>
    <ds:schemaRef ds:uri="http://schemas.microsoft.com/office/2006/metadata/properties"/>
    <ds:schemaRef ds:uri="http://schemas.openxmlformats.org/package/2006/metadata/core-properties"/>
    <ds:schemaRef ds:uri="http://schemas.microsoft.com/office/infopath/2007/PartnerControls"/>
    <ds:schemaRef ds:uri="35561c2c-2a3a-4ee2-9260-577570565d4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83</vt:i4>
      </vt:variant>
    </vt:vector>
  </HeadingPairs>
  <TitlesOfParts>
    <vt:vector size="172" baseType="lpstr">
      <vt:lpstr>Cover Page</vt:lpstr>
      <vt:lpstr>Index </vt:lpstr>
      <vt:lpstr>Bus 201 summary</vt:lpstr>
      <vt:lpstr>201 FY 18</vt:lpstr>
      <vt:lpstr>201 PM </vt:lpstr>
      <vt:lpstr>201 Chart</vt:lpstr>
      <vt:lpstr>202 summary</vt:lpstr>
      <vt:lpstr>202 FY 18</vt:lpstr>
      <vt:lpstr>202 PM</vt:lpstr>
      <vt:lpstr>202 Chart</vt:lpstr>
      <vt:lpstr>Bus 203 summary</vt:lpstr>
      <vt:lpstr>203 FY 18</vt:lpstr>
      <vt:lpstr>203 PM</vt:lpstr>
      <vt:lpstr>203 Chart</vt:lpstr>
      <vt:lpstr>301 summary</vt:lpstr>
      <vt:lpstr>301 FY 18</vt:lpstr>
      <vt:lpstr>301 PM</vt:lpstr>
      <vt:lpstr>301 Chart</vt:lpstr>
      <vt:lpstr>Bus 302 summary</vt:lpstr>
      <vt:lpstr>302 FY 18</vt:lpstr>
      <vt:lpstr>302 PM</vt:lpstr>
      <vt:lpstr>302 Chart</vt:lpstr>
      <vt:lpstr>Bus 303 summary</vt:lpstr>
      <vt:lpstr>303 FY 18</vt:lpstr>
      <vt:lpstr>303 PM</vt:lpstr>
      <vt:lpstr>303 Chart</vt:lpstr>
      <vt:lpstr>Bus 304 summary</vt:lpstr>
      <vt:lpstr>304 FY 18</vt:lpstr>
      <vt:lpstr>304 PM</vt:lpstr>
      <vt:lpstr>304 Chart</vt:lpstr>
      <vt:lpstr>Bus 305 summary</vt:lpstr>
      <vt:lpstr>305 FY 18</vt:lpstr>
      <vt:lpstr>305 PM</vt:lpstr>
      <vt:lpstr>305 Chart</vt:lpstr>
      <vt:lpstr>Bus 306 summary</vt:lpstr>
      <vt:lpstr>306 FY 18 </vt:lpstr>
      <vt:lpstr>306 PM</vt:lpstr>
      <vt:lpstr>306 Chart</vt:lpstr>
      <vt:lpstr>Bus 307 summary</vt:lpstr>
      <vt:lpstr>307 FY 18</vt:lpstr>
      <vt:lpstr>307 PM</vt:lpstr>
      <vt:lpstr>307 Chart</vt:lpstr>
      <vt:lpstr>Bus 308 summary</vt:lpstr>
      <vt:lpstr>308 FY 18</vt:lpstr>
      <vt:lpstr>308 PM</vt:lpstr>
      <vt:lpstr>308 Chart</vt:lpstr>
      <vt:lpstr>Bus 309 summary</vt:lpstr>
      <vt:lpstr>309 FY 18</vt:lpstr>
      <vt:lpstr>309 PM</vt:lpstr>
      <vt:lpstr>309 Chart</vt:lpstr>
      <vt:lpstr>Bus 310 summary</vt:lpstr>
      <vt:lpstr>310 FY 18</vt:lpstr>
      <vt:lpstr>310 PM</vt:lpstr>
      <vt:lpstr>310 Chart</vt:lpstr>
      <vt:lpstr>Bus 311 summary</vt:lpstr>
      <vt:lpstr>311 FY 18</vt:lpstr>
      <vt:lpstr>311 PM</vt:lpstr>
      <vt:lpstr>311 Chart</vt:lpstr>
      <vt:lpstr>Bus 401 summary</vt:lpstr>
      <vt:lpstr>401 FY 18</vt:lpstr>
      <vt:lpstr>401 PM</vt:lpstr>
      <vt:lpstr>401 Chart</vt:lpstr>
      <vt:lpstr>Bus 402 summary</vt:lpstr>
      <vt:lpstr>402 FY 18</vt:lpstr>
      <vt:lpstr>402 PM</vt:lpstr>
      <vt:lpstr>402 Chart</vt:lpstr>
      <vt:lpstr>Bus 403 summary</vt:lpstr>
      <vt:lpstr>403 FY 18</vt:lpstr>
      <vt:lpstr>403 PM</vt:lpstr>
      <vt:lpstr>403 Chart</vt:lpstr>
      <vt:lpstr>Bus 404 summary</vt:lpstr>
      <vt:lpstr>404 FY 18</vt:lpstr>
      <vt:lpstr>404 PM</vt:lpstr>
      <vt:lpstr>404 Chart</vt:lpstr>
      <vt:lpstr>Bus 501 summary</vt:lpstr>
      <vt:lpstr>501 FY 18 </vt:lpstr>
      <vt:lpstr>501 PM</vt:lpstr>
      <vt:lpstr>501 Chart</vt:lpstr>
      <vt:lpstr>Bus 31 summary </vt:lpstr>
      <vt:lpstr>31  FY 18  </vt:lpstr>
      <vt:lpstr>31 PM</vt:lpstr>
      <vt:lpstr>31 Chart</vt:lpstr>
      <vt:lpstr>M-Van 32 summary</vt:lpstr>
      <vt:lpstr>32 FY 18</vt:lpstr>
      <vt:lpstr>32 PM</vt:lpstr>
      <vt:lpstr>32 Chart</vt:lpstr>
      <vt:lpstr>NTD MOTOR BUS</vt:lpstr>
      <vt:lpstr>NTD DEMAND RESPONSE</vt:lpstr>
      <vt:lpstr>ROAD CALLS DETAIL</vt:lpstr>
      <vt:lpstr>'31  FY 18  '!chart</vt:lpstr>
      <vt:lpstr>'31 Chart'!chart</vt:lpstr>
      <vt:lpstr>'31 PM'!chart</vt:lpstr>
      <vt:lpstr>'32 Chart'!chart</vt:lpstr>
      <vt:lpstr>'32 FY 18'!chart</vt:lpstr>
      <vt:lpstr>'32 PM'!chart</vt:lpstr>
      <vt:lpstr>'501 Chart'!chart</vt:lpstr>
      <vt:lpstr>'501 FY 18 '!chart</vt:lpstr>
      <vt:lpstr>'501 PM'!chart</vt:lpstr>
      <vt:lpstr>'Bus 31 summary '!chart</vt:lpstr>
      <vt:lpstr>'Bus 501 summary'!chart</vt:lpstr>
      <vt:lpstr>'Cover Page'!chart</vt:lpstr>
      <vt:lpstr>'M-Van 32 summary'!chart</vt:lpstr>
      <vt:lpstr>chart</vt:lpstr>
      <vt:lpstr>'202 summary'!ExpenseCategories</vt:lpstr>
      <vt:lpstr>'203 Chart'!ExpenseCategories</vt:lpstr>
      <vt:lpstr>'203 FY 18'!ExpenseCategories</vt:lpstr>
      <vt:lpstr>'203 PM'!ExpenseCategories</vt:lpstr>
      <vt:lpstr>'301 FY 18'!ExpenseCategories</vt:lpstr>
      <vt:lpstr>'301 summary'!ExpenseCategories</vt:lpstr>
      <vt:lpstr>'302 Chart'!ExpenseCategories</vt:lpstr>
      <vt:lpstr>'302 FY 18'!ExpenseCategories</vt:lpstr>
      <vt:lpstr>'302 PM'!ExpenseCategories</vt:lpstr>
      <vt:lpstr>'303 Chart'!ExpenseCategories</vt:lpstr>
      <vt:lpstr>'303 FY 18'!ExpenseCategories</vt:lpstr>
      <vt:lpstr>'303 PM'!ExpenseCategories</vt:lpstr>
      <vt:lpstr>'304 Chart'!ExpenseCategories</vt:lpstr>
      <vt:lpstr>'304 FY 18'!ExpenseCategories</vt:lpstr>
      <vt:lpstr>'304 PM'!ExpenseCategories</vt:lpstr>
      <vt:lpstr>'305 FY 18'!ExpenseCategories</vt:lpstr>
      <vt:lpstr>'305 PM'!ExpenseCategories</vt:lpstr>
      <vt:lpstr>'306 Chart'!ExpenseCategories</vt:lpstr>
      <vt:lpstr>'306 FY 18 '!ExpenseCategories</vt:lpstr>
      <vt:lpstr>'306 PM'!ExpenseCategories</vt:lpstr>
      <vt:lpstr>'307 Chart'!ExpenseCategories</vt:lpstr>
      <vt:lpstr>'307 FY 18'!ExpenseCategories</vt:lpstr>
      <vt:lpstr>'307 PM'!ExpenseCategories</vt:lpstr>
      <vt:lpstr>'308 Chart'!ExpenseCategories</vt:lpstr>
      <vt:lpstr>'308 FY 18'!ExpenseCategories</vt:lpstr>
      <vt:lpstr>'308 PM'!ExpenseCategories</vt:lpstr>
      <vt:lpstr>'309 Chart'!ExpenseCategories</vt:lpstr>
      <vt:lpstr>'309 FY 18'!ExpenseCategories</vt:lpstr>
      <vt:lpstr>'309 PM'!ExpenseCategories</vt:lpstr>
      <vt:lpstr>'31  FY 18  '!ExpenseCategories</vt:lpstr>
      <vt:lpstr>'31 PM'!ExpenseCategories</vt:lpstr>
      <vt:lpstr>'310 Chart'!ExpenseCategories</vt:lpstr>
      <vt:lpstr>'310 FY 18'!ExpenseCategories</vt:lpstr>
      <vt:lpstr>'310 PM'!ExpenseCategories</vt:lpstr>
      <vt:lpstr>'311 Chart'!ExpenseCategories</vt:lpstr>
      <vt:lpstr>'311 FY 18'!ExpenseCategories</vt:lpstr>
      <vt:lpstr>'311 PM'!ExpenseCategories</vt:lpstr>
      <vt:lpstr>'32 FY 18'!ExpenseCategories</vt:lpstr>
      <vt:lpstr>'32 PM'!ExpenseCategories</vt:lpstr>
      <vt:lpstr>'401 FY 18'!ExpenseCategories</vt:lpstr>
      <vt:lpstr>'402 FY 18'!ExpenseCategories</vt:lpstr>
      <vt:lpstr>'402 PM'!ExpenseCategories</vt:lpstr>
      <vt:lpstr>'403 Chart'!ExpenseCategories</vt:lpstr>
      <vt:lpstr>'403 FY 18'!ExpenseCategories</vt:lpstr>
      <vt:lpstr>'403 PM'!ExpenseCategories</vt:lpstr>
      <vt:lpstr>'404 FY 18'!ExpenseCategories</vt:lpstr>
      <vt:lpstr>'404 PM'!ExpenseCategories</vt:lpstr>
      <vt:lpstr>'501 FY 18 '!ExpenseCategories</vt:lpstr>
      <vt:lpstr>'501 PM'!ExpenseCategories</vt:lpstr>
      <vt:lpstr>'Bus 203 summary'!ExpenseCategories</vt:lpstr>
      <vt:lpstr>'Bus 302 summary'!ExpenseCategories</vt:lpstr>
      <vt:lpstr>'Bus 303 summary'!ExpenseCategories</vt:lpstr>
      <vt:lpstr>'Bus 304 summary'!ExpenseCategories</vt:lpstr>
      <vt:lpstr>'Bus 305 summary'!ExpenseCategories</vt:lpstr>
      <vt:lpstr>'Bus 306 summary'!ExpenseCategories</vt:lpstr>
      <vt:lpstr>'Bus 307 summary'!ExpenseCategories</vt:lpstr>
      <vt:lpstr>'Bus 308 summary'!ExpenseCategories</vt:lpstr>
      <vt:lpstr>'Bus 309 summary'!ExpenseCategories</vt:lpstr>
      <vt:lpstr>'Bus 31 summary '!ExpenseCategories</vt:lpstr>
      <vt:lpstr>'Bus 310 summary'!ExpenseCategories</vt:lpstr>
      <vt:lpstr>'Bus 311 summary'!ExpenseCategories</vt:lpstr>
      <vt:lpstr>'Bus 401 summary'!ExpenseCategories</vt:lpstr>
      <vt:lpstr>'Bus 402 summary'!ExpenseCategories</vt:lpstr>
      <vt:lpstr>'Bus 403 summary'!ExpenseCategories</vt:lpstr>
      <vt:lpstr>'Bus 404 summary'!ExpenseCategories</vt:lpstr>
      <vt:lpstr>'Bus 501 summary'!ExpenseCategories</vt:lpstr>
      <vt:lpstr>'Cover Page'!ExpenseCategories</vt:lpstr>
      <vt:lpstr>'M-Van 32 summary'!ExpenseCategories</vt:lpstr>
      <vt:lpstr>ExpenseCategories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Vinella-Brusher, Emma</cp:lastModifiedBy>
  <cp:lastPrinted>2017-10-20T18:14:48Z</cp:lastPrinted>
  <dcterms:created xsi:type="dcterms:W3CDTF">2017-10-19T17:55:30Z</dcterms:created>
  <dcterms:modified xsi:type="dcterms:W3CDTF">2018-01-03T21:55:22Z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0x01010052E7851568332649BF37E5992F7124F0</vt:lpwstr>
  </property>
</Properties>
</file>