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120" yWindow="60" windowWidth="15150" windowHeight="8070" tabRatio="809"/>
  </bookViews>
  <sheets>
    <sheet name="RI Estimator" sheetId="17" r:id="rId1"/>
  </sheets>
  <definedNames>
    <definedName name="_xlnm.Print_Area" localSheetId="0">'RI Estimator'!$A$1:$H$50</definedName>
    <definedName name="stations">'RI Estimator'!$AX$9:$AX$42</definedName>
    <definedName name="trends">'RI Estimator'!$AI$7:$AI$9</definedName>
  </definedNames>
  <calcPr calcId="145621"/>
</workbook>
</file>

<file path=xl/calcChain.xml><?xml version="1.0" encoding="utf-8"?>
<calcChain xmlns="http://schemas.openxmlformats.org/spreadsheetml/2006/main">
  <c r="D23" i="17" l="1"/>
  <c r="F23" i="17" s="1"/>
  <c r="B92" i="17" s="1"/>
  <c r="D24" i="17"/>
  <c r="F24" i="17" s="1"/>
  <c r="D25" i="17"/>
  <c r="F25" i="17" s="1"/>
  <c r="D26" i="17"/>
  <c r="F26" i="17" s="1"/>
  <c r="B71" i="17" l="1"/>
  <c r="F47" i="17"/>
  <c r="B93" i="17"/>
  <c r="F48" i="17"/>
  <c r="B94" i="17"/>
  <c r="B72" i="17"/>
  <c r="F49" i="17"/>
  <c r="B95" i="17"/>
  <c r="B73" i="17"/>
  <c r="B70" i="17"/>
  <c r="F46" i="17"/>
  <c r="AI10" i="17"/>
  <c r="AI5" i="17"/>
  <c r="AJ10" i="17" l="1"/>
  <c r="AK3" i="17" l="1"/>
  <c r="AJ5" i="17"/>
  <c r="B66" i="17"/>
  <c r="B65" i="17"/>
  <c r="B67" i="17"/>
  <c r="B68" i="17"/>
  <c r="B69" i="17"/>
  <c r="B64" i="17"/>
  <c r="S57" i="17"/>
  <c r="S56" i="17"/>
  <c r="O60" i="17"/>
  <c r="P60" i="17" s="1"/>
  <c r="B57" i="17"/>
  <c r="C57" i="17" s="1"/>
  <c r="D57" i="17" s="1"/>
  <c r="B58" i="17"/>
  <c r="C58" i="17" s="1"/>
  <c r="D58" i="17" s="1"/>
  <c r="B59" i="17"/>
  <c r="C59" i="17" s="1"/>
  <c r="D59" i="17" s="1"/>
  <c r="B56" i="17"/>
  <c r="C56" i="17" s="1"/>
  <c r="O57" i="17"/>
  <c r="X57" i="17" s="1"/>
  <c r="G29" i="17"/>
  <c r="E32" i="17" l="1"/>
  <c r="I59" i="17"/>
  <c r="Q60" i="17"/>
  <c r="T60" i="17" s="1"/>
  <c r="P56" i="17"/>
  <c r="D56" i="17"/>
  <c r="Q56" i="17" s="1"/>
  <c r="Z56" i="17" s="1"/>
  <c r="I58" i="17"/>
  <c r="O56" i="17"/>
  <c r="X56" i="17" s="1"/>
  <c r="Q57" i="17"/>
  <c r="Z57" i="17" s="1"/>
  <c r="P57" i="17"/>
  <c r="Y56" i="17" l="1"/>
  <c r="AC56" i="17" s="1"/>
  <c r="T56" i="17"/>
  <c r="T57" i="17"/>
  <c r="Y57" i="17"/>
  <c r="AC57" i="17" s="1"/>
  <c r="I56" i="17"/>
  <c r="I57" i="17"/>
  <c r="V56" i="17" l="1"/>
  <c r="U56" i="17"/>
  <c r="V57" i="17" l="1"/>
  <c r="C22" i="17" s="1"/>
  <c r="AO2" i="17" l="1"/>
  <c r="AP2" i="17" s="1"/>
  <c r="AO3" i="17"/>
  <c r="AO4" i="17" l="1"/>
  <c r="AP4" i="17" s="1"/>
  <c r="AP3" i="17"/>
  <c r="AQ3" i="17"/>
  <c r="AQ2" i="17"/>
  <c r="AQ4" i="17"/>
  <c r="AO5" i="17"/>
  <c r="AQ5" i="17" l="1"/>
  <c r="AP5" i="17"/>
  <c r="AO6" i="17"/>
  <c r="B91" i="17"/>
  <c r="B90" i="17"/>
  <c r="B89" i="17"/>
  <c r="B88" i="17"/>
  <c r="B87" i="17"/>
  <c r="B86" i="17"/>
  <c r="B81" i="17"/>
  <c r="C81" i="17" s="1"/>
  <c r="B80" i="17"/>
  <c r="C80" i="17" s="1"/>
  <c r="B79" i="17"/>
  <c r="B78" i="17"/>
  <c r="E59" i="17" l="1"/>
  <c r="E58" i="17"/>
  <c r="E56" i="17"/>
  <c r="AB56" i="17"/>
  <c r="X60" i="17"/>
  <c r="Y60" i="17" s="1"/>
  <c r="Z60" i="17" s="1"/>
  <c r="AC60" i="17" s="1"/>
  <c r="E57" i="17"/>
  <c r="AB57" i="17"/>
  <c r="AQ6" i="17"/>
  <c r="AP6" i="17"/>
  <c r="AO7" i="17"/>
  <c r="D80" i="17"/>
  <c r="I80" i="17" s="1"/>
  <c r="D81" i="17"/>
  <c r="I81" i="17" s="1"/>
  <c r="C78" i="17"/>
  <c r="C79" i="17"/>
  <c r="AE56" i="17" l="1"/>
  <c r="AD56" i="17"/>
  <c r="AQ7" i="17"/>
  <c r="AP7" i="17"/>
  <c r="AO8" i="17"/>
  <c r="D79" i="17"/>
  <c r="D78" i="17"/>
  <c r="AE57" i="17" l="1"/>
  <c r="AQ8" i="17"/>
  <c r="AP8" i="17"/>
  <c r="AO9" i="17"/>
  <c r="I79" i="17"/>
  <c r="I78" i="17"/>
  <c r="AQ9" i="17" l="1"/>
  <c r="AP9" i="17"/>
  <c r="AO10" i="17"/>
  <c r="AQ10" i="17" l="1"/>
  <c r="AP10" i="17"/>
  <c r="AO11" i="17"/>
  <c r="D22" i="17"/>
  <c r="F22" i="17" s="1"/>
  <c r="F72" i="17" l="1"/>
  <c r="I72" i="17" s="1"/>
  <c r="F73" i="17"/>
  <c r="I73" i="17" s="1"/>
  <c r="F70" i="17"/>
  <c r="I70" i="17" s="1"/>
  <c r="F71" i="17"/>
  <c r="I71" i="17" s="1"/>
  <c r="AQ11" i="17"/>
  <c r="AP11" i="17"/>
  <c r="F58" i="17"/>
  <c r="F68" i="17"/>
  <c r="I68" i="17" s="1"/>
  <c r="F67" i="17"/>
  <c r="I67" i="17" s="1"/>
  <c r="F66" i="17"/>
  <c r="I66" i="17" s="1"/>
  <c r="F69" i="17"/>
  <c r="I69" i="17" s="1"/>
  <c r="F59" i="17"/>
  <c r="F56" i="17"/>
  <c r="F57" i="17"/>
  <c r="F65" i="17"/>
  <c r="I65" i="17" s="1"/>
  <c r="AO12" i="17"/>
  <c r="AQ12" i="17" l="1"/>
  <c r="AP12" i="17"/>
  <c r="L58" i="17"/>
  <c r="K58" i="17"/>
  <c r="L61" i="17"/>
  <c r="K61" i="17"/>
  <c r="L56" i="17"/>
  <c r="K56" i="17"/>
  <c r="L57" i="17"/>
  <c r="K57" i="17"/>
  <c r="AO13" i="17"/>
  <c r="D72" i="17" l="1"/>
  <c r="D71" i="17"/>
  <c r="D70" i="17"/>
  <c r="D73" i="17"/>
  <c r="C71" i="17"/>
  <c r="C72" i="17"/>
  <c r="C70" i="17"/>
  <c r="C73" i="17"/>
  <c r="D67" i="17"/>
  <c r="AQ13" i="17"/>
  <c r="AP13" i="17"/>
  <c r="D66" i="17"/>
  <c r="D65" i="17"/>
  <c r="D69" i="17"/>
  <c r="D68" i="17"/>
  <c r="C65" i="17"/>
  <c r="C66" i="17"/>
  <c r="C69" i="17"/>
  <c r="C68" i="17"/>
  <c r="J58" i="17"/>
  <c r="J56" i="17"/>
  <c r="J59" i="17"/>
  <c r="J57" i="17"/>
  <c r="C67" i="17"/>
  <c r="AO14" i="17"/>
  <c r="E70" i="17" l="1"/>
  <c r="J70" i="17" s="1"/>
  <c r="G46" i="17" s="1"/>
  <c r="E72" i="17"/>
  <c r="J72" i="17" s="1"/>
  <c r="G48" i="17" s="1"/>
  <c r="E73" i="17"/>
  <c r="J73" i="17" s="1"/>
  <c r="G49" i="17" s="1"/>
  <c r="E71" i="17"/>
  <c r="J71" i="17" s="1"/>
  <c r="G47" i="17" s="1"/>
  <c r="E69" i="17"/>
  <c r="J69" i="17" s="1"/>
  <c r="E68" i="17"/>
  <c r="J68" i="17" s="1"/>
  <c r="E67" i="17"/>
  <c r="J67" i="17" s="1"/>
  <c r="E65" i="17"/>
  <c r="J65" i="17" s="1"/>
  <c r="AQ14" i="17"/>
  <c r="AP14" i="17"/>
  <c r="E66" i="17"/>
  <c r="J66" i="17" s="1"/>
  <c r="AO15" i="17"/>
  <c r="AQ15" i="17" l="1"/>
  <c r="AP15" i="17"/>
  <c r="AO16" i="17"/>
  <c r="AQ16" i="17" l="1"/>
  <c r="AP16" i="17"/>
  <c r="AO17" i="17"/>
  <c r="AQ17" i="17" l="1"/>
  <c r="AP17" i="17"/>
  <c r="AO18" i="17"/>
  <c r="AQ18" i="17" l="1"/>
  <c r="AP18" i="17"/>
  <c r="AO19" i="17"/>
  <c r="AP19" i="17" s="1"/>
  <c r="AQ19" i="17" l="1"/>
  <c r="AO20" i="17"/>
  <c r="AQ20" i="17" l="1"/>
  <c r="AP20" i="17"/>
  <c r="AO21" i="17"/>
  <c r="AQ21" i="17" l="1"/>
  <c r="AP21" i="17"/>
  <c r="AO22" i="17"/>
  <c r="AQ22" i="17" l="1"/>
  <c r="AP22" i="17"/>
  <c r="C47" i="17"/>
  <c r="C50" i="17"/>
  <c r="C48" i="17"/>
  <c r="C46" i="17"/>
  <c r="C49" i="17"/>
  <c r="AO23" i="17"/>
  <c r="AQ23" i="17" l="1"/>
  <c r="AP23" i="17"/>
  <c r="AO24" i="17"/>
  <c r="AQ24" i="17" l="1"/>
  <c r="AP24" i="17"/>
  <c r="AO25" i="17"/>
  <c r="AQ25" i="17" l="1"/>
  <c r="AP25" i="17"/>
  <c r="AO26" i="17"/>
  <c r="AQ26" i="17" l="1"/>
  <c r="AP26" i="17"/>
  <c r="AO27" i="17"/>
  <c r="AQ27" i="17" l="1"/>
  <c r="AP27" i="17"/>
  <c r="D32" i="17" s="1"/>
  <c r="D35" i="17" s="1"/>
  <c r="AO28" i="17"/>
  <c r="C41" i="17" l="1"/>
  <c r="E80" i="17" s="1"/>
  <c r="C40" i="17"/>
  <c r="E79" i="17" s="1"/>
  <c r="C39" i="17"/>
  <c r="E78" i="17" s="1"/>
  <c r="C38" i="17"/>
  <c r="C42" i="17"/>
  <c r="E81" i="17" s="1"/>
  <c r="AQ28" i="17"/>
  <c r="AP28" i="17"/>
  <c r="AO29" i="17"/>
  <c r="F93" i="17" l="1"/>
  <c r="I93" i="17" s="1"/>
  <c r="F94" i="17"/>
  <c r="I94" i="17" s="1"/>
  <c r="F95" i="17"/>
  <c r="I95" i="17" s="1"/>
  <c r="F92" i="17"/>
  <c r="I92" i="17" s="1"/>
  <c r="F79" i="17"/>
  <c r="F80" i="17"/>
  <c r="F78" i="17"/>
  <c r="F89" i="17"/>
  <c r="I89" i="17" s="1"/>
  <c r="F91" i="17"/>
  <c r="I91" i="17" s="1"/>
  <c r="F90" i="17"/>
  <c r="I90" i="17" s="1"/>
  <c r="F88" i="17"/>
  <c r="I88" i="17" s="1"/>
  <c r="F87" i="17"/>
  <c r="I87" i="17" s="1"/>
  <c r="F81" i="17"/>
  <c r="AQ29" i="17"/>
  <c r="AP29" i="17"/>
  <c r="AO30" i="17"/>
  <c r="L80" i="17" l="1"/>
  <c r="K79" i="17"/>
  <c r="L79" i="17"/>
  <c r="K80" i="17"/>
  <c r="K78" i="17"/>
  <c r="K83" i="17"/>
  <c r="L83" i="17"/>
  <c r="L78" i="17"/>
  <c r="AQ30" i="17"/>
  <c r="AP30" i="17"/>
  <c r="AO31" i="17"/>
  <c r="C92" i="17" l="1"/>
  <c r="C93" i="17"/>
  <c r="C94" i="17"/>
  <c r="C95" i="17"/>
  <c r="D92" i="17"/>
  <c r="D95" i="17"/>
  <c r="D94" i="17"/>
  <c r="D93" i="17"/>
  <c r="D90" i="17"/>
  <c r="C90" i="17"/>
  <c r="C87" i="17"/>
  <c r="C88" i="17"/>
  <c r="C91" i="17"/>
  <c r="C89" i="17"/>
  <c r="J81" i="17"/>
  <c r="J78" i="17"/>
  <c r="J80" i="17"/>
  <c r="J79" i="17"/>
  <c r="D91" i="17"/>
  <c r="D89" i="17"/>
  <c r="D87" i="17"/>
  <c r="D88" i="17"/>
  <c r="AQ31" i="17"/>
  <c r="AP31" i="17"/>
  <c r="AO32" i="17"/>
  <c r="E92" i="17" l="1"/>
  <c r="J92" i="17" s="1"/>
  <c r="H46" i="17" s="1"/>
  <c r="E93" i="17"/>
  <c r="J93" i="17" s="1"/>
  <c r="H47" i="17" s="1"/>
  <c r="E94" i="17"/>
  <c r="J94" i="17" s="1"/>
  <c r="H48" i="17" s="1"/>
  <c r="E95" i="17"/>
  <c r="J95" i="17" s="1"/>
  <c r="H49" i="17" s="1"/>
  <c r="E90" i="17"/>
  <c r="J90" i="17" s="1"/>
  <c r="D49" i="17" s="1"/>
  <c r="E88" i="17"/>
  <c r="J88" i="17" s="1"/>
  <c r="D47" i="17" s="1"/>
  <c r="E87" i="17"/>
  <c r="J87" i="17" s="1"/>
  <c r="D46" i="17" s="1"/>
  <c r="E91" i="17"/>
  <c r="J91" i="17" s="1"/>
  <c r="D50" i="17" s="1"/>
  <c r="E89" i="17"/>
  <c r="J89" i="17" s="1"/>
  <c r="D48" i="17" s="1"/>
  <c r="AQ32" i="17"/>
  <c r="AP32" i="17"/>
  <c r="AO33" i="17"/>
  <c r="AQ33" i="17" l="1"/>
  <c r="AP33" i="17"/>
  <c r="AO34" i="17"/>
  <c r="AQ34" i="17" l="1"/>
  <c r="AP34" i="17"/>
  <c r="AO35" i="17"/>
  <c r="AQ35" i="17" l="1"/>
  <c r="AP35" i="17"/>
  <c r="AO36" i="17"/>
  <c r="AQ36" i="17" l="1"/>
  <c r="AP36" i="17"/>
  <c r="AO37" i="17"/>
  <c r="AQ37" i="17" l="1"/>
  <c r="AP37" i="17"/>
</calcChain>
</file>

<file path=xl/comments1.xml><?xml version="1.0" encoding="utf-8"?>
<comments xmlns="http://schemas.openxmlformats.org/spreadsheetml/2006/main">
  <authors>
    <author>Mark W. Huber</author>
  </authors>
  <commentList>
    <comment ref="AI2" authorId="0">
      <text>
        <r>
          <rPr>
            <b/>
            <sz val="8"/>
            <color indexed="81"/>
            <rFont val="Tahoma"/>
            <family val="2"/>
          </rPr>
          <t>Mark W. Huber:</t>
        </r>
        <r>
          <rPr>
            <sz val="8"/>
            <color indexed="81"/>
            <rFont val="Tahoma"/>
            <family val="2"/>
          </rPr>
          <t xml:space="preserve">
Eustatic Sea Level Rise in MM/YR
Eustatic sea-level rise is a change in global average sea level brought about by an increase in the volume of the world ocean [Intergovernmental Panel on Climate Change (IPCC) 2007b].</t>
        </r>
      </text>
    </comment>
    <comment ref="AK2" authorId="0">
      <text>
        <r>
          <rPr>
            <b/>
            <sz val="8"/>
            <color indexed="81"/>
            <rFont val="Tahoma"/>
            <family val="2"/>
          </rPr>
          <t>Mark W. Huber:</t>
        </r>
        <r>
          <rPr>
            <sz val="8"/>
            <color indexed="81"/>
            <rFont val="Tahoma"/>
            <family val="2"/>
          </rPr>
          <t xml:space="preserve">
local subsidence/uplift in MM/YR</t>
        </r>
      </text>
    </comment>
    <comment ref="AL2" authorId="0">
      <text>
        <r>
          <rPr>
            <b/>
            <sz val="8"/>
            <color indexed="81"/>
            <rFont val="Tahoma"/>
            <family val="2"/>
          </rPr>
          <t>Mark W. Huber:</t>
        </r>
        <r>
          <rPr>
            <sz val="8"/>
            <color indexed="81"/>
            <rFont val="Tahoma"/>
            <family val="2"/>
          </rPr>
          <t xml:space="preserve">
from usace determination</t>
        </r>
      </text>
    </comment>
  </commentList>
</comments>
</file>

<file path=xl/sharedStrings.xml><?xml version="1.0" encoding="utf-8"?>
<sst xmlns="http://schemas.openxmlformats.org/spreadsheetml/2006/main" count="230" uniqueCount="161">
  <si>
    <t>b</t>
  </si>
  <si>
    <t>Year</t>
  </si>
  <si>
    <t>mm/yr</t>
  </si>
  <si>
    <t xml:space="preserve">M </t>
  </si>
  <si>
    <t>coefficients</t>
  </si>
  <si>
    <t>Base</t>
  </si>
  <si>
    <t>Seavey Island, ME</t>
  </si>
  <si>
    <t>Boston, MA</t>
  </si>
  <si>
    <t>Woods Hole, MA</t>
  </si>
  <si>
    <t>Nantucket Island, MA</t>
  </si>
  <si>
    <t>Newport, RI</t>
  </si>
  <si>
    <t>Providence, RI</t>
  </si>
  <si>
    <t>New London, CT</t>
  </si>
  <si>
    <t>Bridgeport, CT</t>
  </si>
  <si>
    <t>Montauk, NY</t>
  </si>
  <si>
    <t>Port Jefferson, NY</t>
  </si>
  <si>
    <t>Kings Point, NY</t>
  </si>
  <si>
    <t>The Battery, NY</t>
  </si>
  <si>
    <t>Sandy Hook, NJ</t>
  </si>
  <si>
    <t>Atlantic City, NJ</t>
  </si>
  <si>
    <t>Cape May, NJ</t>
  </si>
  <si>
    <t>Philadelphia, PA</t>
  </si>
  <si>
    <t>Reedy Point, DE</t>
  </si>
  <si>
    <t>Lewes, DE</t>
  </si>
  <si>
    <t>Ocean City, MD</t>
  </si>
  <si>
    <t>Cambridge, MD</t>
  </si>
  <si>
    <t>Chesapeake City, MD</t>
  </si>
  <si>
    <t>Baltimore, MD</t>
  </si>
  <si>
    <t>Annapolis, MD</t>
  </si>
  <si>
    <t>Solomons Island, MD</t>
  </si>
  <si>
    <t>Washington, DC</t>
  </si>
  <si>
    <t>Kiptopeke, VA</t>
  </si>
  <si>
    <t>Colonial Beach, VA</t>
  </si>
  <si>
    <t>Lewisetta, VA</t>
  </si>
  <si>
    <t>Gloucester Point, VA</t>
  </si>
  <si>
    <t>Sewells Point, VA</t>
  </si>
  <si>
    <t>Portsmouth, VA</t>
  </si>
  <si>
    <t>Chesapeake Bay Bridge Tunnel, VA</t>
  </si>
  <si>
    <t>Oregon Inlet Marina, NC</t>
  </si>
  <si>
    <t>Station</t>
  </si>
  <si>
    <t>Gauges Used by NOAA to develop Long Term Relative Sea Level Change</t>
  </si>
  <si>
    <t>http://tidesandcurrents.noaa.gov/sltrends/index.shtml</t>
  </si>
  <si>
    <t>Low</t>
  </si>
  <si>
    <t>Int</t>
  </si>
  <si>
    <t>E</t>
  </si>
  <si>
    <t>"M"*</t>
  </si>
  <si>
    <t xml:space="preserve">* M value taken from NOAA regional estimates - Estimating Local Vertical Land Motion from Long-term Tide Gauge Records
(ver2 draft SKGill, NOAA 6/8/2011) See sheet: "Regional Analysis". Following the NRC and EC 1165-2-212 convention, a term “M” is used to express the local differential in trend due to vertical land motion. To estimate "M" at each tide station used, the NOAA methodology estimates the regional oceanographic component by detrending  each series and averaging the oceanographic residuals over an entire region, and adds a trend 1.7mm/yr to the regionally averaged residual, and finally subtracts that final adjusted time series out of each observed time series from each station to get the final local component, which is due mainly to local vertical land movement (either subsidence or uplift). 
</t>
  </si>
  <si>
    <t>The purpose of the methodology is to provide a more accurate estimation of local vertical land motion at tide stations with 30-60 years of data rather than just simply subtracting estimated global sea level trend of 1.7mm/yr from the observed relative mean sea level trend.  Relative sea level trends calculated from shorter data periods are more likely to be affected by anomalously high or low oceanographic levels at the beginning or end of their series.  By removing the regional oceanographic variability as calculated based on longer-period stations, both more accurate and more precise estimates of land motion are possible at shorter-period stations.</t>
  </si>
  <si>
    <t>R.I. Estimator 
Tool Version:</t>
  </si>
  <si>
    <t>Build Date:</t>
  </si>
  <si>
    <t>Section I - Applicant and Project Information</t>
  </si>
  <si>
    <t>Applicant:</t>
  </si>
  <si>
    <t>Project Name:</t>
  </si>
  <si>
    <t>Guidance Notes</t>
  </si>
  <si>
    <t>BFE, (ft):</t>
  </si>
  <si>
    <t>Base flood elevation (BFE) is the100-year flood elevation including Waveheight. Leave blank if BFE is not available. Adding the BFE value could add to the accuracy of the results.</t>
  </si>
  <si>
    <t>Recurrence Interval</t>
  </si>
  <si>
    <t>Stillwater Elevation</t>
  </si>
  <si>
    <t>Default Flood Elevation</t>
  </si>
  <si>
    <t>User-Entered Flood Elevation</t>
  </si>
  <si>
    <t>Flood Elevation</t>
  </si>
  <si>
    <t>(years)</t>
  </si>
  <si>
    <t>(ft)</t>
  </si>
  <si>
    <t>including Waveheight (ft)</t>
  </si>
  <si>
    <t>User-entered Flood Elevations are optional input to overwrite the default values estimated in the tool.</t>
  </si>
  <si>
    <t>Recorded Flood Elevation (ft)</t>
  </si>
  <si>
    <t>This section is used only when the user only entered flood el w/wavelength and nothing else</t>
  </si>
  <si>
    <t>calculations for 1-yr SWE</t>
  </si>
  <si>
    <t>based on SWE</t>
  </si>
  <si>
    <t>Adjusted</t>
  </si>
  <si>
    <t>Reverse for 1-yr</t>
  </si>
  <si>
    <t>based on totoal flood el</t>
  </si>
  <si>
    <t>Flood</t>
  </si>
  <si>
    <t>lnRatio</t>
  </si>
  <si>
    <t>Predicted</t>
  </si>
  <si>
    <t>The Constant</t>
  </si>
  <si>
    <t>The Slope</t>
  </si>
  <si>
    <t>SWE</t>
  </si>
  <si>
    <t>flood El</t>
  </si>
  <si>
    <t>Frequency</t>
  </si>
  <si>
    <t>Exp. Prob.</t>
  </si>
  <si>
    <t>CDF</t>
  </si>
  <si>
    <t>Elevation</t>
  </si>
  <si>
    <t>(ExP/CDF)</t>
  </si>
  <si>
    <t>Exc. Prob.</t>
  </si>
  <si>
    <t>predicted Elev=</t>
  </si>
  <si>
    <t>Overall</t>
  </si>
  <si>
    <t>from 1-yr event spreadsheet</t>
  </si>
  <si>
    <t>MAX(0.1*EXP(2*D50/D10), 1.052)</t>
  </si>
  <si>
    <t>check for exact match</t>
  </si>
  <si>
    <t>Min(RI) set to 1.0</t>
  </si>
  <si>
    <t>Analysis Year:</t>
  </si>
  <si>
    <t>calculations for 1-yr flood w/wavelenght (W/O SLR) if user did not supply SWEs</t>
  </si>
  <si>
    <t>Project useful life entered here must be the same as used in the HMCE tool for this project.</t>
  </si>
  <si>
    <t>dropdown</t>
  </si>
  <si>
    <t>8570283 - Ocean City, MD: 4.43 (mm/yr) &lt;40yrs</t>
  </si>
  <si>
    <t>8419870 - Seavey Island, ME: 1.49 (mm/yr) * inactive</t>
  </si>
  <si>
    <t xml:space="preserve">8443970 - Boston, MA: 2.54 (mm/yr) </t>
  </si>
  <si>
    <t xml:space="preserve">8447930 - Woods Hole, MA: 2.67 (mm/yr) </t>
  </si>
  <si>
    <t xml:space="preserve">8449130 - Nantucket Island, MA: 2.86 (mm/yr) </t>
  </si>
  <si>
    <t xml:space="preserve">8452660 - Newport, RI: 2.58 (mm/yr) </t>
  </si>
  <si>
    <t xml:space="preserve">8454000 - Providence, RI: 2 (mm/yr) </t>
  </si>
  <si>
    <t xml:space="preserve">8461490 - New London, CT: 2.37 (mm/yr) </t>
  </si>
  <si>
    <t xml:space="preserve">8467150 - Bridgeport, CT: 2.46 (mm/yr) </t>
  </si>
  <si>
    <t xml:space="preserve">8510560 - Montauk, NY: 2.93 (mm/yr) </t>
  </si>
  <si>
    <t>8514560 - Port Jefferson, NY: 2.44 (mm/yr) * inactive, &lt;40yrs</t>
  </si>
  <si>
    <t xml:space="preserve">8516945 - Kings Point, NY: 2.37 (mm/yr) </t>
  </si>
  <si>
    <t xml:space="preserve">8518750 - The Battery, NY: 2.92 (mm/yr) </t>
  </si>
  <si>
    <t xml:space="preserve">8531680 - Sandy Hook, NJ: 3.97 (mm/yr) </t>
  </si>
  <si>
    <t xml:space="preserve">8534720 - Atlantic City, NJ: 3.87 (mm/yr) </t>
  </si>
  <si>
    <t xml:space="preserve">8536110 - Cape May, NJ: 3.8 (mm/yr) </t>
  </si>
  <si>
    <t xml:space="preserve">8545240 - Philadelphia, PA: 2.76 (mm/yr) </t>
  </si>
  <si>
    <t xml:space="preserve">8551910 - Reedy Point, DE: 3.41 (mm/yr) </t>
  </si>
  <si>
    <t xml:space="preserve">8557380 - Lewes, DE: 3.36 (mm/yr) </t>
  </si>
  <si>
    <t xml:space="preserve">8571892 - Cambridge, MD: 3.6 (mm/yr) </t>
  </si>
  <si>
    <t>8573927 - Chesapeake City, MD: 3.03 (mm/yr) &lt;40yrs</t>
  </si>
  <si>
    <t xml:space="preserve">8574680 - Baltimore, MD: 3.03 (mm/yr) </t>
  </si>
  <si>
    <t xml:space="preserve">8575512 - Annapolis, MD: 3.32 (mm/yr) </t>
  </si>
  <si>
    <t xml:space="preserve">8577330 - Solomons Island, MD: 3.53 (mm/yr) </t>
  </si>
  <si>
    <t xml:space="preserve">8594900 - Washington, DC: 3.04 (mm/yr) </t>
  </si>
  <si>
    <t xml:space="preserve">8632200 - Kiptopeke, VA: 3.6 (mm/yr) </t>
  </si>
  <si>
    <t>8635150 - Colonial Beach, VA: 4.77 (mm/yr) * inactive, &lt;40yrs</t>
  </si>
  <si>
    <t>8635750 - Lewisetta, VA: 4.12 (mm/yr) &lt;40yrs</t>
  </si>
  <si>
    <t>8637624 - Gloucester Point, VA: 4.12 (mm/yr) * inactive</t>
  </si>
  <si>
    <t xml:space="preserve">8638610 - Sewells Point, VA: 4.31 (mm/yr) </t>
  </si>
  <si>
    <t>8638660 - Portsmouth, VA: 3.76 (mm/yr) * inactive</t>
  </si>
  <si>
    <t>8638863 - Chesapeake Bay Bridge Tunnel, VA: 5.04 (mm/yr) &lt;40yrs</t>
  </si>
  <si>
    <t>8652587 - Oregon Inlet Marina, NC: 2.34 (mm/yr) &lt;40yrs</t>
  </si>
  <si>
    <t>NOAA gauge table and trend calculation methodology were copied from spreadsheet "slc_curves_12-09-13.xlsx"   downloaded from http://corpsclimate.us/ccaceslcurves.cfm</t>
  </si>
  <si>
    <t>Stations not belonging to or close to the region impacted by Hurricane Sandy were deleted from the NOAA gauge table.</t>
  </si>
  <si>
    <t>Section II - Coastal Flood Recurrence Interval-Elevations Input</t>
  </si>
  <si>
    <t>Last SLR Year:</t>
  </si>
  <si>
    <t>Linear (Low)</t>
  </si>
  <si>
    <t>Accelerated (Intermediate)</t>
  </si>
  <si>
    <t>Estimated R.I.
with SLR
(Year)</t>
  </si>
  <si>
    <t>Estimated R.I.
without SLR
(Year)</t>
  </si>
  <si>
    <t>interploation/extrapolation with SLR</t>
  </si>
  <si>
    <t>Enter the same project name entered in the corresponding HMCE Tool for this project.</t>
  </si>
  <si>
    <t>Analysis Date:</t>
  </si>
  <si>
    <t>Project Useful 
Life (Years):</t>
  </si>
  <si>
    <t>Source/
documentation 
of Input Data:</t>
  </si>
  <si>
    <t>Section IV - Recorded Flood Elevations and Estimated RIs without and with SLR</t>
  </si>
  <si>
    <t>interpolation/extrapolation without SLR</t>
  </si>
  <si>
    <t>Additional Flood Elev. (ft):</t>
  </si>
  <si>
    <t>This Option Not Used</t>
  </si>
  <si>
    <t>Section III (Optional) – Adjustment of Flood Elevations for Sea Level Rise (SLR)</t>
  </si>
  <si>
    <t xml:space="preserve">Source/
documentation: </t>
  </si>
  <si>
    <t>User-input Additional 
Flood Elev. (ft):</t>
  </si>
  <si>
    <t>Selected Additional 
Flood Elev. (ft):</t>
  </si>
  <si>
    <t>Option 1- Automatic Evaluation of SLR (Select nearby NOAA Gauge and SLR Trend)</t>
  </si>
  <si>
    <t>Option 2- User-input SLR from other Sources</t>
  </si>
  <si>
    <t>Click to Select nearby NOAA Gauge:</t>
  </si>
  <si>
    <t>Click to Select SLR Trend:</t>
  </si>
  <si>
    <t>Input Recorded Elevation(s) to see R.I.(s)</t>
  </si>
  <si>
    <t>R.I.s of Current Flood Elevations Considering SLR</t>
  </si>
  <si>
    <t>Flood Elevation including Waveheight (ft)</t>
  </si>
  <si>
    <t>RI without SLR
(Year)</t>
  </si>
  <si>
    <t>current flood data</t>
  </si>
  <si>
    <t xml:space="preserve">FTA’s current guidance on SLR broadly states that SRL may be documented using government- produced or academic/peer-reviewed sources, including:
1- NOAA Center for Operational Oceanographic Products and Services’ Mean Annual SLR Trend Data, 
http://tidesandcurrents.noaa.gov/sltrends/sltrends.shtml
2- USACE Climate Change Adaptation Sea Level Change Curves, 
http://corpsclimate.us/ccaceslcurves.cfm
3- Globalchange.gov, which provides more information specific to New Jersey and New York, 
http://www.globalchange.gov/what-we-do/assessment/coastal-resilience-resources
This tool allows automatic evaluation of the SLR using the second source above (USACE Curves).  To use this option, first select the closest NOAA coastal gauge to resilience project site. To see a map of gauge locations visit the link below and select East Coast and Zoom in to your project location: http://tidesandcurrents.noaa.gov/sltrends/sltrends.shtml. Per FEMA SLR FAQ Memo, SLR may be estimated based on Linear Projections of SLR Based on Historical Trends or Accelerated SLR Based on Predictive Science Models. If Accelerated SLR is selected, then additional elevation must be based on a moderate projection. Therefore, in this tool the linear SLR trend represents a low SLR estimate while the accelerated trend represents an intermediate SLR estimate. The USACE Curves are available for the same gauges as in the first source (NOAA Data). Also, the third source (Globalchange.gov) refers to the USACE tool (same curves as the second source) for SLR evaluation.  Therefore, using the automated SLR calculation in this tool is consistent with the above three sources. However, depending on the assumptions used in the SLR evaluation it is possible to obtain a different SLR value from the NOAA website or other credible sources. Therefore, this tool allows for the user to directly input SLR values obtained from such sources in the "User-input Additional Flood Elev." This is an optional input that requires the user to provide adequate documentation/references for the input value.
</t>
  </si>
  <si>
    <t>Flood Elevation Including</t>
  </si>
  <si>
    <t xml:space="preserve"> Waveheight &amp; SLR (ft)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</si>
</sst>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000000"/>
    <numFmt numFmtId="165" formatCode="0.0"/>
    <numFmt numFmtId="166" formatCode="#,##0.0_);\(#,##0.0\)"/>
    <numFmt numFmtId="167" formatCode="0.000E+00_)"/>
    <numFmt numFmtId="168" formatCode="0.00000000"/>
    <numFmt numFmtId="169" formatCode="_(* #,##0.0000_);_(* \(#,##0.0000\);_(* &quot;-&quot;??_);_(@_)"/>
    <numFmt numFmtId="170" formatCode="m/d/yy;@"/>
  </numFmts>
  <fonts count="4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8"/>
      <color indexed="81"/>
      <name val="Tahoma"/>
      <family val="2"/>
    </font>
    <font>
      <b/>
      <sz val="8"/>
      <color indexed="81"/>
      <name val="Tahoma"/>
      <family val="2"/>
    </font>
    <font>
      <sz val="10"/>
      <name val="Arial"/>
      <family val="2"/>
    </font>
    <font>
      <b/>
      <sz val="11"/>
      <color theme="1"/>
      <name val="Arial"/>
      <family val="2"/>
    </font>
    <font>
      <b/>
      <sz val="12"/>
      <name val="Arial"/>
      <family val="2"/>
    </font>
    <font>
      <sz val="8"/>
      <name val="Arial"/>
      <family val="2"/>
    </font>
    <font>
      <b/>
      <sz val="10"/>
      <name val="Arial"/>
      <family val="2"/>
    </font>
    <font>
      <b/>
      <sz val="12"/>
      <color theme="1"/>
      <name val="Calibri Light"/>
      <family val="2"/>
    </font>
    <font>
      <b/>
      <sz val="11"/>
      <color indexed="8"/>
      <name val="Arial"/>
      <family val="2"/>
    </font>
    <font>
      <b/>
      <sz val="11"/>
      <name val="Arial"/>
      <family val="2"/>
    </font>
    <font>
      <b/>
      <sz val="9"/>
      <name val="Arial"/>
      <family val="2"/>
    </font>
    <font>
      <sz val="12"/>
      <name val="Arial"/>
      <family val="2"/>
    </font>
    <font>
      <sz val="12"/>
      <color theme="9" tint="-0.499984740745262"/>
      <name val="Arial"/>
      <family val="2"/>
    </font>
    <font>
      <sz val="10"/>
      <color theme="9" tint="-0.499984740745262"/>
      <name val="Arial"/>
      <family val="2"/>
    </font>
    <font>
      <b/>
      <i/>
      <sz val="10"/>
      <color rgb="FFFF0000"/>
      <name val="Arial"/>
      <family val="2"/>
    </font>
    <font>
      <sz val="12"/>
      <color indexed="9"/>
      <name val="Times"/>
      <family val="1"/>
    </font>
    <font>
      <sz val="12"/>
      <name val="Times"/>
      <family val="1"/>
    </font>
    <font>
      <sz val="10"/>
      <color indexed="8"/>
      <name val="Times New Roman"/>
      <family val="1"/>
    </font>
    <font>
      <b/>
      <i/>
      <sz val="16"/>
      <color indexed="9"/>
      <name val="Arial"/>
      <family val="2"/>
    </font>
    <font>
      <b/>
      <sz val="14"/>
      <color indexed="9"/>
      <name val="Arial"/>
      <family val="2"/>
    </font>
    <font>
      <b/>
      <sz val="8"/>
      <name val="Arial"/>
      <family val="2"/>
    </font>
    <font>
      <b/>
      <sz val="9"/>
      <color indexed="8"/>
      <name val="Arial"/>
      <family val="2"/>
    </font>
    <font>
      <sz val="10"/>
      <color theme="1"/>
      <name val="Arial"/>
      <family val="2"/>
    </font>
    <font>
      <sz val="10"/>
      <color rgb="FF7030A0"/>
      <name val="Arial"/>
      <family val="2"/>
    </font>
    <font>
      <b/>
      <u/>
      <sz val="10"/>
      <color theme="1"/>
      <name val="Arial"/>
      <family val="2"/>
    </font>
    <font>
      <u/>
      <sz val="10"/>
      <name val="Arial"/>
      <family val="2"/>
    </font>
    <font>
      <b/>
      <u/>
      <sz val="10"/>
      <name val="Arial"/>
      <family val="2"/>
    </font>
    <font>
      <u/>
      <sz val="8"/>
      <name val="Arial"/>
      <family val="2"/>
    </font>
    <font>
      <b/>
      <sz val="10"/>
      <color theme="1"/>
      <name val="Arial"/>
      <family val="2"/>
    </font>
    <font>
      <b/>
      <i/>
      <sz val="10"/>
      <color theme="1"/>
      <name val="Arial"/>
      <family val="2"/>
    </font>
    <font>
      <sz val="10"/>
      <color theme="6" tint="-0.249977111117893"/>
      <name val="Arial"/>
      <family val="2"/>
    </font>
    <font>
      <sz val="12"/>
      <color theme="6" tint="-0.249977111117893"/>
      <name val="Arial"/>
      <family val="2"/>
    </font>
    <font>
      <b/>
      <i/>
      <sz val="10"/>
      <color theme="6" tint="-0.249977111117893"/>
      <name val="Arial"/>
      <family val="2"/>
    </font>
    <font>
      <b/>
      <sz val="11"/>
      <color indexed="10"/>
      <name val="Arial"/>
      <family val="2"/>
    </font>
    <font>
      <b/>
      <sz val="11"/>
      <color indexed="12"/>
      <name val="Arial"/>
      <family val="2"/>
    </font>
    <font>
      <b/>
      <sz val="11"/>
      <color indexed="17"/>
      <name val="Arial"/>
      <family val="2"/>
    </font>
  </fonts>
  <fills count="1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395B74"/>
        <bgColor indexed="64"/>
      </patternFill>
    </fill>
    <fill>
      <patternFill patternType="solid">
        <fgColor theme="0" tint="-0.14999847407452621"/>
        <bgColor indexed="64"/>
      </patternFill>
    </fill>
    <fill>
      <patternFill patternType="solid">
        <fgColor rgb="FFB6DDE8"/>
        <bgColor indexed="64"/>
      </patternFill>
    </fill>
    <fill>
      <patternFill patternType="solid">
        <fgColor rgb="FFCCFFCC"/>
        <bgColor indexed="64"/>
      </patternFill>
    </fill>
    <fill>
      <patternFill patternType="solid">
        <fgColor rgb="FFFFFF99"/>
        <bgColor indexed="64"/>
      </patternFill>
    </fill>
    <fill>
      <patternFill patternType="solid">
        <fgColor indexed="13"/>
        <bgColor indexed="64"/>
      </patternFill>
    </fill>
    <fill>
      <patternFill patternType="lightGray">
        <fgColor indexed="8"/>
      </patternFill>
    </fill>
    <fill>
      <patternFill patternType="lightGray">
        <fgColor indexed="8"/>
        <bgColor indexed="13"/>
      </patternFill>
    </fill>
    <fill>
      <patternFill patternType="solid">
        <fgColor indexed="11"/>
        <bgColor indexed="8"/>
      </patternFill>
    </fill>
    <fill>
      <patternFill patternType="solid">
        <fgColor indexed="8"/>
      </patternFill>
    </fill>
    <fill>
      <patternFill patternType="solid">
        <fgColor indexed="29"/>
        <bgColor indexed="8"/>
      </patternFill>
    </fill>
    <fill>
      <patternFill patternType="solid">
        <fgColor indexed="63"/>
        <bgColor indexed="8"/>
      </patternFill>
    </fill>
    <fill>
      <patternFill patternType="solid">
        <fgColor rgb="FFFFFF9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8"/>
      </left>
      <right style="medium">
        <color indexed="8"/>
      </right>
      <top/>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30">
    <xf numFmtId="0" fontId="0" fillId="0" borderId="0"/>
    <xf numFmtId="0" fontId="6" fillId="0" borderId="0"/>
    <xf numFmtId="0" fontId="6" fillId="0" borderId="0"/>
    <xf numFmtId="0" fontId="3" fillId="0" borderId="0"/>
    <xf numFmtId="43" fontId="6" fillId="0" borderId="0" applyFont="0" applyFill="0" applyBorder="0" applyAlignment="0" applyProtection="0"/>
    <xf numFmtId="0" fontId="19" fillId="10" borderId="26"/>
    <xf numFmtId="0" fontId="20" fillId="10" borderId="0"/>
    <xf numFmtId="0" fontId="20" fillId="10" borderId="0"/>
    <xf numFmtId="0" fontId="20" fillId="11" borderId="0"/>
    <xf numFmtId="166" fontId="21" fillId="12" borderId="26">
      <protection locked="0"/>
    </xf>
    <xf numFmtId="0" fontId="22" fillId="13" borderId="27" applyFont="0" applyBorder="0"/>
    <xf numFmtId="0" fontId="20" fillId="10" borderId="0"/>
    <xf numFmtId="0" fontId="3" fillId="0" borderId="0"/>
    <xf numFmtId="0" fontId="20" fillId="0" borderId="0"/>
    <xf numFmtId="0" fontId="20" fillId="0" borderId="0"/>
    <xf numFmtId="0" fontId="20" fillId="0" borderId="0"/>
    <xf numFmtId="0" fontId="19" fillId="10" borderId="0"/>
    <xf numFmtId="0" fontId="21" fillId="14" borderId="28" applyProtection="0">
      <protection locked="0"/>
    </xf>
    <xf numFmtId="0" fontId="20" fillId="10" borderId="0"/>
    <xf numFmtId="0" fontId="23" fillId="15" borderId="29" applyBorder="0"/>
    <xf numFmtId="0" fontId="19" fillId="13" borderId="26"/>
    <xf numFmtId="0" fontId="2" fillId="0" borderId="0"/>
    <xf numFmtId="0" fontId="2" fillId="0" borderId="0"/>
    <xf numFmtId="0" fontId="26"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98">
    <xf numFmtId="0" fontId="0" fillId="0" borderId="0" xfId="0"/>
    <xf numFmtId="2" fontId="0" fillId="0" borderId="0" xfId="0" applyNumberFormat="1"/>
    <xf numFmtId="2" fontId="0" fillId="2" borderId="1" xfId="0" applyNumberFormat="1" applyFill="1" applyBorder="1" applyAlignment="1">
      <alignment horizontal="center"/>
    </xf>
    <xf numFmtId="164" fontId="0" fillId="2" borderId="1" xfId="0" applyNumberFormat="1" applyFill="1" applyBorder="1" applyAlignment="1">
      <alignment horizontal="center"/>
    </xf>
    <xf numFmtId="1" fontId="0" fillId="2" borderId="1" xfId="0" applyNumberForma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6" fillId="0" borderId="0" xfId="2"/>
    <xf numFmtId="0" fontId="6" fillId="0" borderId="0" xfId="2" applyBorder="1"/>
    <xf numFmtId="0" fontId="3" fillId="4" borderId="14" xfId="3" applyFill="1" applyBorder="1" applyAlignment="1">
      <alignment horizontal="center"/>
    </xf>
    <xf numFmtId="0" fontId="11" fillId="0" borderId="0" xfId="2" applyFont="1" applyBorder="1" applyAlignment="1">
      <alignment horizontal="center" vertical="center" wrapText="1"/>
    </xf>
    <xf numFmtId="0" fontId="3" fillId="4" borderId="15" xfId="3" applyFill="1" applyBorder="1" applyAlignment="1">
      <alignment horizontal="center"/>
    </xf>
    <xf numFmtId="0" fontId="15" fillId="0" borderId="0" xfId="2" applyFont="1"/>
    <xf numFmtId="167" fontId="15" fillId="0" borderId="0" xfId="2" applyNumberFormat="1" applyFont="1" applyProtection="1"/>
    <xf numFmtId="0" fontId="15" fillId="0" borderId="0" xfId="2" applyFont="1" applyProtection="1"/>
    <xf numFmtId="0" fontId="15" fillId="0" borderId="0" xfId="2" applyFont="1" applyAlignment="1">
      <alignment horizontal="right"/>
    </xf>
    <xf numFmtId="0" fontId="15" fillId="0" borderId="11" xfId="2" applyFont="1" applyBorder="1" applyAlignment="1">
      <alignment horizontal="center"/>
    </xf>
    <xf numFmtId="167" fontId="15" fillId="0" borderId="11" xfId="2" applyNumberFormat="1" applyFont="1" applyBorder="1" applyAlignment="1" applyProtection="1">
      <alignment horizontal="center"/>
    </xf>
    <xf numFmtId="0" fontId="15" fillId="0" borderId="11" xfId="2" applyFont="1" applyBorder="1" applyAlignment="1" applyProtection="1">
      <alignment horizontal="center"/>
    </xf>
    <xf numFmtId="0" fontId="15" fillId="0" borderId="7" xfId="2" applyFont="1" applyBorder="1" applyAlignment="1">
      <alignment horizontal="center"/>
    </xf>
    <xf numFmtId="167" fontId="15" fillId="0" borderId="7" xfId="2" applyNumberFormat="1" applyFont="1" applyBorder="1" applyAlignment="1" applyProtection="1">
      <alignment horizontal="center"/>
    </xf>
    <xf numFmtId="0" fontId="15" fillId="0" borderId="7" xfId="2" applyFont="1" applyBorder="1" applyAlignment="1" applyProtection="1">
      <alignment horizontal="center"/>
    </xf>
    <xf numFmtId="0" fontId="6" fillId="0" borderId="7" xfId="2" applyBorder="1" applyAlignment="1">
      <alignment horizontal="center"/>
    </xf>
    <xf numFmtId="0" fontId="15" fillId="0" borderId="1" xfId="2" applyFont="1" applyBorder="1" applyAlignment="1">
      <alignment horizontal="center"/>
    </xf>
    <xf numFmtId="43" fontId="15" fillId="0" borderId="1" xfId="4" applyFont="1" applyBorder="1" applyAlignment="1" applyProtection="1">
      <alignment horizontal="center"/>
    </xf>
    <xf numFmtId="43" fontId="15" fillId="0" borderId="1" xfId="2" applyNumberFormat="1" applyFont="1" applyBorder="1" applyAlignment="1" applyProtection="1">
      <alignment horizontal="center"/>
    </xf>
    <xf numFmtId="165" fontId="15" fillId="0" borderId="1" xfId="2" applyNumberFormat="1" applyFont="1" applyBorder="1" applyAlignment="1">
      <alignment horizontal="center"/>
    </xf>
    <xf numFmtId="168" fontId="15" fillId="0" borderId="1" xfId="2" applyNumberFormat="1" applyFont="1" applyBorder="1" applyAlignment="1">
      <alignment horizontal="center"/>
    </xf>
    <xf numFmtId="0" fontId="15" fillId="9" borderId="1" xfId="2" applyFont="1" applyFill="1" applyBorder="1" applyAlignment="1">
      <alignment horizontal="center"/>
    </xf>
    <xf numFmtId="169" fontId="15" fillId="0" borderId="1" xfId="4" applyNumberFormat="1" applyFont="1" applyBorder="1" applyAlignment="1" applyProtection="1">
      <alignment horizontal="center"/>
    </xf>
    <xf numFmtId="0" fontId="15" fillId="0" borderId="0" xfId="2" applyFont="1" applyBorder="1"/>
    <xf numFmtId="0" fontId="15" fillId="0" borderId="1" xfId="2" applyFont="1" applyBorder="1"/>
    <xf numFmtId="168" fontId="15" fillId="0" borderId="0" xfId="2" applyNumberFormat="1" applyFont="1" applyAlignment="1">
      <alignment horizontal="center"/>
    </xf>
    <xf numFmtId="0" fontId="15" fillId="9" borderId="1" xfId="2" applyFont="1" applyFill="1" applyBorder="1"/>
    <xf numFmtId="0" fontId="15" fillId="0" borderId="0" xfId="2" applyFont="1" applyBorder="1" applyProtection="1"/>
    <xf numFmtId="2" fontId="6" fillId="0" borderId="0" xfId="2" applyNumberFormat="1"/>
    <xf numFmtId="0" fontId="6" fillId="0" borderId="0" xfId="2" applyFont="1" applyAlignment="1"/>
    <xf numFmtId="2" fontId="15" fillId="0" borderId="0" xfId="2" applyNumberFormat="1" applyFont="1"/>
    <xf numFmtId="165" fontId="18" fillId="0" borderId="1" xfId="2" applyNumberFormat="1" applyFont="1" applyBorder="1" applyAlignment="1">
      <alignment horizontal="center"/>
    </xf>
    <xf numFmtId="0" fontId="9" fillId="0" borderId="0" xfId="2" applyFont="1" applyBorder="1" applyAlignment="1">
      <alignment horizontal="left" vertical="center" wrapText="1"/>
    </xf>
    <xf numFmtId="0" fontId="10" fillId="7" borderId="30" xfId="2" applyFont="1" applyFill="1" applyBorder="1" applyAlignment="1">
      <alignment horizontal="center" vertical="center" wrapText="1"/>
    </xf>
    <xf numFmtId="1" fontId="10" fillId="0" borderId="22" xfId="1" applyNumberFormat="1" applyFont="1" applyBorder="1" applyAlignment="1" applyProtection="1">
      <alignment horizontal="center" vertical="center"/>
      <protection locked="0"/>
    </xf>
    <xf numFmtId="0" fontId="10" fillId="7" borderId="17" xfId="2" applyFont="1" applyFill="1" applyBorder="1" applyAlignment="1">
      <alignment horizontal="right" vertical="center" wrapText="1"/>
    </xf>
    <xf numFmtId="0" fontId="10" fillId="8" borderId="21" xfId="1" applyFont="1" applyFill="1" applyBorder="1" applyAlignment="1">
      <alignment horizontal="center" vertical="center"/>
    </xf>
    <xf numFmtId="165" fontId="6" fillId="0" borderId="0" xfId="2" applyNumberFormat="1"/>
    <xf numFmtId="2" fontId="0" fillId="2" borderId="2" xfId="0" applyNumberFormat="1" applyFill="1" applyBorder="1" applyAlignment="1">
      <alignment horizontal="center"/>
    </xf>
    <xf numFmtId="0" fontId="3" fillId="4" borderId="17" xfId="3" applyFill="1" applyBorder="1" applyAlignment="1">
      <alignment horizontal="center"/>
    </xf>
    <xf numFmtId="0" fontId="3" fillId="4" borderId="16" xfId="3" applyFill="1" applyBorder="1" applyAlignment="1">
      <alignment horizontal="center"/>
    </xf>
    <xf numFmtId="2" fontId="10" fillId="0" borderId="0" xfId="2" applyNumberFormat="1" applyFont="1" applyAlignment="1">
      <alignment horizontal="center"/>
    </xf>
    <xf numFmtId="0" fontId="27" fillId="0" borderId="0" xfId="2" applyFont="1"/>
    <xf numFmtId="0" fontId="10" fillId="0" borderId="0" xfId="2" applyFont="1"/>
    <xf numFmtId="0" fontId="28" fillId="3" borderId="6" xfId="0" applyFont="1" applyFill="1" applyBorder="1"/>
    <xf numFmtId="0" fontId="29" fillId="0" borderId="0" xfId="2" applyFont="1"/>
    <xf numFmtId="2" fontId="30" fillId="0" borderId="0" xfId="2" applyNumberFormat="1" applyFont="1" applyAlignment="1">
      <alignment horizontal="center"/>
    </xf>
    <xf numFmtId="0" fontId="3" fillId="0" borderId="0" xfId="3" applyFill="1" applyBorder="1" applyAlignment="1">
      <alignment horizontal="center"/>
    </xf>
    <xf numFmtId="1" fontId="10" fillId="8" borderId="21" xfId="1" applyNumberFormat="1" applyFont="1" applyFill="1" applyBorder="1" applyAlignment="1">
      <alignment horizontal="center" vertical="center"/>
    </xf>
    <xf numFmtId="0" fontId="6" fillId="0" borderId="1" xfId="2" applyFont="1" applyBorder="1" applyAlignment="1">
      <alignment horizontal="center"/>
    </xf>
    <xf numFmtId="0" fontId="6" fillId="0" borderId="0" xfId="2"/>
    <xf numFmtId="0" fontId="6" fillId="0" borderId="0" xfId="2" applyFont="1"/>
    <xf numFmtId="0" fontId="15" fillId="0" borderId="0" xfId="2" applyFont="1" applyProtection="1"/>
    <xf numFmtId="0" fontId="15" fillId="0" borderId="0" xfId="2" applyFont="1"/>
    <xf numFmtId="167" fontId="15" fillId="0" borderId="0" xfId="2" applyNumberFormat="1" applyFont="1" applyProtection="1"/>
    <xf numFmtId="0" fontId="15" fillId="0" borderId="5" xfId="2" applyFont="1" applyBorder="1"/>
    <xf numFmtId="0" fontId="15" fillId="0" borderId="0" xfId="2" applyFont="1" applyAlignment="1">
      <alignment horizontal="right"/>
    </xf>
    <xf numFmtId="0" fontId="15" fillId="0" borderId="11" xfId="2" applyFont="1" applyBorder="1" applyAlignment="1">
      <alignment horizontal="center"/>
    </xf>
    <xf numFmtId="167" fontId="15" fillId="0" borderId="11" xfId="2" applyNumberFormat="1" applyFont="1" applyBorder="1" applyAlignment="1" applyProtection="1">
      <alignment horizontal="center"/>
    </xf>
    <xf numFmtId="0" fontId="15" fillId="0" borderId="11" xfId="2" applyFont="1" applyBorder="1" applyAlignment="1" applyProtection="1">
      <alignment horizontal="center"/>
    </xf>
    <xf numFmtId="0" fontId="15" fillId="0" borderId="7" xfId="2" applyFont="1" applyBorder="1" applyAlignment="1">
      <alignment horizontal="center"/>
    </xf>
    <xf numFmtId="167" fontId="15" fillId="0" borderId="7" xfId="2" applyNumberFormat="1" applyFont="1" applyBorder="1" applyAlignment="1" applyProtection="1">
      <alignment horizontal="center"/>
    </xf>
    <xf numFmtId="0" fontId="15" fillId="0" borderId="7" xfId="2" applyFont="1" applyBorder="1" applyAlignment="1" applyProtection="1">
      <alignment horizontal="center"/>
    </xf>
    <xf numFmtId="0" fontId="6" fillId="0" borderId="7" xfId="2" applyBorder="1" applyAlignment="1">
      <alignment horizontal="center"/>
    </xf>
    <xf numFmtId="0" fontId="15" fillId="0" borderId="5" xfId="2" applyFont="1" applyBorder="1" applyAlignment="1">
      <alignment horizontal="center"/>
    </xf>
    <xf numFmtId="167" fontId="15" fillId="0" borderId="0" xfId="2" applyNumberFormat="1" applyFont="1" applyAlignment="1" applyProtection="1">
      <alignment horizontal="center"/>
    </xf>
    <xf numFmtId="0" fontId="15" fillId="0" borderId="0" xfId="2" applyFont="1" applyAlignment="1" applyProtection="1">
      <alignment horizontal="center"/>
    </xf>
    <xf numFmtId="0" fontId="15" fillId="0" borderId="0" xfId="2" applyFont="1" applyAlignment="1">
      <alignment horizontal="center"/>
    </xf>
    <xf numFmtId="0" fontId="6" fillId="0" borderId="0" xfId="2" applyAlignment="1">
      <alignment horizontal="center"/>
    </xf>
    <xf numFmtId="0" fontId="15" fillId="0" borderId="1" xfId="2" applyFont="1" applyBorder="1" applyAlignment="1">
      <alignment horizontal="center"/>
    </xf>
    <xf numFmtId="43" fontId="15" fillId="0" borderId="1" xfId="4" applyFont="1" applyBorder="1" applyAlignment="1" applyProtection="1">
      <alignment horizontal="center"/>
    </xf>
    <xf numFmtId="43" fontId="15" fillId="0" borderId="1" xfId="2" applyNumberFormat="1" applyFont="1" applyBorder="1" applyAlignment="1" applyProtection="1">
      <alignment horizontal="center"/>
    </xf>
    <xf numFmtId="165" fontId="15" fillId="0" borderId="1" xfId="2" applyNumberFormat="1" applyFont="1" applyBorder="1" applyAlignment="1">
      <alignment horizontal="center"/>
    </xf>
    <xf numFmtId="168" fontId="15" fillId="0" borderId="1" xfId="2" applyNumberFormat="1" applyFont="1" applyBorder="1" applyAlignment="1">
      <alignment horizontal="center"/>
    </xf>
    <xf numFmtId="0" fontId="15" fillId="9" borderId="1" xfId="2" applyFont="1" applyFill="1" applyBorder="1" applyAlignment="1">
      <alignment horizontal="center"/>
    </xf>
    <xf numFmtId="2" fontId="8" fillId="0" borderId="1" xfId="2" applyNumberFormat="1" applyFont="1" applyBorder="1" applyAlignment="1">
      <alignment horizontal="center"/>
    </xf>
    <xf numFmtId="0" fontId="6" fillId="0" borderId="1" xfId="2" applyBorder="1" applyAlignment="1">
      <alignment horizontal="center"/>
    </xf>
    <xf numFmtId="0" fontId="15" fillId="0" borderId="4" xfId="2" applyFont="1" applyBorder="1"/>
    <xf numFmtId="0" fontId="15" fillId="0" borderId="3" xfId="2" applyFont="1" applyBorder="1"/>
    <xf numFmtId="2" fontId="8" fillId="0" borderId="3" xfId="2" applyNumberFormat="1" applyFont="1" applyBorder="1"/>
    <xf numFmtId="168" fontId="15" fillId="0" borderId="3" xfId="2" applyNumberFormat="1" applyFont="1" applyBorder="1" applyAlignment="1">
      <alignment horizontal="center"/>
    </xf>
    <xf numFmtId="0" fontId="15" fillId="0" borderId="0" xfId="2" applyFont="1" applyBorder="1"/>
    <xf numFmtId="2" fontId="8" fillId="0" borderId="0" xfId="2" applyNumberFormat="1" applyFont="1" applyBorder="1"/>
    <xf numFmtId="168" fontId="15" fillId="0" borderId="0" xfId="2" applyNumberFormat="1" applyFont="1" applyBorder="1" applyAlignment="1">
      <alignment horizontal="center"/>
    </xf>
    <xf numFmtId="0" fontId="15" fillId="0" borderId="1" xfId="2" applyFont="1" applyBorder="1"/>
    <xf numFmtId="164" fontId="15" fillId="0" borderId="1" xfId="2" applyNumberFormat="1" applyFont="1" applyBorder="1"/>
    <xf numFmtId="164" fontId="15" fillId="0" borderId="1" xfId="2" applyNumberFormat="1" applyFont="1" applyBorder="1" applyProtection="1"/>
    <xf numFmtId="0" fontId="15" fillId="0" borderId="1" xfId="2" applyFont="1" applyBorder="1" applyProtection="1"/>
    <xf numFmtId="0" fontId="6" fillId="0" borderId="1" xfId="2" applyBorder="1"/>
    <xf numFmtId="168" fontId="15" fillId="0" borderId="0" xfId="2" applyNumberFormat="1" applyFont="1" applyAlignment="1">
      <alignment horizontal="center"/>
    </xf>
    <xf numFmtId="0" fontId="15" fillId="9" borderId="1" xfId="2" applyFont="1" applyFill="1" applyBorder="1"/>
    <xf numFmtId="0" fontId="6" fillId="0" borderId="0" xfId="2" applyBorder="1"/>
    <xf numFmtId="0" fontId="15" fillId="0" borderId="0" xfId="2" applyFont="1" applyBorder="1" applyProtection="1"/>
    <xf numFmtId="2" fontId="6" fillId="0" borderId="0" xfId="2" applyNumberFormat="1"/>
    <xf numFmtId="0" fontId="6" fillId="0" borderId="0" xfId="2" applyFont="1" applyAlignment="1"/>
    <xf numFmtId="165" fontId="18" fillId="0" borderId="1" xfId="2" applyNumberFormat="1" applyFont="1" applyBorder="1" applyAlignment="1">
      <alignment horizontal="center"/>
    </xf>
    <xf numFmtId="0" fontId="16" fillId="0" borderId="1" xfId="2" applyFont="1" applyBorder="1"/>
    <xf numFmtId="0" fontId="16" fillId="0" borderId="0" xfId="2" applyFont="1" applyBorder="1"/>
    <xf numFmtId="0" fontId="6" fillId="0" borderId="0" xfId="2"/>
    <xf numFmtId="0" fontId="15" fillId="0" borderId="0" xfId="2" applyFont="1"/>
    <xf numFmtId="168" fontId="15" fillId="0" borderId="0" xfId="2" applyNumberFormat="1" applyFont="1" applyAlignment="1">
      <alignment horizontal="center"/>
    </xf>
    <xf numFmtId="0" fontId="6" fillId="0" borderId="0" xfId="2" applyFont="1" applyAlignment="1"/>
    <xf numFmtId="165" fontId="18" fillId="0" borderId="1" xfId="2" applyNumberFormat="1" applyFont="1" applyBorder="1" applyAlignment="1">
      <alignment horizontal="center"/>
    </xf>
    <xf numFmtId="0" fontId="9" fillId="0" borderId="0" xfId="2" applyFont="1" applyBorder="1" applyAlignment="1">
      <alignment horizontal="left" vertical="center" wrapText="1"/>
    </xf>
    <xf numFmtId="165" fontId="13" fillId="8" borderId="25" xfId="2" applyNumberFormat="1" applyFont="1" applyFill="1" applyBorder="1" applyAlignment="1" applyProtection="1">
      <alignment horizontal="center" vertical="center"/>
    </xf>
    <xf numFmtId="165" fontId="13" fillId="8" borderId="22" xfId="2" applyNumberFormat="1" applyFont="1" applyFill="1" applyBorder="1" applyAlignment="1" applyProtection="1">
      <alignment horizontal="center" vertical="center"/>
    </xf>
    <xf numFmtId="165" fontId="12" fillId="0" borderId="22" xfId="2" applyNumberFormat="1" applyFont="1" applyFill="1" applyBorder="1" applyAlignment="1" applyProtection="1">
      <alignment horizontal="center"/>
    </xf>
    <xf numFmtId="166" fontId="12" fillId="0" borderId="24" xfId="2" applyNumberFormat="1" applyFont="1" applyFill="1" applyBorder="1" applyAlignment="1" applyProtection="1">
      <alignment horizontal="center" vertical="center"/>
      <protection locked="0"/>
    </xf>
    <xf numFmtId="0" fontId="10" fillId="7" borderId="22" xfId="2" applyFont="1" applyFill="1" applyBorder="1" applyAlignment="1">
      <alignment horizontal="right" vertical="center" wrapText="1"/>
    </xf>
    <xf numFmtId="0" fontId="10" fillId="7" borderId="23" xfId="2" applyFont="1" applyFill="1" applyBorder="1" applyAlignment="1">
      <alignment horizontal="center" vertical="center" wrapText="1"/>
    </xf>
    <xf numFmtId="0" fontId="10" fillId="7" borderId="21" xfId="2" applyFont="1" applyFill="1" applyBorder="1" applyAlignment="1">
      <alignment horizontal="center" vertical="center" wrapText="1"/>
    </xf>
    <xf numFmtId="165" fontId="12" fillId="0" borderId="22" xfId="2" applyNumberFormat="1" applyFont="1" applyFill="1" applyBorder="1" applyAlignment="1" applyProtection="1">
      <alignment horizontal="center" vertical="center"/>
      <protection locked="0"/>
    </xf>
    <xf numFmtId="0" fontId="10" fillId="7" borderId="22" xfId="1" applyFont="1" applyFill="1" applyBorder="1" applyAlignment="1">
      <alignment horizontal="right" vertical="center" wrapText="1"/>
    </xf>
    <xf numFmtId="0" fontId="10" fillId="7" borderId="22" xfId="1" applyFont="1" applyFill="1" applyBorder="1" applyAlignment="1">
      <alignment horizontal="right" vertical="center"/>
    </xf>
    <xf numFmtId="0" fontId="10" fillId="7" borderId="12" xfId="2" applyFont="1" applyFill="1" applyBorder="1" applyAlignment="1">
      <alignment horizontal="center" vertical="center" wrapText="1"/>
    </xf>
    <xf numFmtId="0" fontId="10" fillId="7" borderId="22" xfId="2" applyFont="1" applyFill="1" applyBorder="1" applyAlignment="1">
      <alignment horizontal="center" vertical="center" wrapText="1"/>
    </xf>
    <xf numFmtId="0" fontId="3" fillId="4" borderId="0" xfId="3" applyFill="1" applyBorder="1" applyAlignment="1"/>
    <xf numFmtId="0" fontId="3" fillId="4" borderId="30" xfId="3" applyFill="1" applyBorder="1" applyAlignment="1">
      <alignment horizontal="center"/>
    </xf>
    <xf numFmtId="0" fontId="10" fillId="7" borderId="20" xfId="2" applyFont="1" applyFill="1" applyBorder="1" applyAlignment="1">
      <alignment horizontal="right" vertical="center" wrapText="1"/>
    </xf>
    <xf numFmtId="0" fontId="10" fillId="7" borderId="30" xfId="2" applyFont="1" applyFill="1" applyBorder="1" applyAlignment="1">
      <alignment horizontal="right" vertical="center" wrapText="1"/>
    </xf>
    <xf numFmtId="0" fontId="3" fillId="4" borderId="13" xfId="3" applyFill="1" applyBorder="1" applyAlignment="1"/>
    <xf numFmtId="14" fontId="14" fillId="5" borderId="31" xfId="3" applyNumberFormat="1" applyFont="1" applyFill="1" applyBorder="1" applyAlignment="1">
      <alignment horizontal="center" vertical="center" wrapText="1"/>
    </xf>
    <xf numFmtId="165" fontId="14" fillId="5" borderId="31" xfId="3" applyNumberFormat="1" applyFont="1" applyFill="1" applyBorder="1" applyAlignment="1">
      <alignment horizontal="center" vertical="center" wrapText="1"/>
    </xf>
    <xf numFmtId="0" fontId="31" fillId="0" borderId="0" xfId="2" applyFont="1" applyAlignment="1">
      <alignment vertical="center"/>
    </xf>
    <xf numFmtId="0" fontId="3" fillId="4" borderId="0" xfId="3" applyFill="1" applyBorder="1" applyAlignment="1">
      <alignment horizontal="center"/>
    </xf>
    <xf numFmtId="165" fontId="13" fillId="3" borderId="22" xfId="2" applyNumberFormat="1" applyFont="1" applyFill="1" applyBorder="1" applyAlignment="1" applyProtection="1">
      <alignment horizontal="center" vertical="center"/>
    </xf>
    <xf numFmtId="165" fontId="12" fillId="0" borderId="22" xfId="2" applyNumberFormat="1" applyFont="1" applyFill="1" applyBorder="1" applyAlignment="1" applyProtection="1">
      <alignment horizontal="center" vertical="center"/>
    </xf>
    <xf numFmtId="165" fontId="12" fillId="0" borderId="25" xfId="2" applyNumberFormat="1" applyFont="1" applyFill="1" applyBorder="1" applyAlignment="1" applyProtection="1">
      <alignment horizontal="center" vertical="center"/>
    </xf>
    <xf numFmtId="165" fontId="9" fillId="0" borderId="0" xfId="2" applyNumberFormat="1" applyFont="1" applyBorder="1" applyAlignment="1">
      <alignment horizontal="left" vertical="center" wrapText="1"/>
    </xf>
    <xf numFmtId="0" fontId="10" fillId="7" borderId="8" xfId="2" applyFont="1" applyFill="1" applyBorder="1" applyAlignment="1">
      <alignment horizontal="right" vertical="center" wrapText="1"/>
    </xf>
    <xf numFmtId="0" fontId="3" fillId="4" borderId="19" xfId="3" applyFill="1" applyBorder="1" applyAlignment="1">
      <alignment horizontal="center"/>
    </xf>
    <xf numFmtId="0" fontId="3" fillId="4" borderId="0" xfId="3" applyFill="1" applyBorder="1" applyAlignment="1">
      <alignment horizontal="center"/>
    </xf>
    <xf numFmtId="0" fontId="0" fillId="0" borderId="0" xfId="0"/>
    <xf numFmtId="0" fontId="3" fillId="4" borderId="20" xfId="3" applyFill="1" applyBorder="1" applyAlignment="1">
      <alignment horizontal="center"/>
    </xf>
    <xf numFmtId="0" fontId="3" fillId="4" borderId="13" xfId="3" applyFill="1" applyBorder="1" applyAlignment="1">
      <alignment horizontal="center"/>
    </xf>
    <xf numFmtId="0" fontId="3" fillId="4" borderId="18" xfId="3" applyFill="1" applyBorder="1" applyAlignment="1">
      <alignment horizontal="center"/>
    </xf>
    <xf numFmtId="0" fontId="13" fillId="0" borderId="0" xfId="2" applyFont="1"/>
    <xf numFmtId="0" fontId="10" fillId="7" borderId="18" xfId="1" applyFont="1" applyFill="1" applyBorder="1" applyAlignment="1">
      <alignment horizontal="right" vertical="center" wrapText="1"/>
    </xf>
    <xf numFmtId="165" fontId="13" fillId="8" borderId="21" xfId="2" applyNumberFormat="1" applyFont="1" applyFill="1" applyBorder="1" applyAlignment="1" applyProtection="1">
      <alignment horizontal="center" vertical="center"/>
    </xf>
    <xf numFmtId="0" fontId="34" fillId="0" borderId="0" xfId="2" applyFont="1"/>
    <xf numFmtId="165" fontId="35" fillId="0" borderId="0" xfId="2" applyNumberFormat="1" applyFont="1"/>
    <xf numFmtId="168" fontId="35" fillId="0" borderId="0" xfId="2" applyNumberFormat="1" applyFont="1" applyAlignment="1">
      <alignment horizontal="center"/>
    </xf>
    <xf numFmtId="165" fontId="36" fillId="0" borderId="1" xfId="2" applyNumberFormat="1" applyFont="1" applyBorder="1" applyAlignment="1">
      <alignment horizontal="center"/>
    </xf>
    <xf numFmtId="165" fontId="34" fillId="0" borderId="0" xfId="2" applyNumberFormat="1" applyFont="1"/>
    <xf numFmtId="0" fontId="14" fillId="5" borderId="1" xfId="3" applyFont="1" applyFill="1" applyBorder="1" applyAlignment="1">
      <alignment horizontal="right" vertical="center" wrapText="1"/>
    </xf>
    <xf numFmtId="0" fontId="33" fillId="6" borderId="8" xfId="2" applyFont="1" applyFill="1" applyBorder="1" applyAlignment="1">
      <alignment horizontal="center"/>
    </xf>
    <xf numFmtId="0" fontId="33" fillId="6" borderId="9" xfId="2" applyFont="1" applyFill="1" applyBorder="1" applyAlignment="1">
      <alignment horizontal="center"/>
    </xf>
    <xf numFmtId="0" fontId="33" fillId="6" borderId="10" xfId="2" applyFont="1" applyFill="1" applyBorder="1" applyAlignment="1">
      <alignment horizontal="center"/>
    </xf>
    <xf numFmtId="0" fontId="10" fillId="7" borderId="8" xfId="2" applyFont="1" applyFill="1" applyBorder="1" applyAlignment="1">
      <alignment horizontal="center" vertical="center" wrapText="1"/>
    </xf>
    <xf numFmtId="0" fontId="10" fillId="7" borderId="15" xfId="2" applyFont="1" applyFill="1" applyBorder="1" applyAlignment="1">
      <alignment horizontal="center" vertical="center" wrapText="1"/>
    </xf>
    <xf numFmtId="0" fontId="24" fillId="16" borderId="8" xfId="1" applyFont="1" applyFill="1" applyBorder="1" applyAlignment="1">
      <alignment horizontal="left" vertical="top" wrapText="1"/>
    </xf>
    <xf numFmtId="0" fontId="24" fillId="16" borderId="9" xfId="1" applyFont="1" applyFill="1" applyBorder="1" applyAlignment="1">
      <alignment horizontal="left" vertical="top" wrapText="1"/>
    </xf>
    <xf numFmtId="0" fontId="24" fillId="16" borderId="10" xfId="1" applyFont="1" applyFill="1" applyBorder="1" applyAlignment="1">
      <alignment horizontal="left" vertical="top" wrapText="1"/>
    </xf>
    <xf numFmtId="0" fontId="7" fillId="6" borderId="8" xfId="2" applyFont="1" applyFill="1" applyBorder="1" applyAlignment="1">
      <alignment horizontal="center"/>
    </xf>
    <xf numFmtId="0" fontId="7" fillId="6" borderId="9" xfId="2" applyFont="1" applyFill="1" applyBorder="1" applyAlignment="1">
      <alignment horizontal="center"/>
    </xf>
    <xf numFmtId="0" fontId="7" fillId="6" borderId="10" xfId="2" applyFont="1" applyFill="1" applyBorder="1" applyAlignment="1">
      <alignment horizontal="center"/>
    </xf>
    <xf numFmtId="0" fontId="32" fillId="6" borderId="8" xfId="2" applyFont="1" applyFill="1" applyBorder="1" applyAlignment="1">
      <alignment horizontal="left"/>
    </xf>
    <xf numFmtId="0" fontId="32" fillId="6" borderId="9" xfId="2" applyFont="1" applyFill="1" applyBorder="1" applyAlignment="1">
      <alignment horizontal="left"/>
    </xf>
    <xf numFmtId="0" fontId="32" fillId="6" borderId="19" xfId="2" applyFont="1" applyFill="1" applyBorder="1" applyAlignment="1">
      <alignment horizontal="left"/>
    </xf>
    <xf numFmtId="0" fontId="32" fillId="6" borderId="18" xfId="2" applyFont="1" applyFill="1" applyBorder="1" applyAlignment="1">
      <alignment horizontal="left"/>
    </xf>
    <xf numFmtId="0" fontId="9" fillId="0" borderId="3" xfId="2" applyFont="1" applyBorder="1" applyAlignment="1">
      <alignment horizontal="left" vertical="top" wrapText="1"/>
    </xf>
    <xf numFmtId="0" fontId="9" fillId="0" borderId="0" xfId="2" applyFont="1" applyBorder="1" applyAlignment="1">
      <alignment horizontal="left" vertical="top" wrapText="1"/>
    </xf>
    <xf numFmtId="0" fontId="17" fillId="0" borderId="0" xfId="3" quotePrefix="1" applyFont="1" applyBorder="1" applyAlignment="1">
      <alignment horizontal="center" wrapText="1"/>
    </xf>
    <xf numFmtId="0" fontId="9" fillId="0" borderId="33" xfId="2" applyFont="1" applyBorder="1" applyAlignment="1">
      <alignment horizontal="left" vertical="center" wrapText="1"/>
    </xf>
    <xf numFmtId="0" fontId="0" fillId="0" borderId="0" xfId="0"/>
    <xf numFmtId="0" fontId="7" fillId="6" borderId="19" xfId="2" applyFont="1" applyFill="1" applyBorder="1" applyAlignment="1">
      <alignment horizontal="center"/>
    </xf>
    <xf numFmtId="0" fontId="7" fillId="6" borderId="18" xfId="2" applyFont="1" applyFill="1" applyBorder="1" applyAlignment="1">
      <alignment horizontal="center"/>
    </xf>
    <xf numFmtId="0" fontId="11" fillId="0" borderId="32" xfId="2" applyFont="1" applyBorder="1" applyAlignment="1">
      <alignment horizontal="center" vertical="center" wrapText="1"/>
    </xf>
    <xf numFmtId="0" fontId="11" fillId="0" borderId="33" xfId="2" applyFont="1" applyBorder="1" applyAlignment="1">
      <alignment horizontal="center" vertical="center" wrapText="1"/>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10" fillId="0" borderId="10" xfId="2" applyFont="1" applyBorder="1" applyAlignment="1">
      <alignment horizontal="left" vertical="center"/>
    </xf>
    <xf numFmtId="0" fontId="3" fillId="4" borderId="19" xfId="3" applyFill="1" applyBorder="1" applyAlignment="1">
      <alignment horizontal="center"/>
    </xf>
    <xf numFmtId="0" fontId="3" fillId="4" borderId="0" xfId="3" applyFill="1" applyBorder="1" applyAlignment="1">
      <alignment horizontal="center"/>
    </xf>
    <xf numFmtId="0" fontId="3" fillId="4" borderId="20" xfId="3" applyFill="1" applyBorder="1" applyAlignment="1">
      <alignment horizontal="center"/>
    </xf>
    <xf numFmtId="0" fontId="3" fillId="4" borderId="13" xfId="3" applyFill="1" applyBorder="1" applyAlignment="1">
      <alignment horizontal="center"/>
    </xf>
    <xf numFmtId="0" fontId="3" fillId="4" borderId="18" xfId="3" applyFill="1" applyBorder="1" applyAlignment="1">
      <alignment horizontal="center"/>
    </xf>
    <xf numFmtId="170" fontId="10" fillId="0" borderId="20" xfId="2" applyNumberFormat="1" applyFont="1" applyBorder="1" applyAlignment="1">
      <alignment horizontal="left" vertical="center"/>
    </xf>
    <xf numFmtId="170" fontId="10" fillId="0" borderId="19" xfId="2" applyNumberFormat="1" applyFont="1" applyBorder="1" applyAlignment="1">
      <alignment horizontal="left" vertical="center"/>
    </xf>
    <xf numFmtId="170" fontId="10" fillId="0" borderId="18" xfId="2" applyNumberFormat="1" applyFont="1" applyBorder="1" applyAlignment="1">
      <alignment horizontal="left" vertical="center"/>
    </xf>
    <xf numFmtId="165" fontId="25" fillId="0" borderId="8" xfId="2" applyNumberFormat="1" applyFont="1" applyFill="1" applyBorder="1" applyAlignment="1" applyProtection="1">
      <alignment horizontal="left" vertical="top"/>
      <protection locked="0"/>
    </xf>
    <xf numFmtId="165" fontId="25" fillId="0" borderId="9" xfId="2" applyNumberFormat="1" applyFont="1" applyFill="1" applyBorder="1" applyAlignment="1" applyProtection="1">
      <alignment horizontal="left" vertical="top"/>
      <protection locked="0"/>
    </xf>
    <xf numFmtId="165" fontId="25" fillId="0" borderId="10" xfId="2" applyNumberFormat="1" applyFont="1" applyFill="1" applyBorder="1" applyAlignment="1" applyProtection="1">
      <alignment horizontal="left" vertical="top"/>
      <protection locked="0"/>
    </xf>
    <xf numFmtId="0" fontId="10" fillId="7" borderId="8" xfId="2" applyFont="1" applyFill="1" applyBorder="1" applyAlignment="1">
      <alignment horizontal="right" vertical="center" wrapText="1"/>
    </xf>
    <xf numFmtId="0" fontId="10" fillId="7" borderId="10" xfId="2" applyFont="1" applyFill="1" applyBorder="1" applyAlignment="1">
      <alignment horizontal="right" vertical="center" wrapText="1"/>
    </xf>
    <xf numFmtId="0" fontId="6" fillId="0" borderId="8" xfId="2" applyBorder="1" applyAlignment="1">
      <alignment horizontal="left" vertical="top"/>
    </xf>
    <xf numFmtId="0" fontId="6" fillId="0" borderId="9" xfId="2" applyBorder="1" applyAlignment="1">
      <alignment horizontal="left" vertical="top"/>
    </xf>
    <xf numFmtId="0" fontId="6" fillId="0" borderId="10" xfId="2" applyBorder="1" applyAlignment="1">
      <alignment horizontal="left" vertical="top"/>
    </xf>
    <xf numFmtId="165" fontId="24" fillId="0" borderId="34" xfId="2" applyNumberFormat="1" applyFont="1" applyFill="1" applyBorder="1" applyAlignment="1" applyProtection="1">
      <alignment horizontal="center" vertical="center"/>
    </xf>
    <xf numFmtId="165" fontId="24" fillId="0" borderId="35" xfId="2" applyNumberFormat="1" applyFont="1" applyFill="1" applyBorder="1" applyAlignment="1" applyProtection="1">
      <alignment horizontal="center" vertical="center"/>
    </xf>
    <xf numFmtId="0" fontId="32" fillId="6" borderId="10" xfId="2" applyFont="1" applyFill="1" applyBorder="1" applyAlignment="1">
      <alignment horizontal="left"/>
    </xf>
  </cellXfs>
  <cellStyles count="30">
    <cellStyle name="2ND HE - Style7" xfId="5"/>
    <cellStyle name="Carry  - Style6" xfId="6"/>
    <cellStyle name="Comma 2" xfId="4"/>
    <cellStyle name="Data I - Style1" xfId="7"/>
    <cellStyle name="Defaul - Style3" xfId="8"/>
    <cellStyle name="GreenCells" xfId="9"/>
    <cellStyle name="HeaderBars" xfId="10"/>
    <cellStyle name="Inform - Style2" xfId="11"/>
    <cellStyle name="Normal" xfId="0" builtinId="0"/>
    <cellStyle name="Normal 2" xfId="1"/>
    <cellStyle name="Normal 2 2" xfId="2"/>
    <cellStyle name="Normal 3" xfId="3"/>
    <cellStyle name="Normal 3 2" xfId="24"/>
    <cellStyle name="Normal 3 2 2" xfId="29"/>
    <cellStyle name="Normal 3 3" xfId="25"/>
    <cellStyle name="Normal 4" xfId="12"/>
    <cellStyle name="Normal 4 2" xfId="22"/>
    <cellStyle name="Normal 4 2 2" xfId="28"/>
    <cellStyle name="Normal 4 3" xfId="26"/>
    <cellStyle name="Normal 5" xfId="21"/>
    <cellStyle name="Normal 5 2" xfId="27"/>
    <cellStyle name="Normal 6" xfId="13"/>
    <cellStyle name="Normal 7" xfId="14"/>
    <cellStyle name="Normal 8" xfId="15"/>
    <cellStyle name="Normal 9" xfId="23"/>
    <cellStyle name="OMB Po - Style8" xfId="16"/>
    <cellStyle name="PinkCells" xfId="17"/>
    <cellStyle name="Result - Style4" xfId="18"/>
    <cellStyle name="SectionTitles" xfId="19"/>
    <cellStyle name="Title - Style5" xfId="20"/>
  </cellStyles>
  <dxfs count="0"/>
  <tableStyles count="0" defaultTableStyle="TableStyleMedium9" defaultPivotStyle="PivotStyleLight16"/>
  <colors>
    <mruColors>
      <color rgb="FF174EFD"/>
      <color rgb="FFFFFF9F"/>
      <color rgb="FFFFFF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603769</xdr:colOff>
      <xdr:row>0</xdr:row>
      <xdr:rowOff>0</xdr:rowOff>
    </xdr:from>
    <xdr:to>
      <xdr:col>5</xdr:col>
      <xdr:colOff>358140</xdr:colOff>
      <xdr:row>3</xdr:row>
      <xdr:rowOff>22860</xdr:rowOff>
    </xdr:to>
    <xdr:pic>
      <xdr:nvPicPr>
        <xdr:cNvPr id="2" name="Picture 1"/>
        <xdr:cNvPicPr>
          <a:picLocks noChangeAspect="1" noChangeArrowheads="1"/>
        </xdr:cNvPicPr>
      </xdr:nvPicPr>
      <xdr:blipFill>
        <a:blip xmlns:r="http://schemas.openxmlformats.org/officeDocument/2006/relationships" r:embed="rId1" cstate="print"/>
        <a:srcRect t="17333" b="14513"/>
        <a:stretch>
          <a:fillRect/>
        </a:stretch>
      </xdr:blipFill>
      <xdr:spPr bwMode="auto">
        <a:xfrm>
          <a:off x="1678189" y="0"/>
          <a:ext cx="3800591" cy="693420"/>
        </a:xfrm>
        <a:prstGeom prst="rect">
          <a:avLst/>
        </a:prstGeom>
        <a:noFill/>
        <a:ln w="1">
          <a:noFill/>
          <a:miter lim="800000"/>
          <a:headEnd/>
          <a:tailEnd type="none" w="med" len="med"/>
        </a:ln>
        <a:effectLst/>
      </xdr:spPr>
    </xdr:pic>
    <xdr:clientData/>
  </xdr:twoCellAnchor>
  <xdr:oneCellAnchor>
    <xdr:from>
      <xdr:col>0</xdr:col>
      <xdr:colOff>38100</xdr:colOff>
      <xdr:row>4</xdr:row>
      <xdr:rowOff>99061</xdr:rowOff>
    </xdr:from>
    <xdr:ext cx="8191500" cy="472439"/>
    <xdr:sp macro="" textlink="">
      <xdr:nvSpPr>
        <xdr:cNvPr id="3" name="Rectangle 2"/>
        <xdr:cNvSpPr/>
      </xdr:nvSpPr>
      <xdr:spPr>
        <a:xfrm>
          <a:off x="38100" y="952501"/>
          <a:ext cx="8191500" cy="472439"/>
        </a:xfrm>
        <a:prstGeom prst="rect">
          <a:avLst/>
        </a:prstGeom>
        <a:solidFill>
          <a:srgbClr val="2B556F"/>
        </a:solidFill>
      </xdr:spPr>
      <xdr:txBody>
        <a:bodyPr wrap="square" lIns="91440" tIns="45720" rIns="91440" bIns="45720">
          <a:noAutofit/>
          <a:scene3d>
            <a:camera prst="orthographicFront"/>
            <a:lightRig rig="soft" dir="t">
              <a:rot lat="0" lon="0" rev="10800000"/>
            </a:lightRig>
          </a:scene3d>
          <a:sp3d extrusionH="57150">
            <a:bevelT w="27940" h="12700" prst="coolSlant"/>
            <a:contourClr>
              <a:srgbClr val="DDDDDD"/>
            </a:contourClr>
          </a:sp3d>
        </a:bodyPr>
        <a:lstStyle/>
        <a:p>
          <a:pPr algn="ctr"/>
          <a:r>
            <a:rPr lang="en-US" sz="1600" b="1" i="0" cap="none" spc="150">
              <a:ln w="11430"/>
              <a:solidFill>
                <a:schemeClr val="bg1"/>
              </a:solidFill>
              <a:effectLst>
                <a:outerShdw dist="50800" dir="6540000" algn="tl" rotWithShape="0">
                  <a:prstClr val="black"/>
                </a:outerShdw>
              </a:effectLst>
              <a:latin typeface="Century Gothic" pitchFamily="34" charset="0"/>
              <a:ea typeface="Adobe Gothic Std B" pitchFamily="34" charset="-128"/>
              <a:cs typeface="Arial" pitchFamily="34" charset="0"/>
            </a:rPr>
            <a:t>Coastal</a:t>
          </a:r>
          <a:r>
            <a:rPr lang="en-US" sz="1600" b="1" i="0" cap="none" spc="150" baseline="0">
              <a:ln w="11430"/>
              <a:solidFill>
                <a:schemeClr val="bg1"/>
              </a:solidFill>
              <a:effectLst>
                <a:outerShdw dist="50800" dir="6540000" algn="tl" rotWithShape="0">
                  <a:prstClr val="black"/>
                </a:outerShdw>
              </a:effectLst>
              <a:latin typeface="Century Gothic" pitchFamily="34" charset="0"/>
              <a:ea typeface="Adobe Gothic Std B" pitchFamily="34" charset="-128"/>
              <a:cs typeface="Arial" pitchFamily="34" charset="0"/>
            </a:rPr>
            <a:t> Flooding </a:t>
          </a:r>
          <a:r>
            <a:rPr lang="en-US" sz="1600" b="1" i="0" cap="none" spc="150">
              <a:ln w="11430"/>
              <a:solidFill>
                <a:schemeClr val="bg1"/>
              </a:solidFill>
              <a:effectLst>
                <a:outerShdw dist="50800" dir="6540000" algn="tl" rotWithShape="0">
                  <a:prstClr val="black"/>
                </a:outerShdw>
              </a:effectLst>
              <a:latin typeface="Century Gothic" pitchFamily="34" charset="0"/>
              <a:ea typeface="Adobe Gothic Std B" pitchFamily="34" charset="-128"/>
              <a:cs typeface="Arial" pitchFamily="34" charset="0"/>
            </a:rPr>
            <a:t>Recurrence Interval (R.I.) Estimator </a:t>
          </a:r>
        </a:p>
        <a:p>
          <a:pPr algn="ctr"/>
          <a:r>
            <a:rPr lang="en-US" sz="1200" b="1" i="0" cap="none" spc="150">
              <a:ln w="11430"/>
              <a:solidFill>
                <a:schemeClr val="bg1"/>
              </a:solidFill>
              <a:effectLst>
                <a:outerShdw dist="50800" dir="6540000" algn="tl" rotWithShape="0">
                  <a:prstClr val="black"/>
                </a:outerShdw>
              </a:effectLst>
              <a:latin typeface="Century Gothic" pitchFamily="34" charset="0"/>
              <a:ea typeface="Adobe Gothic Std B" pitchFamily="34" charset="-128"/>
              <a:cs typeface="Arial" pitchFamily="34" charset="0"/>
            </a:rPr>
            <a:t>for Hazard</a:t>
          </a:r>
          <a:r>
            <a:rPr lang="en-US" sz="1200" b="1" i="0" cap="none" spc="150" baseline="0">
              <a:ln w="11430"/>
              <a:solidFill>
                <a:schemeClr val="bg1"/>
              </a:solidFill>
              <a:effectLst>
                <a:outerShdw dist="50800" dir="6540000" algn="tl" rotWithShape="0">
                  <a:prstClr val="black"/>
                </a:outerShdw>
              </a:effectLst>
              <a:latin typeface="Century Gothic" pitchFamily="34" charset="0"/>
              <a:ea typeface="Adobe Gothic Std B" pitchFamily="34" charset="-128"/>
              <a:cs typeface="Arial" pitchFamily="34" charset="0"/>
            </a:rPr>
            <a:t> Mitigation Cost Effectiveness Tool</a:t>
          </a:r>
        </a:p>
      </xdr:txBody>
    </xdr:sp>
    <xdr:clientData/>
  </xdr:oneCellAnchor>
  <xdr:twoCellAnchor>
    <xdr:from>
      <xdr:col>8</xdr:col>
      <xdr:colOff>21516</xdr:colOff>
      <xdr:row>1</xdr:row>
      <xdr:rowOff>0</xdr:rowOff>
    </xdr:from>
    <xdr:to>
      <xdr:col>20</xdr:col>
      <xdr:colOff>209550</xdr:colOff>
      <xdr:row>18</xdr:row>
      <xdr:rowOff>0</xdr:rowOff>
    </xdr:to>
    <xdr:sp macro="" textlink="">
      <xdr:nvSpPr>
        <xdr:cNvPr id="4" name="TextBox 3"/>
        <xdr:cNvSpPr txBox="1"/>
      </xdr:nvSpPr>
      <xdr:spPr>
        <a:xfrm>
          <a:off x="8184441" y="190500"/>
          <a:ext cx="9370134"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General Tool Notes:</a:t>
          </a:r>
        </a:p>
        <a:p>
          <a:r>
            <a:rPr lang="en-US" sz="900"/>
            <a:t>This tool maybe used to</a:t>
          </a:r>
          <a:r>
            <a:rPr lang="en-US" sz="900" baseline="0"/>
            <a:t> estimate the Recurrence Interval (R.I.) of a known coastal flood elevation.  The results from this tool may be used in USDOT-FTA-HMCE Tool. The minimum required input data in Section II consists of the Stillwater Elevations (SWE) for the 10, 50, 100, and 500-year R.I.s from FEMA Flood Insurance Study or other credible sources.  A complete data set is required for tool to calculate the results. The Base flood Elevation (BFE) is an optional input values that can add to the accuracy of estimates. The user may choose to overwrite the default flood elevations with data for flood elevations including wave height from a credible source . </a:t>
          </a:r>
          <a:r>
            <a:rPr lang="en-US" sz="900" baseline="0">
              <a:solidFill>
                <a:schemeClr val="dk1"/>
              </a:solidFill>
              <a:latin typeface="+mn-lt"/>
              <a:ea typeface="+mn-ea"/>
              <a:cs typeface="+mn-cs"/>
            </a:rPr>
            <a:t>In Section III, the user may enter data to adjust the flood elevations in Section II to account for Sea Level Rise (SLR) over the project useful life. In Section IV, the user may enter a known (recorded) flood elevation and the tool would return an estimate of the R.I. for that flood elevation both </a:t>
          </a:r>
          <a:r>
            <a:rPr lang="en-US" sz="900" baseline="0"/>
            <a:t>for with and without  SLR cases. The calculations are based on total flood elevations (including wave height).  The location of the Coastal Gauge used for input values must closely match the location for which an estimate of R.I. of recorded flood levels are needed. The user needs to make sure that the flood elevations entered in Sections II and IV are referenced to the same vertical datum as the input data. In this tool White cells are for user input and yellow cells are fixed value or results. All calculations are carried to only 1-digit (nearest  0.1 ft or 0.1 year).  As an option the user may choose to consider t</a:t>
          </a:r>
          <a:r>
            <a:rPr lang="en-US" sz="900" baseline="0">
              <a:solidFill>
                <a:schemeClr val="dk1"/>
              </a:solidFill>
              <a:latin typeface="+mn-lt"/>
              <a:ea typeface="+mn-ea"/>
              <a:cs typeface="+mn-cs"/>
            </a:rPr>
            <a:t>he Sea Level Rise (SLR) impact on flood elevations in Section III.  </a:t>
          </a:r>
          <a:r>
            <a:rPr lang="en-US" sz="900" baseline="0"/>
            <a:t>The SLR impact on flood elevations must be incorporated following the procedure outlined in December 23, 2013 FEMA Guidance on the ability to incorporate sea level rise estimates in Hazard Mitigation Assistance (HMA) project grant applications. </a:t>
          </a:r>
          <a:r>
            <a:rPr lang="en-US" sz="900" baseline="0">
              <a:solidFill>
                <a:schemeClr val="dk1"/>
              </a:solidFill>
              <a:latin typeface="+mn-lt"/>
              <a:ea typeface="+mn-ea"/>
              <a:cs typeface="+mn-cs"/>
            </a:rPr>
            <a:t>Option 1 in Section III allows the evaluation of SLR internally in this tool. The magnitude </a:t>
          </a:r>
          <a:r>
            <a:rPr lang="en-US" sz="900" baseline="0"/>
            <a:t>of SLR is estimated following the USACE Climate Change Adaption Sea Level Change Curves: http://corpsclimate.us/ccaceslcurves.cfm . To allow proper incorporation of the SLR impacts, the user needs  to first input the project useful life and then select the NOAA coastal gauge closest to the resilience project location (only gauges within Hurricane Sandy Impact area and nearby gauges are included for user selection), and finally select the SLR trend. The linear SLR trend represents a low SLR estimate while the accelerated trend represents an intermediate SLR estimate. Option 2 in Section III allows the user to input the SLR projected for the project useful life from external sources. If the user inputs a value in this section, that value would override the value (if any) evaluated in Option 1. </a:t>
          </a:r>
          <a:r>
            <a:rPr lang="en-US" sz="900" b="1" baseline="0"/>
            <a:t>Note that the results from this calculator apply to both the pre-resilience and post-resilience input (for design effectiveness determination of the proposed project</a:t>
          </a:r>
          <a:r>
            <a:rPr lang="en-US" sz="900" b="1" baseline="0">
              <a:solidFill>
                <a:schemeClr val="dk1"/>
              </a:solidFill>
              <a:latin typeface="+mn-lt"/>
              <a:ea typeface="+mn-ea"/>
              <a:cs typeface="+mn-cs"/>
            </a:rPr>
            <a:t>) in the HMCE Tool.</a:t>
          </a:r>
        </a:p>
      </xdr:txBody>
    </xdr:sp>
    <xdr:clientData/>
  </xdr:twoCellAnchor>
  <mc:AlternateContent xmlns:mc="http://schemas.openxmlformats.org/markup-compatibility/2006">
    <mc:Choice xmlns:a14="http://schemas.microsoft.com/office/drawing/2010/main" Requires="a14">
      <xdr:twoCellAnchor>
        <xdr:from>
          <xdr:col>0</xdr:col>
          <xdr:colOff>133350</xdr:colOff>
          <xdr:row>0</xdr:row>
          <xdr:rowOff>152400</xdr:rowOff>
        </xdr:from>
        <xdr:to>
          <xdr:col>0</xdr:col>
          <xdr:colOff>952500</xdr:colOff>
          <xdr:row>2</xdr:row>
          <xdr:rowOff>152400</xdr:rowOff>
        </xdr:to>
        <xdr:sp macro="" textlink="">
          <xdr:nvSpPr>
            <xdr:cNvPr id="19530" name="Button 74" hidden="1">
              <a:extLst>
                <a:ext uri="{63B3BB69-23CF-44E3-9099-C40C66FF867C}">
                  <a14:compatExt spid="_x0000_s1953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Arial"/>
                  <a:cs typeface="Arial"/>
                </a:rPr>
                <a:t>Save As </a:t>
              </a:r>
            </a:p>
            <a:p>
              <a:pPr algn="ctr" rtl="0">
                <a:defRPr sz="1000"/>
              </a:pPr>
              <a:r>
                <a:rPr lang="en-US" sz="1100" b="1" i="0" u="none" strike="noStrike" baseline="0">
                  <a:solidFill>
                    <a:srgbClr val="FF0000"/>
                  </a:solidFill>
                  <a:latin typeface="Arial"/>
                  <a:cs typeface="Arial"/>
                </a:rPr>
                <a:t>New File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xdr:row>
          <xdr:rowOff>47625</xdr:rowOff>
        </xdr:from>
        <xdr:to>
          <xdr:col>0</xdr:col>
          <xdr:colOff>942975</xdr:colOff>
          <xdr:row>11</xdr:row>
          <xdr:rowOff>9525</xdr:rowOff>
        </xdr:to>
        <xdr:sp macro="" textlink="">
          <xdr:nvSpPr>
            <xdr:cNvPr id="19531" name="Button 75" hidden="1">
              <a:extLst>
                <a:ext uri="{63B3BB69-23CF-44E3-9099-C40C66FF867C}">
                  <a14:compatExt spid="_x0000_s1953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1" i="0" u="none" strike="noStrike" baseline="0">
                  <a:solidFill>
                    <a:srgbClr val="0000FF"/>
                  </a:solidFill>
                  <a:latin typeface="Arial"/>
                  <a:cs typeface="Arial"/>
                </a:rPr>
                <a:t>Save </a:t>
              </a:r>
            </a:p>
            <a:p>
              <a:pPr algn="ctr" rtl="0">
                <a:defRPr sz="1000"/>
              </a:pPr>
              <a:r>
                <a:rPr lang="en-US" sz="1100" b="1" i="0" u="none" strike="noStrike" baseline="0">
                  <a:solidFill>
                    <a:srgbClr val="0000FF"/>
                  </a:solidFill>
                  <a:latin typeface="Arial"/>
                  <a:cs typeface="Arial"/>
                </a:rPr>
                <a:t>File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xdr:row>
          <xdr:rowOff>66675</xdr:rowOff>
        </xdr:from>
        <xdr:to>
          <xdr:col>7</xdr:col>
          <xdr:colOff>962025</xdr:colOff>
          <xdr:row>11</xdr:row>
          <xdr:rowOff>28575</xdr:rowOff>
        </xdr:to>
        <xdr:sp macro="" textlink="">
          <xdr:nvSpPr>
            <xdr:cNvPr id="19532" name="Button 76" hidden="1">
              <a:extLst>
                <a:ext uri="{63B3BB69-23CF-44E3-9099-C40C66FF867C}">
                  <a14:compatExt spid="_x0000_s1953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1" i="0" u="none" strike="noStrike" baseline="0">
                  <a:solidFill>
                    <a:srgbClr val="008000"/>
                  </a:solidFill>
                  <a:latin typeface="Arial"/>
                  <a:cs typeface="Arial"/>
                </a:rPr>
                <a:t>Print </a:t>
              </a:r>
            </a:p>
            <a:p>
              <a:pPr algn="ctr" rtl="0">
                <a:defRPr sz="1000"/>
              </a:pPr>
              <a:r>
                <a:rPr lang="en-US" sz="1100" b="1" i="0" u="none" strike="noStrike" baseline="0">
                  <a:solidFill>
                    <a:srgbClr val="008000"/>
                  </a:solidFill>
                  <a:latin typeface="Arial"/>
                  <a:cs typeface="Arial"/>
                </a:rPr>
                <a:t>Page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N146"/>
  <sheetViews>
    <sheetView showGridLines="0" showRowColHeaders="0" tabSelected="1" zoomScaleNormal="100" workbookViewId="0">
      <selection activeCell="C15" sqref="C15:G15"/>
    </sheetView>
  </sheetViews>
  <sheetFormatPr defaultColWidth="9.140625" defaultRowHeight="12.75" x14ac:dyDescent="0.2"/>
  <cols>
    <col min="1" max="1" width="15.7109375" style="7" customWidth="1"/>
    <col min="2" max="2" width="14.5703125" style="7" customWidth="1"/>
    <col min="3" max="3" width="13.85546875" style="7" customWidth="1"/>
    <col min="4" max="4" width="15.7109375" style="7" customWidth="1"/>
    <col min="5" max="5" width="14.85546875" style="7" customWidth="1"/>
    <col min="6" max="6" width="15.28515625" style="7" customWidth="1"/>
    <col min="7" max="7" width="16.7109375" style="7" customWidth="1"/>
    <col min="8" max="9" width="15.7109375" style="7" customWidth="1"/>
    <col min="10" max="10" width="16" style="7" customWidth="1"/>
    <col min="11" max="11" width="9.140625" style="7"/>
    <col min="12" max="13" width="11.42578125" style="7" bestFit="1" customWidth="1"/>
    <col min="14" max="15" width="9.140625" style="7"/>
    <col min="16" max="16" width="12.7109375" style="7" customWidth="1"/>
    <col min="17" max="17" width="12.5703125" style="7" customWidth="1"/>
    <col min="18" max="19" width="9.140625" style="7"/>
    <col min="20" max="20" width="12.140625" style="7" customWidth="1"/>
    <col min="21" max="21" width="15.140625" style="7" customWidth="1"/>
    <col min="22" max="22" width="9.140625" style="7"/>
    <col min="23" max="23" width="12.85546875" style="7" customWidth="1"/>
    <col min="24" max="24" width="9.140625" style="7"/>
    <col min="25" max="25" width="12.5703125" style="7" customWidth="1"/>
    <col min="26" max="26" width="13.7109375" style="7" customWidth="1"/>
    <col min="27" max="34" width="9.140625" style="7"/>
    <col min="35" max="37" width="9.140625" style="7" hidden="1" customWidth="1"/>
    <col min="38" max="38" width="11.140625" style="7" hidden="1" customWidth="1"/>
    <col min="39" max="49" width="9.140625" style="7" hidden="1" customWidth="1"/>
    <col min="50" max="50" width="33.42578125" style="7" hidden="1" customWidth="1"/>
    <col min="51" max="58" width="9.140625" style="7" hidden="1" customWidth="1"/>
    <col min="59" max="59" width="0" style="7" hidden="1" customWidth="1"/>
    <col min="60" max="16384" width="9.140625" style="7"/>
  </cols>
  <sheetData>
    <row r="1" spans="1:66" ht="15.6" customHeight="1" x14ac:dyDescent="0.25">
      <c r="A1" s="181"/>
      <c r="B1" s="179"/>
      <c r="C1" s="179"/>
      <c r="D1" s="179"/>
      <c r="E1" s="179"/>
      <c r="F1" s="179"/>
      <c r="G1" s="179"/>
      <c r="H1" s="183"/>
      <c r="I1" s="174" t="s">
        <v>53</v>
      </c>
      <c r="J1" s="175"/>
      <c r="K1" s="175"/>
      <c r="L1" s="175"/>
      <c r="M1" s="175"/>
      <c r="AI1" s="5" t="s">
        <v>44</v>
      </c>
      <c r="AJ1" s="5" t="s">
        <v>5</v>
      </c>
      <c r="AK1" s="6" t="s">
        <v>3</v>
      </c>
      <c r="AL1" s="5" t="s">
        <v>0</v>
      </c>
      <c r="AO1" s="2" t="s">
        <v>1</v>
      </c>
      <c r="AP1" s="2" t="s">
        <v>42</v>
      </c>
      <c r="AQ1" s="2" t="s">
        <v>43</v>
      </c>
      <c r="AR1"/>
      <c r="AS1"/>
      <c r="AT1"/>
      <c r="AU1"/>
    </row>
    <row r="2" spans="1:66" ht="24" x14ac:dyDescent="0.2">
      <c r="A2" s="182"/>
      <c r="B2" s="180"/>
      <c r="C2" s="180"/>
      <c r="D2" s="180"/>
      <c r="E2" s="180"/>
      <c r="F2" s="180"/>
      <c r="G2" s="151" t="s">
        <v>48</v>
      </c>
      <c r="H2" s="129">
        <v>1</v>
      </c>
      <c r="AI2" s="5" t="s">
        <v>2</v>
      </c>
      <c r="AJ2" s="5" t="s">
        <v>1</v>
      </c>
      <c r="AK2" s="6" t="s">
        <v>2</v>
      </c>
      <c r="AL2" s="5" t="s">
        <v>4</v>
      </c>
      <c r="AO2" s="4">
        <f>+$AJ$3</f>
        <v>1992</v>
      </c>
      <c r="AP2" s="2" t="e">
        <f>IF(AO2&lt;&gt;"",(($AI$3/1000+$AK$3/1000)*(AO2-$AJ$3))*3.28083333333,"")</f>
        <v>#VALUE!</v>
      </c>
      <c r="AQ2" s="2" t="e">
        <f t="shared" ref="AQ2:AQ37" si="0">IF(AO2&lt;&gt;"",(($AI$3/1000+$AK$3/1000)*(AO2-$AJ$3)+($AL$4*(AO2-$AJ$3)^2))*3.28083333333,"")</f>
        <v>#VALUE!</v>
      </c>
      <c r="AR2"/>
      <c r="AS2"/>
      <c r="AT2"/>
      <c r="AU2" s="1"/>
      <c r="AV2" s="1"/>
      <c r="BC2" s="35"/>
      <c r="BD2" s="35"/>
      <c r="BE2" s="35"/>
      <c r="BF2" s="35"/>
      <c r="BG2" s="35"/>
      <c r="BI2" s="35"/>
      <c r="BJ2" s="35"/>
      <c r="BK2" s="35"/>
    </row>
    <row r="3" spans="1:66" x14ac:dyDescent="0.2">
      <c r="A3" s="182"/>
      <c r="B3" s="180"/>
      <c r="C3" s="180"/>
      <c r="D3" s="180"/>
      <c r="E3" s="180"/>
      <c r="F3" s="180"/>
      <c r="G3" s="151" t="s">
        <v>49</v>
      </c>
      <c r="H3" s="128">
        <v>41690</v>
      </c>
      <c r="AI3" s="5">
        <v>1.7</v>
      </c>
      <c r="AJ3" s="5">
        <v>1992</v>
      </c>
      <c r="AK3" s="45" t="e">
        <f>INDEX($AY$10:$AY$42,AI5-1,1)-AI3</f>
        <v>#VALUE!</v>
      </c>
      <c r="AL3" s="3">
        <v>0</v>
      </c>
      <c r="AO3" s="4">
        <f>$AJ$3-(($AJ$3/5-INT($AJ$3/5))*5)+5</f>
        <v>1995</v>
      </c>
      <c r="AP3" s="2" t="e">
        <f t="shared" ref="AP3:AP37" si="1">IF(AO3&lt;&gt;"",(($AI$3/1000+$AK$3/1000)*(AO3-$AJ$3))*3.28083333333,"")</f>
        <v>#VALUE!</v>
      </c>
      <c r="AQ3" s="2" t="e">
        <f t="shared" si="0"/>
        <v>#VALUE!</v>
      </c>
      <c r="AR3"/>
      <c r="AS3"/>
      <c r="AT3"/>
      <c r="AU3" s="1"/>
      <c r="AV3" s="1"/>
      <c r="AX3" s="7" t="s">
        <v>40</v>
      </c>
    </row>
    <row r="4" spans="1:66" ht="15" x14ac:dyDescent="0.25">
      <c r="A4" s="182"/>
      <c r="B4" s="180"/>
      <c r="C4" s="180"/>
      <c r="D4" s="180"/>
      <c r="E4" s="180"/>
      <c r="F4" s="180"/>
      <c r="G4" s="138"/>
      <c r="H4" s="9"/>
      <c r="AI4" s="49" t="s">
        <v>94</v>
      </c>
      <c r="AJ4" s="49"/>
      <c r="AK4" s="49"/>
      <c r="AL4" s="3">
        <v>2.7100000000000001E-5</v>
      </c>
      <c r="AO4" s="4">
        <f t="shared" ref="AO4:AO37" si="2">AO3+5</f>
        <v>2000</v>
      </c>
      <c r="AP4" s="2" t="e">
        <f t="shared" si="1"/>
        <v>#VALUE!</v>
      </c>
      <c r="AQ4" s="2" t="e">
        <f t="shared" si="0"/>
        <v>#VALUE!</v>
      </c>
      <c r="AR4"/>
      <c r="AS4"/>
      <c r="AT4"/>
      <c r="AU4" s="1"/>
      <c r="AV4" s="1"/>
      <c r="AX4" s="7" t="s">
        <v>41</v>
      </c>
    </row>
    <row r="5" spans="1:66" ht="15" x14ac:dyDescent="0.25">
      <c r="A5" s="127"/>
      <c r="B5" s="123"/>
      <c r="C5" s="123"/>
      <c r="D5" s="123"/>
      <c r="E5" s="123"/>
      <c r="F5" s="123"/>
      <c r="G5" s="138"/>
      <c r="H5" s="9"/>
      <c r="AH5" s="105"/>
      <c r="AI5" s="49">
        <f>MATCH($C$31,stations,0)</f>
        <v>1</v>
      </c>
      <c r="AJ5" s="49" t="e">
        <f>+INDEX($AX$10:$AX$42,$AI$5-1,1)</f>
        <v>#VALUE!</v>
      </c>
      <c r="AK5" s="49"/>
      <c r="AL5" s="3">
        <v>1.13E-4</v>
      </c>
      <c r="AO5" s="4">
        <f t="shared" si="2"/>
        <v>2005</v>
      </c>
      <c r="AP5" s="2" t="e">
        <f t="shared" si="1"/>
        <v>#VALUE!</v>
      </c>
      <c r="AQ5" s="2" t="e">
        <f t="shared" si="0"/>
        <v>#VALUE!</v>
      </c>
      <c r="AR5"/>
      <c r="AS5"/>
      <c r="AT5"/>
      <c r="AU5" s="1"/>
      <c r="AV5" s="1"/>
      <c r="BC5" s="35"/>
      <c r="BD5" s="35"/>
      <c r="BE5" s="35"/>
      <c r="BF5" s="35"/>
      <c r="BG5" s="35"/>
      <c r="BI5" s="35"/>
      <c r="BJ5" s="35"/>
      <c r="BK5" s="35"/>
      <c r="BN5" s="35"/>
    </row>
    <row r="6" spans="1:66" ht="4.9000000000000004" customHeight="1" x14ac:dyDescent="0.25">
      <c r="A6" s="127"/>
      <c r="B6" s="123"/>
      <c r="C6" s="123"/>
      <c r="D6" s="123"/>
      <c r="E6" s="123"/>
      <c r="F6" s="123"/>
      <c r="G6" s="138"/>
      <c r="H6" s="9"/>
      <c r="AI6" s="50" t="s">
        <v>94</v>
      </c>
      <c r="AO6" s="4">
        <f t="shared" si="2"/>
        <v>2010</v>
      </c>
      <c r="AP6" s="2" t="e">
        <f t="shared" si="1"/>
        <v>#VALUE!</v>
      </c>
      <c r="AQ6" s="2" t="e">
        <f t="shared" si="0"/>
        <v>#VALUE!</v>
      </c>
      <c r="AR6"/>
      <c r="AS6"/>
      <c r="AT6"/>
      <c r="AU6" s="1"/>
      <c r="AV6" s="1"/>
      <c r="AX6" s="49" t="s">
        <v>128</v>
      </c>
      <c r="BC6" s="35"/>
      <c r="BD6" s="35"/>
      <c r="BE6" s="35"/>
      <c r="BF6" s="35"/>
      <c r="BG6" s="35"/>
      <c r="BI6" s="35"/>
      <c r="BJ6" s="35"/>
      <c r="BK6" s="35"/>
      <c r="BN6" s="35"/>
    </row>
    <row r="7" spans="1:66" ht="4.9000000000000004" customHeight="1" thickBot="1" x14ac:dyDescent="0.3">
      <c r="A7" s="127"/>
      <c r="B7" s="123"/>
      <c r="C7" s="138"/>
      <c r="D7" s="138"/>
      <c r="E7" s="138"/>
      <c r="F7" s="138"/>
      <c r="G7" s="138"/>
      <c r="H7" s="9"/>
      <c r="AI7" s="143" t="s">
        <v>144</v>
      </c>
      <c r="AO7" s="4">
        <f t="shared" si="2"/>
        <v>2015</v>
      </c>
      <c r="AP7" s="2" t="e">
        <f t="shared" si="1"/>
        <v>#VALUE!</v>
      </c>
      <c r="AQ7" s="2" t="e">
        <f t="shared" si="0"/>
        <v>#VALUE!</v>
      </c>
      <c r="AR7"/>
      <c r="AS7"/>
      <c r="AT7"/>
      <c r="AU7" s="1"/>
      <c r="AV7" s="1"/>
      <c r="AX7" s="49" t="s">
        <v>129</v>
      </c>
      <c r="BC7" s="35"/>
      <c r="BD7" s="35"/>
      <c r="BE7" s="35"/>
      <c r="BF7" s="35"/>
      <c r="BG7" s="35"/>
      <c r="BI7" s="35"/>
      <c r="BJ7" s="35"/>
      <c r="BK7" s="35"/>
      <c r="BL7" s="35"/>
      <c r="BN7" s="35"/>
    </row>
    <row r="8" spans="1:66" ht="4.9000000000000004" customHeight="1" x14ac:dyDescent="0.25">
      <c r="A8" s="127"/>
      <c r="B8" s="123"/>
      <c r="C8" s="123"/>
      <c r="D8" s="123"/>
      <c r="E8" s="123"/>
      <c r="F8" s="123"/>
      <c r="G8" s="138"/>
      <c r="H8" s="9"/>
      <c r="AI8" s="143" t="s">
        <v>132</v>
      </c>
      <c r="AO8" s="4">
        <f t="shared" si="2"/>
        <v>2020</v>
      </c>
      <c r="AP8" s="2" t="e">
        <f t="shared" si="1"/>
        <v>#VALUE!</v>
      </c>
      <c r="AQ8" s="2" t="e">
        <f t="shared" si="0"/>
        <v>#VALUE!</v>
      </c>
      <c r="AR8"/>
      <c r="AS8"/>
      <c r="AT8"/>
      <c r="AU8" s="1"/>
      <c r="AV8" s="1"/>
      <c r="AX8" s="51" t="s">
        <v>39</v>
      </c>
      <c r="AY8" s="53" t="s">
        <v>45</v>
      </c>
      <c r="BA8" s="35"/>
      <c r="BB8" s="35"/>
      <c r="BC8" s="35"/>
      <c r="BE8" s="35"/>
      <c r="BF8" s="35"/>
      <c r="BJ8" s="35"/>
      <c r="BK8" s="35"/>
      <c r="BL8" s="35"/>
      <c r="BN8" s="35"/>
    </row>
    <row r="9" spans="1:66" ht="4.9000000000000004" customHeight="1" x14ac:dyDescent="0.25">
      <c r="A9" s="141"/>
      <c r="B9" s="138"/>
      <c r="C9" s="138"/>
      <c r="D9" s="138"/>
      <c r="E9" s="180"/>
      <c r="F9" s="180"/>
      <c r="G9" s="138"/>
      <c r="H9" s="9"/>
      <c r="AI9" s="143" t="s">
        <v>133</v>
      </c>
      <c r="AO9" s="4">
        <f t="shared" si="2"/>
        <v>2025</v>
      </c>
      <c r="AP9" s="2" t="e">
        <f t="shared" si="1"/>
        <v>#VALUE!</v>
      </c>
      <c r="AQ9" s="2" t="e">
        <f t="shared" si="0"/>
        <v>#VALUE!</v>
      </c>
      <c r="AR9"/>
      <c r="AS9"/>
      <c r="AT9"/>
      <c r="AU9" s="1"/>
      <c r="AV9" s="1"/>
      <c r="AX9" s="143" t="s">
        <v>144</v>
      </c>
      <c r="BE9" s="35"/>
      <c r="BF9" s="35"/>
      <c r="BK9" s="35"/>
    </row>
    <row r="10" spans="1:66" ht="4.9000000000000004" customHeight="1" x14ac:dyDescent="0.25">
      <c r="A10" s="141"/>
      <c r="B10" s="138"/>
      <c r="C10" s="138"/>
      <c r="D10" s="138"/>
      <c r="E10" s="138"/>
      <c r="F10" s="138"/>
      <c r="G10" s="138"/>
      <c r="H10" s="9"/>
      <c r="AI10" s="105">
        <f>MATCH($F$31,trends,0)</f>
        <v>1</v>
      </c>
      <c r="AJ10" s="7" t="e">
        <f>CHOOSE(AI10-1,AI8,AI9)</f>
        <v>#VALUE!</v>
      </c>
      <c r="AO10" s="4">
        <f t="shared" si="2"/>
        <v>2030</v>
      </c>
      <c r="AP10" s="2" t="e">
        <f t="shared" si="1"/>
        <v>#VALUE!</v>
      </c>
      <c r="AQ10" s="2" t="e">
        <f t="shared" si="0"/>
        <v>#VALUE!</v>
      </c>
      <c r="AR10"/>
      <c r="AS10"/>
      <c r="AT10"/>
      <c r="AU10" s="1"/>
      <c r="AV10" s="1"/>
      <c r="AX10" s="143" t="s">
        <v>6</v>
      </c>
      <c r="AY10" s="48">
        <v>1.49</v>
      </c>
      <c r="AZ10" s="7" t="s">
        <v>96</v>
      </c>
      <c r="BB10" s="35"/>
      <c r="BC10" s="35"/>
      <c r="BE10" s="35"/>
      <c r="BF10" s="35"/>
      <c r="BK10" s="35"/>
    </row>
    <row r="11" spans="1:66" ht="4.9000000000000004" customHeight="1" x14ac:dyDescent="0.25">
      <c r="A11" s="141"/>
      <c r="B11" s="138"/>
      <c r="C11" s="138"/>
      <c r="D11" s="138"/>
      <c r="E11" s="138"/>
      <c r="F11" s="138"/>
      <c r="G11" s="138"/>
      <c r="H11" s="9"/>
      <c r="AO11" s="4">
        <f t="shared" si="2"/>
        <v>2035</v>
      </c>
      <c r="AP11" s="2" t="e">
        <f t="shared" si="1"/>
        <v>#VALUE!</v>
      </c>
      <c r="AQ11" s="2" t="e">
        <f t="shared" si="0"/>
        <v>#VALUE!</v>
      </c>
      <c r="AR11"/>
      <c r="AS11"/>
      <c r="AT11"/>
      <c r="AU11" s="1"/>
      <c r="AV11" s="1"/>
      <c r="AX11" s="143" t="s">
        <v>7</v>
      </c>
      <c r="AY11" s="48">
        <v>2.54</v>
      </c>
      <c r="AZ11" s="7" t="s">
        <v>97</v>
      </c>
      <c r="BB11" s="35"/>
      <c r="BC11" s="35"/>
      <c r="BE11" s="35"/>
      <c r="BF11" s="35"/>
      <c r="BK11" s="35"/>
    </row>
    <row r="12" spans="1:66" ht="4.9000000000000004" customHeight="1" x14ac:dyDescent="0.25">
      <c r="A12" s="141"/>
      <c r="B12" s="138"/>
      <c r="C12" s="138"/>
      <c r="D12" s="138"/>
      <c r="E12" s="138"/>
      <c r="F12" s="138"/>
      <c r="G12" s="138"/>
      <c r="H12" s="9"/>
      <c r="AO12" s="4">
        <f t="shared" si="2"/>
        <v>2040</v>
      </c>
      <c r="AP12" s="2" t="e">
        <f t="shared" si="1"/>
        <v>#VALUE!</v>
      </c>
      <c r="AQ12" s="2" t="e">
        <f t="shared" si="0"/>
        <v>#VALUE!</v>
      </c>
      <c r="AR12"/>
      <c r="AS12"/>
      <c r="AT12"/>
      <c r="AU12" s="1"/>
      <c r="AV12" s="1"/>
      <c r="AX12" s="143" t="s">
        <v>8</v>
      </c>
      <c r="AY12" s="48">
        <v>2.67</v>
      </c>
      <c r="AZ12" s="7" t="s">
        <v>98</v>
      </c>
      <c r="BB12" s="35"/>
      <c r="BC12" s="35"/>
      <c r="BE12" s="35"/>
      <c r="BF12" s="35"/>
      <c r="BK12" s="35"/>
    </row>
    <row r="13" spans="1:66" ht="4.9000000000000004" customHeight="1" thickBot="1" x14ac:dyDescent="0.3">
      <c r="A13" s="141"/>
      <c r="B13" s="138"/>
      <c r="C13" s="138"/>
      <c r="D13" s="138"/>
      <c r="E13" s="138"/>
      <c r="F13" s="138"/>
      <c r="G13" s="138"/>
      <c r="H13" s="9"/>
      <c r="I13" s="8"/>
      <c r="J13" s="8"/>
      <c r="AO13" s="4">
        <f t="shared" si="2"/>
        <v>2045</v>
      </c>
      <c r="AP13" s="2" t="e">
        <f t="shared" si="1"/>
        <v>#VALUE!</v>
      </c>
      <c r="AQ13" s="2" t="e">
        <f t="shared" si="0"/>
        <v>#VALUE!</v>
      </c>
      <c r="AR13"/>
      <c r="AS13"/>
      <c r="AT13"/>
      <c r="AU13" s="1"/>
      <c r="AV13" s="1"/>
      <c r="AX13" s="143" t="s">
        <v>9</v>
      </c>
      <c r="AY13" s="48">
        <v>2.86</v>
      </c>
      <c r="AZ13" s="7" t="s">
        <v>99</v>
      </c>
      <c r="BB13" s="35"/>
      <c r="BC13" s="35"/>
      <c r="BE13" s="35"/>
      <c r="BF13" s="35"/>
      <c r="BK13" s="35"/>
    </row>
    <row r="14" spans="1:66" ht="15.6" customHeight="1" thickBot="1" x14ac:dyDescent="0.3">
      <c r="A14" s="160" t="s">
        <v>50</v>
      </c>
      <c r="B14" s="161"/>
      <c r="C14" s="172"/>
      <c r="D14" s="172"/>
      <c r="E14" s="172"/>
      <c r="F14" s="172"/>
      <c r="G14" s="173"/>
      <c r="H14" s="9"/>
      <c r="AO14" s="4">
        <f t="shared" si="2"/>
        <v>2050</v>
      </c>
      <c r="AP14" s="2" t="e">
        <f t="shared" si="1"/>
        <v>#VALUE!</v>
      </c>
      <c r="AQ14" s="2" t="e">
        <f t="shared" si="0"/>
        <v>#VALUE!</v>
      </c>
      <c r="AR14"/>
      <c r="AS14"/>
      <c r="AT14"/>
      <c r="AU14" s="1"/>
      <c r="AV14" s="1"/>
      <c r="AX14" s="143" t="s">
        <v>10</v>
      </c>
      <c r="AY14" s="48">
        <v>2.58</v>
      </c>
      <c r="AZ14" s="7" t="s">
        <v>100</v>
      </c>
      <c r="BB14" s="35"/>
      <c r="BC14" s="35"/>
      <c r="BE14" s="35"/>
      <c r="BF14" s="35"/>
      <c r="BK14" s="35"/>
    </row>
    <row r="15" spans="1:66" ht="21.6" customHeight="1" thickBot="1" x14ac:dyDescent="0.3">
      <c r="A15" s="141"/>
      <c r="B15" s="42" t="s">
        <v>51</v>
      </c>
      <c r="C15" s="176"/>
      <c r="D15" s="177"/>
      <c r="E15" s="177"/>
      <c r="F15" s="177"/>
      <c r="G15" s="178"/>
      <c r="H15" s="9"/>
      <c r="I15" s="10"/>
      <c r="J15" s="8"/>
      <c r="AO15" s="4">
        <f t="shared" si="2"/>
        <v>2055</v>
      </c>
      <c r="AP15" s="2" t="e">
        <f t="shared" si="1"/>
        <v>#VALUE!</v>
      </c>
      <c r="AQ15" s="2" t="e">
        <f t="shared" si="0"/>
        <v>#VALUE!</v>
      </c>
      <c r="AR15"/>
      <c r="AS15"/>
      <c r="AT15"/>
      <c r="AU15" s="1"/>
      <c r="AV15" s="1"/>
      <c r="AX15" s="143" t="s">
        <v>11</v>
      </c>
      <c r="AY15" s="48">
        <v>2</v>
      </c>
      <c r="AZ15" s="7" t="s">
        <v>101</v>
      </c>
      <c r="BB15" s="35"/>
      <c r="BC15" s="35"/>
      <c r="BE15" s="35"/>
      <c r="BF15" s="35"/>
      <c r="BK15" s="35"/>
    </row>
    <row r="16" spans="1:66" ht="19.149999999999999" customHeight="1" thickBot="1" x14ac:dyDescent="0.3">
      <c r="A16" s="141"/>
      <c r="B16" s="136" t="s">
        <v>52</v>
      </c>
      <c r="C16" s="176"/>
      <c r="D16" s="177"/>
      <c r="E16" s="177"/>
      <c r="F16" s="177"/>
      <c r="G16" s="178"/>
      <c r="H16" s="9"/>
      <c r="I16" s="170" t="s">
        <v>137</v>
      </c>
      <c r="J16" s="170"/>
      <c r="K16" s="170"/>
      <c r="L16" s="170"/>
      <c r="M16" s="170"/>
      <c r="N16" s="110"/>
      <c r="AO16" s="4">
        <f t="shared" si="2"/>
        <v>2060</v>
      </c>
      <c r="AP16" s="2" t="e">
        <f t="shared" si="1"/>
        <v>#VALUE!</v>
      </c>
      <c r="AQ16" s="2" t="e">
        <f t="shared" si="0"/>
        <v>#VALUE!</v>
      </c>
      <c r="AR16"/>
      <c r="AS16"/>
      <c r="AT16"/>
      <c r="AU16" s="1"/>
      <c r="AV16" s="1"/>
      <c r="AX16" s="143" t="s">
        <v>12</v>
      </c>
      <c r="AY16" s="48">
        <v>2.37</v>
      </c>
      <c r="AZ16" s="7" t="s">
        <v>102</v>
      </c>
      <c r="BB16" s="35"/>
      <c r="BC16" s="35"/>
      <c r="BE16" s="35"/>
      <c r="BF16" s="35"/>
      <c r="BK16" s="35"/>
    </row>
    <row r="17" spans="1:63" ht="19.149999999999999" customHeight="1" thickBot="1" x14ac:dyDescent="0.3">
      <c r="A17" s="141"/>
      <c r="B17" s="125" t="s">
        <v>138</v>
      </c>
      <c r="C17" s="184"/>
      <c r="D17" s="185"/>
      <c r="E17" s="185"/>
      <c r="F17" s="185"/>
      <c r="G17" s="186"/>
      <c r="H17" s="9"/>
      <c r="AO17" s="4">
        <f t="shared" si="2"/>
        <v>2065</v>
      </c>
      <c r="AP17" s="2" t="e">
        <f t="shared" si="1"/>
        <v>#VALUE!</v>
      </c>
      <c r="AQ17" s="2" t="e">
        <f t="shared" si="0"/>
        <v>#VALUE!</v>
      </c>
      <c r="AR17" s="1"/>
      <c r="AS17" s="1"/>
      <c r="AT17"/>
      <c r="AU17" s="1"/>
      <c r="AV17" s="1"/>
      <c r="AX17" s="143" t="s">
        <v>13</v>
      </c>
      <c r="AY17" s="48">
        <v>2.46</v>
      </c>
      <c r="AZ17" s="7" t="s">
        <v>103</v>
      </c>
      <c r="BB17" s="35"/>
      <c r="BC17" s="35"/>
      <c r="BE17" s="35"/>
      <c r="BF17" s="35"/>
      <c r="BK17" s="35"/>
    </row>
    <row r="18" spans="1:63" ht="15" customHeight="1" thickBot="1" x14ac:dyDescent="0.3">
      <c r="A18" s="160" t="s">
        <v>130</v>
      </c>
      <c r="B18" s="161"/>
      <c r="C18" s="161"/>
      <c r="D18" s="161"/>
      <c r="E18" s="161"/>
      <c r="F18" s="161"/>
      <c r="G18" s="161"/>
      <c r="H18" s="162"/>
      <c r="AO18" s="4">
        <f t="shared" si="2"/>
        <v>2070</v>
      </c>
      <c r="AP18" s="2" t="e">
        <f t="shared" si="1"/>
        <v>#VALUE!</v>
      </c>
      <c r="AQ18" s="2" t="e">
        <f t="shared" si="0"/>
        <v>#VALUE!</v>
      </c>
      <c r="AR18"/>
      <c r="AS18"/>
      <c r="AT18"/>
      <c r="AU18" s="1"/>
      <c r="AV18" s="1"/>
      <c r="AX18" s="143" t="s">
        <v>14</v>
      </c>
      <c r="AY18" s="48">
        <v>2.9299999999999997</v>
      </c>
      <c r="AZ18" s="7" t="s">
        <v>104</v>
      </c>
      <c r="BB18" s="35"/>
      <c r="BC18" s="35"/>
      <c r="BE18" s="35"/>
      <c r="BF18" s="35"/>
      <c r="BK18" s="35"/>
    </row>
    <row r="19" spans="1:63" ht="21.6" customHeight="1" thickBot="1" x14ac:dyDescent="0.3">
      <c r="A19" s="141"/>
      <c r="B19" s="126" t="s">
        <v>54</v>
      </c>
      <c r="C19" s="114"/>
      <c r="D19" s="47"/>
      <c r="E19" s="47"/>
      <c r="F19" s="47"/>
      <c r="G19" s="138"/>
      <c r="H19" s="9"/>
      <c r="I19" s="170" t="s">
        <v>55</v>
      </c>
      <c r="J19" s="170"/>
      <c r="K19" s="170"/>
      <c r="L19" s="170"/>
      <c r="M19" s="170"/>
      <c r="AO19" s="4">
        <f t="shared" si="2"/>
        <v>2075</v>
      </c>
      <c r="AP19" s="2" t="e">
        <f t="shared" si="1"/>
        <v>#VALUE!</v>
      </c>
      <c r="AQ19" s="2" t="e">
        <f t="shared" si="0"/>
        <v>#VALUE!</v>
      </c>
      <c r="AR19"/>
      <c r="AS19"/>
      <c r="AT19"/>
      <c r="AU19" s="1"/>
      <c r="AV19" s="1"/>
      <c r="AX19" s="143" t="s">
        <v>15</v>
      </c>
      <c r="AY19" s="48">
        <v>2.44</v>
      </c>
      <c r="AZ19" s="7" t="s">
        <v>105</v>
      </c>
      <c r="BB19" s="35"/>
      <c r="BC19" s="35"/>
      <c r="BE19" s="35"/>
      <c r="BF19" s="35"/>
      <c r="BK19" s="35"/>
    </row>
    <row r="20" spans="1:63" ht="25.5" customHeight="1" x14ac:dyDescent="0.25">
      <c r="A20" s="141"/>
      <c r="B20" s="116" t="s">
        <v>56</v>
      </c>
      <c r="C20" s="116" t="s">
        <v>57</v>
      </c>
      <c r="D20" s="116" t="s">
        <v>58</v>
      </c>
      <c r="E20" s="40" t="s">
        <v>59</v>
      </c>
      <c r="F20" s="116" t="s">
        <v>60</v>
      </c>
      <c r="G20" s="138"/>
      <c r="H20" s="9"/>
      <c r="I20" s="54"/>
      <c r="J20" s="39"/>
      <c r="K20" s="39"/>
      <c r="L20" s="39"/>
      <c r="M20" s="39"/>
      <c r="AO20" s="4">
        <f t="shared" si="2"/>
        <v>2080</v>
      </c>
      <c r="AP20" s="2" t="e">
        <f t="shared" si="1"/>
        <v>#VALUE!</v>
      </c>
      <c r="AQ20" s="2" t="e">
        <f t="shared" si="0"/>
        <v>#VALUE!</v>
      </c>
      <c r="AR20"/>
      <c r="AS20"/>
      <c r="AT20"/>
      <c r="AU20" s="1"/>
      <c r="AV20" s="1"/>
      <c r="AX20" s="143" t="s">
        <v>16</v>
      </c>
      <c r="AY20" s="48">
        <v>2.37</v>
      </c>
      <c r="AZ20" s="7" t="s">
        <v>106</v>
      </c>
      <c r="BB20" s="35"/>
      <c r="BC20" s="35"/>
      <c r="BE20" s="35"/>
      <c r="BF20" s="35"/>
      <c r="BK20" s="35"/>
    </row>
    <row r="21" spans="1:63" ht="27.6" customHeight="1" thickBot="1" x14ac:dyDescent="0.3">
      <c r="A21" s="141"/>
      <c r="B21" s="117" t="s">
        <v>61</v>
      </c>
      <c r="C21" s="117" t="s">
        <v>62</v>
      </c>
      <c r="D21" s="117" t="s">
        <v>63</v>
      </c>
      <c r="E21" s="117" t="s">
        <v>63</v>
      </c>
      <c r="F21" s="117" t="s">
        <v>63</v>
      </c>
      <c r="G21" s="138"/>
      <c r="H21" s="9"/>
      <c r="I21" s="54"/>
      <c r="J21" s="39"/>
      <c r="K21" s="39"/>
      <c r="L21" s="39"/>
      <c r="M21" s="39"/>
      <c r="AO21" s="4">
        <f t="shared" si="2"/>
        <v>2085</v>
      </c>
      <c r="AP21" s="2" t="e">
        <f t="shared" si="1"/>
        <v>#VALUE!</v>
      </c>
      <c r="AQ21" s="2" t="e">
        <f t="shared" si="0"/>
        <v>#VALUE!</v>
      </c>
      <c r="AR21"/>
      <c r="AS21"/>
      <c r="AT21"/>
      <c r="AU21" s="1"/>
      <c r="AV21" s="1"/>
      <c r="AX21" s="143" t="s">
        <v>17</v>
      </c>
      <c r="AY21" s="48">
        <v>2.92</v>
      </c>
      <c r="AZ21" s="7" t="s">
        <v>107</v>
      </c>
      <c r="BB21" s="35"/>
      <c r="BC21" s="35"/>
      <c r="BE21" s="35"/>
      <c r="BF21" s="35"/>
      <c r="BK21" s="35"/>
    </row>
    <row r="22" spans="1:63" ht="15" hidden="1" customHeight="1" thickBot="1" x14ac:dyDescent="0.3">
      <c r="A22" s="141"/>
      <c r="B22" s="112">
        <v>1</v>
      </c>
      <c r="C22" s="112" t="str">
        <f>IF(AND(ISNUMBER(C23),ISNUMBER(C24)),$V$57,"")</f>
        <v/>
      </c>
      <c r="D22" s="112" t="str">
        <f>IF(ISNUMBER(C22),IF(ISBLANK($C$19),C22*1.4,C22*($C$19/$C$25)),"")</f>
        <v/>
      </c>
      <c r="E22" s="113"/>
      <c r="F22" s="112" t="e">
        <f>ROUND(IF(ISNUMBER(D22),D22,$AE$57),1)</f>
        <v>#DIV/0!</v>
      </c>
      <c r="G22" s="138"/>
      <c r="H22" s="9"/>
      <c r="J22" s="39"/>
      <c r="K22" s="39"/>
      <c r="L22" s="39"/>
      <c r="M22" s="39"/>
      <c r="AO22" s="4">
        <f t="shared" si="2"/>
        <v>2090</v>
      </c>
      <c r="AP22" s="2" t="e">
        <f t="shared" si="1"/>
        <v>#VALUE!</v>
      </c>
      <c r="AQ22" s="2" t="e">
        <f t="shared" si="0"/>
        <v>#VALUE!</v>
      </c>
      <c r="AR22"/>
      <c r="AS22"/>
      <c r="AT22"/>
      <c r="AU22" s="1"/>
      <c r="AV22" s="1"/>
      <c r="AX22" s="143" t="s">
        <v>18</v>
      </c>
      <c r="AY22" s="48">
        <v>3.9699999999999998</v>
      </c>
      <c r="AZ22" s="7" t="s">
        <v>108</v>
      </c>
      <c r="BB22" s="35"/>
      <c r="BC22" s="35"/>
      <c r="BE22" s="35"/>
      <c r="BF22" s="35"/>
      <c r="BK22" s="35"/>
    </row>
    <row r="23" spans="1:63" ht="15" customHeight="1" thickBot="1" x14ac:dyDescent="0.3">
      <c r="A23" s="141"/>
      <c r="B23" s="112">
        <v>10</v>
      </c>
      <c r="C23" s="118"/>
      <c r="D23" s="112" t="str">
        <f>IF(ISNUMBER(C23),IF(ISBLANK($C$19),ROUND(C23*1.4,1),ROUND(C23*($C$19/$C$25),1)),"")</f>
        <v/>
      </c>
      <c r="E23" s="118"/>
      <c r="F23" s="112" t="str">
        <f>IF(ISBLANK(E23),IF(ISBLANK(D23),"",D23),ROUND(E23,1))</f>
        <v/>
      </c>
      <c r="G23" s="138"/>
      <c r="H23" s="9"/>
      <c r="I23" s="130" t="s">
        <v>64</v>
      </c>
      <c r="O23" s="44"/>
      <c r="AO23" s="4">
        <f t="shared" si="2"/>
        <v>2095</v>
      </c>
      <c r="AP23" s="2" t="e">
        <f t="shared" si="1"/>
        <v>#VALUE!</v>
      </c>
      <c r="AQ23" s="2" t="e">
        <f t="shared" si="0"/>
        <v>#VALUE!</v>
      </c>
      <c r="AR23"/>
      <c r="AS23"/>
      <c r="AT23"/>
      <c r="AU23" s="1"/>
      <c r="AV23" s="1"/>
      <c r="AX23" s="143" t="s">
        <v>19</v>
      </c>
      <c r="AY23" s="48">
        <v>3.87</v>
      </c>
      <c r="AZ23" s="7" t="s">
        <v>109</v>
      </c>
      <c r="BB23" s="35"/>
      <c r="BC23" s="35"/>
      <c r="BE23" s="35"/>
      <c r="BF23" s="35"/>
      <c r="BK23" s="35"/>
    </row>
    <row r="24" spans="1:63" ht="15" customHeight="1" thickBot="1" x14ac:dyDescent="0.3">
      <c r="A24" s="141"/>
      <c r="B24" s="112">
        <v>50</v>
      </c>
      <c r="C24" s="118"/>
      <c r="D24" s="112" t="str">
        <f>IF(ISNUMBER(C24),IF(ISBLANK($C$19),ROUND(C24*1.4,1),ROUND(C24*($C$19/$C$25),1)),"")</f>
        <v/>
      </c>
      <c r="E24" s="118"/>
      <c r="F24" s="112" t="str">
        <f t="shared" ref="F24:F26" si="3">IF(ISBLANK(E24),IF(ISBLANK(D24),"",D24),ROUND(E24,1))</f>
        <v/>
      </c>
      <c r="G24" s="138"/>
      <c r="H24" s="9"/>
      <c r="I24" s="171"/>
      <c r="J24" s="171"/>
      <c r="K24" s="171"/>
      <c r="L24" s="171"/>
      <c r="M24" s="39"/>
      <c r="AO24" s="4">
        <f t="shared" si="2"/>
        <v>2100</v>
      </c>
      <c r="AP24" s="2" t="e">
        <f t="shared" si="1"/>
        <v>#VALUE!</v>
      </c>
      <c r="AQ24" s="2" t="e">
        <f t="shared" si="0"/>
        <v>#VALUE!</v>
      </c>
      <c r="AR24"/>
      <c r="AS24"/>
      <c r="AT24"/>
      <c r="AU24" s="1"/>
      <c r="AV24" s="1"/>
      <c r="AX24" s="143" t="s">
        <v>20</v>
      </c>
      <c r="AY24" s="48">
        <v>3.8</v>
      </c>
      <c r="AZ24" s="7" t="s">
        <v>110</v>
      </c>
      <c r="BB24" s="35"/>
      <c r="BC24" s="35"/>
      <c r="BE24" s="35"/>
      <c r="BF24" s="35"/>
      <c r="BK24" s="35"/>
    </row>
    <row r="25" spans="1:63" ht="15" customHeight="1" thickBot="1" x14ac:dyDescent="0.3">
      <c r="A25" s="141"/>
      <c r="B25" s="112">
        <v>100</v>
      </c>
      <c r="C25" s="118"/>
      <c r="D25" s="112" t="str">
        <f>IF(ISNUMBER(C25),IF(ISBLANK($C$19),ROUND(C25*1.4,1),ROUND(C25*($C$19/$C$25),1)),"")</f>
        <v/>
      </c>
      <c r="E25" s="118"/>
      <c r="F25" s="112" t="str">
        <f t="shared" si="3"/>
        <v/>
      </c>
      <c r="G25" s="138"/>
      <c r="H25" s="9"/>
      <c r="I25" s="54"/>
      <c r="J25" s="39"/>
      <c r="K25" s="39"/>
      <c r="L25" s="39"/>
      <c r="M25" s="39"/>
      <c r="AO25" s="4">
        <f t="shared" si="2"/>
        <v>2105</v>
      </c>
      <c r="AP25" s="2" t="e">
        <f t="shared" si="1"/>
        <v>#VALUE!</v>
      </c>
      <c r="AQ25" s="2" t="e">
        <f t="shared" si="0"/>
        <v>#VALUE!</v>
      </c>
      <c r="AR25"/>
      <c r="AS25"/>
      <c r="AT25"/>
      <c r="AU25" s="1"/>
      <c r="AV25" s="1"/>
      <c r="AX25" s="143" t="s">
        <v>21</v>
      </c>
      <c r="AY25" s="48">
        <v>2.76</v>
      </c>
      <c r="AZ25" s="7" t="s">
        <v>111</v>
      </c>
      <c r="BB25" s="35"/>
      <c r="BC25" s="35"/>
      <c r="BE25" s="35"/>
      <c r="BF25" s="35"/>
      <c r="BK25" s="35"/>
    </row>
    <row r="26" spans="1:63" ht="15" customHeight="1" thickBot="1" x14ac:dyDescent="0.3">
      <c r="A26" s="141"/>
      <c r="B26" s="112">
        <v>500</v>
      </c>
      <c r="C26" s="118"/>
      <c r="D26" s="112" t="str">
        <f>IF(ISNUMBER(C26),IF(ISBLANK($C$19),ROUND(C26*1.4,1),ROUND(C26*($C$19/$C$25),1)),"")</f>
        <v/>
      </c>
      <c r="E26" s="118"/>
      <c r="F26" s="112" t="str">
        <f t="shared" si="3"/>
        <v/>
      </c>
      <c r="G26" s="138"/>
      <c r="H26" s="9"/>
      <c r="I26" s="54"/>
      <c r="J26" s="135"/>
      <c r="K26" s="39"/>
      <c r="L26" s="39"/>
      <c r="M26" s="39"/>
      <c r="AO26" s="4">
        <f t="shared" si="2"/>
        <v>2110</v>
      </c>
      <c r="AP26" s="2" t="e">
        <f t="shared" si="1"/>
        <v>#VALUE!</v>
      </c>
      <c r="AQ26" s="2" t="e">
        <f t="shared" si="0"/>
        <v>#VALUE!</v>
      </c>
      <c r="AR26"/>
      <c r="AS26"/>
      <c r="AT26"/>
      <c r="AU26" s="1"/>
      <c r="AV26" s="1"/>
      <c r="AX26" s="143" t="s">
        <v>22</v>
      </c>
      <c r="AY26" s="48">
        <v>3.41</v>
      </c>
      <c r="AZ26" s="7" t="s">
        <v>112</v>
      </c>
      <c r="BB26" s="35"/>
      <c r="BC26" s="35"/>
      <c r="BE26" s="35"/>
      <c r="BF26" s="35"/>
      <c r="BK26" s="35"/>
    </row>
    <row r="27" spans="1:63" ht="40.9" customHeight="1" thickBot="1" x14ac:dyDescent="0.3">
      <c r="A27" s="141"/>
      <c r="B27" s="115" t="s">
        <v>140</v>
      </c>
      <c r="C27" s="187"/>
      <c r="D27" s="188"/>
      <c r="E27" s="188"/>
      <c r="F27" s="188"/>
      <c r="G27" s="189"/>
      <c r="H27" s="124"/>
      <c r="I27" s="54"/>
      <c r="J27" s="39"/>
      <c r="K27" s="39"/>
      <c r="L27" s="39"/>
      <c r="M27" s="39"/>
      <c r="AO27" s="4">
        <f t="shared" si="2"/>
        <v>2115</v>
      </c>
      <c r="AP27" s="2" t="e">
        <f t="shared" si="1"/>
        <v>#VALUE!</v>
      </c>
      <c r="AQ27" s="2" t="e">
        <f t="shared" si="0"/>
        <v>#VALUE!</v>
      </c>
      <c r="AR27"/>
      <c r="AS27"/>
      <c r="AT27"/>
      <c r="AU27" s="1"/>
      <c r="AV27" s="1"/>
      <c r="AX27" s="143" t="s">
        <v>23</v>
      </c>
      <c r="AY27" s="48">
        <v>3.36</v>
      </c>
      <c r="AZ27" s="7" t="s">
        <v>113</v>
      </c>
      <c r="BB27" s="35"/>
      <c r="BC27" s="35"/>
      <c r="BE27" s="35"/>
      <c r="BF27" s="35"/>
      <c r="BK27" s="35"/>
    </row>
    <row r="28" spans="1:63" ht="15" customHeight="1" thickBot="1" x14ac:dyDescent="0.3">
      <c r="A28" s="160" t="s">
        <v>145</v>
      </c>
      <c r="B28" s="161"/>
      <c r="C28" s="161"/>
      <c r="D28" s="161"/>
      <c r="E28" s="161"/>
      <c r="F28" s="161"/>
      <c r="G28" s="161"/>
      <c r="H28" s="162"/>
      <c r="I28" s="54"/>
      <c r="J28" s="39"/>
      <c r="K28" s="39"/>
      <c r="L28" s="39"/>
      <c r="M28" s="39"/>
      <c r="AO28" s="4">
        <f t="shared" si="2"/>
        <v>2120</v>
      </c>
      <c r="AP28" s="2" t="e">
        <f t="shared" si="1"/>
        <v>#VALUE!</v>
      </c>
      <c r="AQ28" s="2" t="e">
        <f t="shared" si="0"/>
        <v>#VALUE!</v>
      </c>
      <c r="AR28"/>
      <c r="AS28"/>
      <c r="AT28"/>
      <c r="AU28" s="1"/>
      <c r="AV28" s="1"/>
      <c r="AX28" s="143" t="s">
        <v>24</v>
      </c>
      <c r="AY28" s="48">
        <v>4.43</v>
      </c>
      <c r="AZ28" s="7" t="s">
        <v>95</v>
      </c>
      <c r="BB28" s="35"/>
      <c r="BC28" s="35"/>
      <c r="BE28" s="35"/>
      <c r="BF28" s="35"/>
      <c r="BK28" s="35"/>
    </row>
    <row r="29" spans="1:63" ht="28.15" customHeight="1" thickBot="1" x14ac:dyDescent="0.3">
      <c r="A29" s="141"/>
      <c r="B29" s="119" t="s">
        <v>139</v>
      </c>
      <c r="C29" s="41"/>
      <c r="D29" s="120" t="s">
        <v>91</v>
      </c>
      <c r="E29" s="43">
        <v>2014</v>
      </c>
      <c r="F29" s="120" t="s">
        <v>131</v>
      </c>
      <c r="G29" s="55">
        <f>+E29+C29</f>
        <v>2014</v>
      </c>
      <c r="H29" s="124"/>
      <c r="I29" s="170" t="s">
        <v>93</v>
      </c>
      <c r="J29" s="170"/>
      <c r="K29" s="170"/>
      <c r="L29" s="170"/>
      <c r="M29" s="170"/>
      <c r="AO29" s="4">
        <f t="shared" si="2"/>
        <v>2125</v>
      </c>
      <c r="AP29" s="2" t="e">
        <f t="shared" si="1"/>
        <v>#VALUE!</v>
      </c>
      <c r="AQ29" s="2" t="e">
        <f t="shared" si="0"/>
        <v>#VALUE!</v>
      </c>
      <c r="AR29"/>
      <c r="AS29"/>
      <c r="AT29"/>
      <c r="AU29" s="1"/>
      <c r="AV29" s="1"/>
      <c r="AX29" s="143" t="s">
        <v>25</v>
      </c>
      <c r="AY29" s="48">
        <v>3.5999999999999996</v>
      </c>
      <c r="AZ29" s="7" t="s">
        <v>114</v>
      </c>
      <c r="BB29" s="35"/>
      <c r="BC29" s="35"/>
      <c r="BE29" s="35"/>
      <c r="BF29" s="35"/>
      <c r="BK29" s="35"/>
    </row>
    <row r="30" spans="1:63" ht="13.9" customHeight="1" thickBot="1" x14ac:dyDescent="0.3">
      <c r="A30" s="141"/>
      <c r="B30" s="163" t="s">
        <v>149</v>
      </c>
      <c r="C30" s="165"/>
      <c r="D30" s="165"/>
      <c r="E30" s="164"/>
      <c r="F30" s="164"/>
      <c r="G30" s="197"/>
      <c r="H30" s="124"/>
      <c r="I30" s="170"/>
      <c r="J30" s="170"/>
      <c r="K30" s="170"/>
      <c r="L30" s="170"/>
      <c r="M30" s="170"/>
      <c r="N30" s="170"/>
      <c r="O30" s="170"/>
      <c r="P30" s="170"/>
      <c r="AO30" s="4">
        <f t="shared" si="2"/>
        <v>2130</v>
      </c>
      <c r="AP30" s="2" t="e">
        <f t="shared" si="1"/>
        <v>#VALUE!</v>
      </c>
      <c r="AQ30" s="2" t="e">
        <f t="shared" si="0"/>
        <v>#VALUE!</v>
      </c>
      <c r="AR30"/>
      <c r="AS30"/>
      <c r="AT30"/>
      <c r="AU30" s="1"/>
      <c r="AV30" s="1"/>
      <c r="AX30" s="143" t="s">
        <v>26</v>
      </c>
      <c r="AY30" s="48">
        <v>3.0300000000000002</v>
      </c>
      <c r="AZ30" s="7" t="s">
        <v>115</v>
      </c>
      <c r="BB30" s="35"/>
      <c r="BC30" s="35"/>
      <c r="BE30" s="35"/>
      <c r="BF30" s="35"/>
      <c r="BK30" s="35"/>
    </row>
    <row r="31" spans="1:63" ht="43.15" customHeight="1" thickTop="1" thickBot="1" x14ac:dyDescent="0.3">
      <c r="A31" s="141"/>
      <c r="B31" s="125" t="s">
        <v>151</v>
      </c>
      <c r="C31" s="195" t="s">
        <v>144</v>
      </c>
      <c r="D31" s="196"/>
      <c r="E31" s="144" t="s">
        <v>152</v>
      </c>
      <c r="F31" s="195" t="s">
        <v>144</v>
      </c>
      <c r="G31" s="196"/>
      <c r="H31" s="9"/>
      <c r="I31" s="167" t="s">
        <v>158</v>
      </c>
      <c r="J31" s="167"/>
      <c r="K31" s="167"/>
      <c r="L31" s="167"/>
      <c r="M31" s="167"/>
      <c r="N31" s="167"/>
      <c r="O31" s="167"/>
      <c r="P31" s="167"/>
      <c r="AO31" s="4">
        <f t="shared" si="2"/>
        <v>2135</v>
      </c>
      <c r="AP31" s="2" t="e">
        <f t="shared" si="1"/>
        <v>#VALUE!</v>
      </c>
      <c r="AQ31" s="2" t="e">
        <f t="shared" si="0"/>
        <v>#VALUE!</v>
      </c>
      <c r="AR31"/>
      <c r="AS31"/>
      <c r="AT31"/>
      <c r="AU31" s="1"/>
      <c r="AV31" s="1"/>
      <c r="AX31" s="143" t="s">
        <v>27</v>
      </c>
      <c r="AY31" s="48">
        <v>3.0300000000000002</v>
      </c>
      <c r="AZ31" s="7" t="s">
        <v>116</v>
      </c>
      <c r="BB31" s="35"/>
      <c r="BC31" s="35"/>
      <c r="BE31" s="35"/>
      <c r="BF31" s="35"/>
      <c r="BK31" s="35"/>
    </row>
    <row r="32" spans="1:63" ht="30" customHeight="1" thickTop="1" thickBot="1" x14ac:dyDescent="0.3">
      <c r="A32" s="141"/>
      <c r="B32" s="155" t="s">
        <v>143</v>
      </c>
      <c r="C32" s="156"/>
      <c r="D32" s="145" t="str">
        <f>IF(OR(AI5=1,AI10=1),"",ROUND(VLOOKUP(MROUND($G$29,5),$AO$2:$AQ$37,$AI$10)-VLOOKUP(MROUND($E$29,5),$AO$2:$AQ$37,$AI$10),1))</f>
        <v/>
      </c>
      <c r="E32" s="157" t="str">
        <f>IF(OR(AI5=1,AI10=1),"",CONCATENATE("Estimated for Year ",G29," based on ",AJ10," trend projection for"," NOAA Gauge: ",AJ5,"."))</f>
        <v/>
      </c>
      <c r="F32" s="158"/>
      <c r="G32" s="159"/>
      <c r="H32" s="9"/>
      <c r="I32" s="168"/>
      <c r="J32" s="168"/>
      <c r="K32" s="168"/>
      <c r="L32" s="168"/>
      <c r="M32" s="168"/>
      <c r="N32" s="168"/>
      <c r="O32" s="168"/>
      <c r="P32" s="168"/>
      <c r="AO32" s="4">
        <f t="shared" si="2"/>
        <v>2140</v>
      </c>
      <c r="AP32" s="2" t="e">
        <f t="shared" si="1"/>
        <v>#VALUE!</v>
      </c>
      <c r="AQ32" s="2" t="e">
        <f t="shared" si="0"/>
        <v>#VALUE!</v>
      </c>
      <c r="AR32"/>
      <c r="AS32"/>
      <c r="AT32"/>
      <c r="AU32" s="1"/>
      <c r="AV32" s="1"/>
      <c r="AX32" s="143" t="s">
        <v>28</v>
      </c>
      <c r="AY32" s="48">
        <v>3.3200000000000003</v>
      </c>
      <c r="AZ32" s="7" t="s">
        <v>117</v>
      </c>
      <c r="BB32" s="35"/>
      <c r="BC32" s="35"/>
      <c r="BE32" s="35"/>
      <c r="BF32" s="35"/>
      <c r="BK32" s="35"/>
    </row>
    <row r="33" spans="1:63" ht="13.9" customHeight="1" thickBot="1" x14ac:dyDescent="0.3">
      <c r="A33" s="141"/>
      <c r="B33" s="163" t="s">
        <v>150</v>
      </c>
      <c r="C33" s="164"/>
      <c r="D33" s="164"/>
      <c r="E33" s="164"/>
      <c r="F33" s="165"/>
      <c r="G33" s="166"/>
      <c r="H33" s="124"/>
      <c r="I33" s="168"/>
      <c r="J33" s="168"/>
      <c r="K33" s="168"/>
      <c r="L33" s="168"/>
      <c r="M33" s="168"/>
      <c r="N33" s="168"/>
      <c r="O33" s="168"/>
      <c r="P33" s="168"/>
      <c r="AO33" s="4">
        <f t="shared" si="2"/>
        <v>2145</v>
      </c>
      <c r="AP33" s="2" t="e">
        <f t="shared" si="1"/>
        <v>#VALUE!</v>
      </c>
      <c r="AQ33" s="2" t="e">
        <f t="shared" si="0"/>
        <v>#VALUE!</v>
      </c>
      <c r="AR33"/>
      <c r="AS33"/>
      <c r="AT33"/>
      <c r="AU33" s="1"/>
      <c r="AV33" s="1"/>
      <c r="AX33" s="143" t="s">
        <v>29</v>
      </c>
      <c r="AY33" s="48">
        <v>3.5300000000000002</v>
      </c>
      <c r="AZ33" s="7" t="s">
        <v>118</v>
      </c>
      <c r="BB33" s="35"/>
      <c r="BC33" s="35"/>
      <c r="BE33" s="35"/>
      <c r="BF33" s="35"/>
      <c r="BK33" s="35"/>
    </row>
    <row r="34" spans="1:63" ht="27.6" customHeight="1" thickBot="1" x14ac:dyDescent="0.3">
      <c r="A34" s="141"/>
      <c r="B34" s="190" t="s">
        <v>147</v>
      </c>
      <c r="C34" s="191"/>
      <c r="D34" s="132"/>
      <c r="E34" s="115" t="s">
        <v>146</v>
      </c>
      <c r="F34" s="192"/>
      <c r="G34" s="193"/>
      <c r="H34" s="194"/>
      <c r="I34" s="168"/>
      <c r="J34" s="168"/>
      <c r="K34" s="168"/>
      <c r="L34" s="168"/>
      <c r="M34" s="168"/>
      <c r="N34" s="168"/>
      <c r="O34" s="168"/>
      <c r="P34" s="168"/>
      <c r="AO34" s="4">
        <f t="shared" si="2"/>
        <v>2150</v>
      </c>
      <c r="AP34" s="2" t="e">
        <f t="shared" si="1"/>
        <v>#VALUE!</v>
      </c>
      <c r="AQ34" s="2" t="e">
        <f t="shared" si="0"/>
        <v>#VALUE!</v>
      </c>
      <c r="AR34"/>
      <c r="AS34"/>
      <c r="AT34"/>
      <c r="AU34" s="1"/>
      <c r="AV34" s="1"/>
      <c r="AX34" s="143" t="s">
        <v>30</v>
      </c>
      <c r="AY34" s="48">
        <v>3.04</v>
      </c>
      <c r="AZ34" s="7" t="s">
        <v>119</v>
      </c>
      <c r="BB34" s="35"/>
      <c r="BC34" s="35"/>
      <c r="BE34" s="35"/>
      <c r="BF34" s="35"/>
      <c r="BK34" s="35"/>
    </row>
    <row r="35" spans="1:63" ht="28.9" customHeight="1" thickBot="1" x14ac:dyDescent="0.3">
      <c r="A35" s="141"/>
      <c r="B35" s="190" t="s">
        <v>148</v>
      </c>
      <c r="C35" s="191"/>
      <c r="D35" s="112" t="str">
        <f>IF(ISNUMBER(D34),D34,D32)</f>
        <v/>
      </c>
      <c r="E35" s="140"/>
      <c r="F35" s="137"/>
      <c r="G35" s="137"/>
      <c r="H35" s="142"/>
      <c r="I35" s="168"/>
      <c r="J35" s="168"/>
      <c r="K35" s="168"/>
      <c r="L35" s="168"/>
      <c r="M35" s="168"/>
      <c r="N35" s="168"/>
      <c r="O35" s="168"/>
      <c r="P35" s="168"/>
      <c r="AO35" s="4">
        <f t="shared" si="2"/>
        <v>2155</v>
      </c>
      <c r="AP35" s="2" t="e">
        <f t="shared" si="1"/>
        <v>#VALUE!</v>
      </c>
      <c r="AQ35" s="2" t="e">
        <f t="shared" si="0"/>
        <v>#VALUE!</v>
      </c>
      <c r="AR35"/>
      <c r="AS35"/>
      <c r="AT35"/>
      <c r="AU35" s="1"/>
      <c r="AV35" s="1"/>
      <c r="AX35" s="143" t="s">
        <v>31</v>
      </c>
      <c r="AY35" s="48">
        <v>3.5999999999999996</v>
      </c>
      <c r="AZ35" s="7" t="s">
        <v>120</v>
      </c>
      <c r="BB35" s="35"/>
      <c r="BC35" s="35"/>
      <c r="BE35" s="35"/>
      <c r="BF35" s="35"/>
      <c r="BK35" s="35"/>
    </row>
    <row r="36" spans="1:63" ht="38.25" customHeight="1" x14ac:dyDescent="0.25">
      <c r="A36" s="141"/>
      <c r="B36" s="116" t="s">
        <v>56</v>
      </c>
      <c r="C36" s="116" t="s">
        <v>159</v>
      </c>
      <c r="D36" s="138"/>
      <c r="E36" s="138"/>
      <c r="F36" s="138"/>
      <c r="G36" s="138"/>
      <c r="H36" s="9"/>
      <c r="I36" s="168"/>
      <c r="J36" s="168"/>
      <c r="K36" s="168"/>
      <c r="L36" s="168"/>
      <c r="M36" s="168"/>
      <c r="N36" s="168"/>
      <c r="O36" s="168"/>
      <c r="P36" s="168"/>
      <c r="AO36" s="4">
        <f t="shared" si="2"/>
        <v>2160</v>
      </c>
      <c r="AP36" s="2" t="e">
        <f t="shared" si="1"/>
        <v>#VALUE!</v>
      </c>
      <c r="AQ36" s="2" t="e">
        <f t="shared" si="0"/>
        <v>#VALUE!</v>
      </c>
      <c r="AR36"/>
      <c r="AS36"/>
      <c r="AT36"/>
      <c r="AU36" s="1"/>
      <c r="AV36" s="1"/>
      <c r="AX36" s="143" t="s">
        <v>32</v>
      </c>
      <c r="AY36" s="48">
        <v>4.7699999999999996</v>
      </c>
      <c r="AZ36" s="7" t="s">
        <v>121</v>
      </c>
      <c r="BB36" s="35"/>
      <c r="BC36" s="35"/>
      <c r="BE36" s="35"/>
      <c r="BF36" s="35"/>
      <c r="BK36" s="35"/>
    </row>
    <row r="37" spans="1:63" ht="26.25" customHeight="1" thickBot="1" x14ac:dyDescent="0.3">
      <c r="A37" s="141"/>
      <c r="B37" s="117" t="s">
        <v>61</v>
      </c>
      <c r="C37" s="117" t="s">
        <v>160</v>
      </c>
      <c r="D37" s="138"/>
      <c r="E37" s="138"/>
      <c r="F37" s="138"/>
      <c r="G37" s="138"/>
      <c r="H37" s="9"/>
      <c r="I37" s="168"/>
      <c r="J37" s="168"/>
      <c r="K37" s="168"/>
      <c r="L37" s="168"/>
      <c r="M37" s="168"/>
      <c r="N37" s="168"/>
      <c r="O37" s="168"/>
      <c r="P37" s="168"/>
      <c r="AO37" s="4">
        <f t="shared" si="2"/>
        <v>2165</v>
      </c>
      <c r="AP37" s="2" t="e">
        <f t="shared" si="1"/>
        <v>#VALUE!</v>
      </c>
      <c r="AQ37" s="2" t="e">
        <f t="shared" si="0"/>
        <v>#VALUE!</v>
      </c>
      <c r="AR37"/>
      <c r="AS37"/>
      <c r="AT37"/>
      <c r="AU37" s="1"/>
      <c r="AV37" s="1"/>
      <c r="AX37" s="143" t="s">
        <v>33</v>
      </c>
      <c r="AY37" s="48">
        <v>4.12</v>
      </c>
      <c r="AZ37" s="7" t="s">
        <v>122</v>
      </c>
      <c r="BB37" s="35"/>
      <c r="BC37" s="35"/>
      <c r="BE37" s="35"/>
      <c r="BF37" s="35"/>
      <c r="BK37" s="35"/>
    </row>
    <row r="38" spans="1:63" ht="39" hidden="1" customHeight="1" thickBot="1" x14ac:dyDescent="0.3">
      <c r="A38" s="141"/>
      <c r="B38" s="112">
        <v>1</v>
      </c>
      <c r="C38" s="112" t="str">
        <f>+IF(ISNUMBER($D$35),IF(ISNUMBER(F22),ROUND(F22+$D$35,1),""),"")</f>
        <v/>
      </c>
      <c r="D38" s="138"/>
      <c r="E38" s="138"/>
      <c r="F38" s="138"/>
      <c r="G38" s="138"/>
      <c r="H38" s="9"/>
      <c r="I38" s="168"/>
      <c r="J38" s="168"/>
      <c r="K38" s="168"/>
      <c r="L38" s="168"/>
      <c r="M38" s="168"/>
      <c r="N38" s="168"/>
      <c r="O38" s="168"/>
      <c r="P38" s="168"/>
      <c r="AX38" s="143" t="s">
        <v>34</v>
      </c>
      <c r="AY38" s="48">
        <v>4.12</v>
      </c>
      <c r="AZ38" s="7" t="s">
        <v>123</v>
      </c>
      <c r="BB38" s="35"/>
      <c r="BC38" s="35"/>
      <c r="BE38" s="35"/>
      <c r="BF38" s="35"/>
      <c r="BK38" s="35"/>
    </row>
    <row r="39" spans="1:63" ht="15.75" thickBot="1" x14ac:dyDescent="0.3">
      <c r="A39" s="141"/>
      <c r="B39" s="112">
        <v>10</v>
      </c>
      <c r="C39" s="112" t="str">
        <f t="shared" ref="C39:C42" si="4">+IF(ISNUMBER($D$35),IF(ISNUMBER(F23),ROUND(F23+$D$35,1),""),"")</f>
        <v/>
      </c>
      <c r="D39" s="138"/>
      <c r="E39" s="138"/>
      <c r="F39" s="138"/>
      <c r="G39" s="138"/>
      <c r="H39" s="9"/>
      <c r="I39" s="168"/>
      <c r="J39" s="168"/>
      <c r="K39" s="168"/>
      <c r="L39" s="168"/>
      <c r="M39" s="168"/>
      <c r="N39" s="168"/>
      <c r="O39" s="168"/>
      <c r="P39" s="168"/>
      <c r="AX39" s="143" t="s">
        <v>35</v>
      </c>
      <c r="AY39" s="48">
        <v>4.3099999999999996</v>
      </c>
      <c r="AZ39" s="7" t="s">
        <v>124</v>
      </c>
      <c r="BB39" s="35"/>
      <c r="BC39" s="35"/>
      <c r="BE39" s="35"/>
      <c r="BF39" s="35"/>
      <c r="BK39" s="35"/>
    </row>
    <row r="40" spans="1:63" ht="15.75" thickBot="1" x14ac:dyDescent="0.3">
      <c r="A40" s="141"/>
      <c r="B40" s="112">
        <v>50</v>
      </c>
      <c r="C40" s="112" t="str">
        <f t="shared" si="4"/>
        <v/>
      </c>
      <c r="D40" s="138"/>
      <c r="E40" s="138"/>
      <c r="F40" s="138"/>
      <c r="G40" s="138"/>
      <c r="H40" s="9"/>
      <c r="I40" s="168"/>
      <c r="J40" s="168"/>
      <c r="K40" s="168"/>
      <c r="L40" s="168"/>
      <c r="M40" s="168"/>
      <c r="N40" s="168"/>
      <c r="O40" s="168"/>
      <c r="P40" s="168"/>
      <c r="AX40" s="143" t="s">
        <v>36</v>
      </c>
      <c r="AY40" s="48">
        <v>3.76</v>
      </c>
      <c r="AZ40" s="7" t="s">
        <v>125</v>
      </c>
      <c r="BB40" s="35"/>
      <c r="BC40" s="35"/>
      <c r="BE40" s="35"/>
      <c r="BF40" s="35"/>
      <c r="BK40" s="35"/>
    </row>
    <row r="41" spans="1:63" ht="15" customHeight="1" thickBot="1" x14ac:dyDescent="0.3">
      <c r="A41" s="141"/>
      <c r="B41" s="112">
        <v>100</v>
      </c>
      <c r="C41" s="112" t="str">
        <f t="shared" si="4"/>
        <v/>
      </c>
      <c r="D41" s="138"/>
      <c r="E41" s="138"/>
      <c r="F41" s="138"/>
      <c r="G41" s="138"/>
      <c r="H41" s="9"/>
      <c r="I41" s="54"/>
      <c r="AX41" s="143" t="s">
        <v>37</v>
      </c>
      <c r="AY41" s="48">
        <v>5.04</v>
      </c>
      <c r="AZ41" s="7" t="s">
        <v>126</v>
      </c>
      <c r="BB41" s="35"/>
      <c r="BC41" s="35"/>
      <c r="BE41" s="35"/>
      <c r="BF41" s="35"/>
      <c r="BK41" s="35"/>
    </row>
    <row r="42" spans="1:63" ht="15" customHeight="1" thickBot="1" x14ac:dyDescent="0.3">
      <c r="A42" s="141"/>
      <c r="B42" s="112">
        <v>500</v>
      </c>
      <c r="C42" s="112" t="str">
        <f t="shared" si="4"/>
        <v/>
      </c>
      <c r="D42" s="138"/>
      <c r="E42" s="138"/>
      <c r="F42" s="138"/>
      <c r="G42" s="138"/>
      <c r="H42" s="9"/>
      <c r="I42" s="54"/>
      <c r="AX42" s="143" t="s">
        <v>38</v>
      </c>
      <c r="AY42" s="48">
        <v>2.34</v>
      </c>
      <c r="AZ42" s="7" t="s">
        <v>127</v>
      </c>
      <c r="BB42" s="35"/>
      <c r="BC42" s="35"/>
      <c r="BE42" s="35"/>
      <c r="BF42" s="35"/>
      <c r="BG42" s="48"/>
      <c r="BK42" s="35"/>
    </row>
    <row r="43" spans="1:63" ht="15" customHeight="1" thickBot="1" x14ac:dyDescent="0.3">
      <c r="A43" s="160" t="s">
        <v>141</v>
      </c>
      <c r="B43" s="161"/>
      <c r="C43" s="161"/>
      <c r="D43" s="161"/>
      <c r="E43" s="161"/>
      <c r="F43" s="161"/>
      <c r="G43" s="161"/>
      <c r="H43" s="162"/>
      <c r="I43" s="54"/>
      <c r="AX43" s="7" t="s">
        <v>46</v>
      </c>
      <c r="BC43" s="35"/>
      <c r="BD43" s="35"/>
      <c r="BE43" s="35"/>
      <c r="BF43" s="35"/>
      <c r="BG43" s="48"/>
      <c r="BK43" s="35"/>
    </row>
    <row r="44" spans="1:63" ht="13.9" customHeight="1" thickBot="1" x14ac:dyDescent="0.3">
      <c r="A44" s="141"/>
      <c r="B44" s="152" t="s">
        <v>153</v>
      </c>
      <c r="C44" s="153"/>
      <c r="D44" s="153"/>
      <c r="E44" s="137"/>
      <c r="F44" s="152" t="s">
        <v>154</v>
      </c>
      <c r="G44" s="153"/>
      <c r="H44" s="154"/>
      <c r="I44" s="54"/>
      <c r="AX44" s="7" t="s">
        <v>47</v>
      </c>
      <c r="BC44" s="35"/>
      <c r="BD44" s="35"/>
      <c r="BE44" s="35"/>
      <c r="BF44" s="35"/>
      <c r="BG44" s="48"/>
      <c r="BK44" s="35"/>
    </row>
    <row r="45" spans="1:63" ht="42.6" customHeight="1" thickBot="1" x14ac:dyDescent="0.3">
      <c r="A45" s="141"/>
      <c r="B45" s="121" t="s">
        <v>65</v>
      </c>
      <c r="C45" s="122" t="s">
        <v>135</v>
      </c>
      <c r="D45" s="122" t="s">
        <v>134</v>
      </c>
      <c r="E45" s="138"/>
      <c r="F45" s="116" t="s">
        <v>155</v>
      </c>
      <c r="G45" s="116" t="s">
        <v>156</v>
      </c>
      <c r="H45" s="116" t="s">
        <v>134</v>
      </c>
      <c r="I45" s="54"/>
      <c r="BC45" s="35"/>
      <c r="BD45" s="35"/>
      <c r="BE45" s="35"/>
      <c r="BF45" s="35"/>
      <c r="BG45" s="48"/>
      <c r="BK45" s="35"/>
    </row>
    <row r="46" spans="1:63" ht="15.75" thickBot="1" x14ac:dyDescent="0.3">
      <c r="A46" s="141"/>
      <c r="B46" s="134"/>
      <c r="C46" s="111" t="str">
        <f>IF(COUNTBLANK($F$22:$F$26)=0,IF(ISNUMBER(B46),J65,""),"")</f>
        <v/>
      </c>
      <c r="D46" s="111" t="str">
        <f>IF(COUNTBLANK($C$38:$C$42)=0,IF(ISNUMBER(B46),J87,""),"")</f>
        <v/>
      </c>
      <c r="E46" s="138"/>
      <c r="F46" s="111" t="str">
        <f>+F23</f>
        <v/>
      </c>
      <c r="G46" s="111" t="str">
        <f>IF(COUNTBLANK($F$22:$F$26)=0,IF(ISNUMBER(F46),J70,""),"")</f>
        <v/>
      </c>
      <c r="H46" s="111" t="str">
        <f>IF(COUNTBLANK($C$38:$C$42)=0,IF(ISNUMBER(F46),J92,""),"")</f>
        <v/>
      </c>
      <c r="I46" s="54"/>
      <c r="BC46" s="35"/>
      <c r="BD46" s="35"/>
      <c r="BE46" s="35"/>
      <c r="BF46" s="35"/>
      <c r="BG46" s="48"/>
      <c r="BK46" s="35"/>
    </row>
    <row r="47" spans="1:63" ht="15.75" thickBot="1" x14ac:dyDescent="0.3">
      <c r="A47" s="141"/>
      <c r="B47" s="133"/>
      <c r="C47" s="111" t="str">
        <f>IF(COUNTBLANK($F$22:$F$26)=0,IF(ISNUMBER(B47),J66,""),"")</f>
        <v/>
      </c>
      <c r="D47" s="111" t="str">
        <f>IF(COUNTBLANK($C$38:$C$42)=0,IF(ISNUMBER(B47),J88,""),"")</f>
        <v/>
      </c>
      <c r="E47" s="138"/>
      <c r="F47" s="111" t="str">
        <f t="shared" ref="F47:F49" si="5">+F24</f>
        <v/>
      </c>
      <c r="G47" s="111" t="str">
        <f t="shared" ref="G47:G49" si="6">IF(COUNTBLANK($F$22:$F$26)=0,IF(ISNUMBER(F47),J71,""),"")</f>
        <v/>
      </c>
      <c r="H47" s="111" t="str">
        <f t="shared" ref="H47:H49" si="7">IF(COUNTBLANK($C$38:$C$42)=0,IF(ISNUMBER(F47),J93,""),"")</f>
        <v/>
      </c>
      <c r="I47" s="54"/>
      <c r="BC47" s="35"/>
      <c r="BD47" s="35"/>
      <c r="BE47" s="35"/>
      <c r="BF47" s="35"/>
      <c r="BG47" s="48"/>
      <c r="BK47" s="35"/>
    </row>
    <row r="48" spans="1:63" ht="15.75" thickBot="1" x14ac:dyDescent="0.3">
      <c r="A48" s="141"/>
      <c r="B48" s="133"/>
      <c r="C48" s="111" t="str">
        <f>IF(COUNTBLANK($F$22:$F$26)=0,IF(ISNUMBER(B48),J67,""),"")</f>
        <v/>
      </c>
      <c r="D48" s="111" t="str">
        <f>IF(COUNTBLANK($C$38:$C$42)=0,IF(ISNUMBER(B48),J89,""),"")</f>
        <v/>
      </c>
      <c r="E48" s="138"/>
      <c r="F48" s="111" t="str">
        <f t="shared" si="5"/>
        <v/>
      </c>
      <c r="G48" s="111" t="str">
        <f t="shared" si="6"/>
        <v/>
      </c>
      <c r="H48" s="111" t="str">
        <f t="shared" si="7"/>
        <v/>
      </c>
      <c r="I48" s="54"/>
      <c r="BC48" s="35"/>
      <c r="BD48" s="35"/>
      <c r="BE48" s="35"/>
      <c r="BF48" s="35"/>
      <c r="BG48" s="48"/>
      <c r="BK48" s="35"/>
    </row>
    <row r="49" spans="1:63" ht="15.75" thickBot="1" x14ac:dyDescent="0.3">
      <c r="A49" s="141"/>
      <c r="B49" s="133"/>
      <c r="C49" s="111" t="str">
        <f>IF(COUNTBLANK($F$22:$F$26)=0,IF(ISNUMBER(B49),J68,""),"")</f>
        <v/>
      </c>
      <c r="D49" s="111" t="str">
        <f>IF(COUNTBLANK($C$38:$C$42)=0,IF(ISNUMBER(B49),J90,""),"")</f>
        <v/>
      </c>
      <c r="E49" s="138"/>
      <c r="F49" s="111" t="str">
        <f t="shared" si="5"/>
        <v/>
      </c>
      <c r="G49" s="111" t="str">
        <f t="shared" si="6"/>
        <v/>
      </c>
      <c r="H49" s="111" t="str">
        <f t="shared" si="7"/>
        <v/>
      </c>
      <c r="I49" s="54"/>
      <c r="L49" s="105"/>
      <c r="BC49" s="35"/>
      <c r="BD49" s="35"/>
      <c r="BE49" s="35"/>
      <c r="BF49" s="35"/>
      <c r="BG49" s="48"/>
      <c r="BK49" s="35"/>
    </row>
    <row r="50" spans="1:63" ht="15.75" thickBot="1" x14ac:dyDescent="0.3">
      <c r="A50" s="46"/>
      <c r="B50" s="133"/>
      <c r="C50" s="111" t="str">
        <f>IF(COUNTBLANK($F$22:$F$26)=0,IF(ISNUMBER(B50),J69,""),"")</f>
        <v/>
      </c>
      <c r="D50" s="111" t="str">
        <f>IF(COUNTBLANK($C$38:$C$42)=0,IF(ISNUMBER(B50),J91,""),"")</f>
        <v/>
      </c>
      <c r="E50" s="47"/>
      <c r="F50" s="47"/>
      <c r="G50" s="47"/>
      <c r="H50" s="11"/>
      <c r="I50" s="54"/>
      <c r="BC50" s="35"/>
      <c r="BD50" s="35"/>
      <c r="BE50" s="35"/>
      <c r="BF50" s="35"/>
      <c r="BG50" s="48"/>
      <c r="BK50" s="35"/>
    </row>
    <row r="51" spans="1:63" ht="146.44999999999999" customHeight="1" x14ac:dyDescent="0.25">
      <c r="A51" s="131"/>
      <c r="B51" s="131"/>
      <c r="C51" s="131"/>
      <c r="D51" s="131"/>
      <c r="E51" s="138"/>
      <c r="F51" s="138"/>
      <c r="G51" s="138"/>
      <c r="H51" s="138"/>
      <c r="I51" s="54"/>
      <c r="J51" s="57"/>
      <c r="K51" s="57"/>
      <c r="L51" s="57"/>
      <c r="M51" s="57"/>
      <c r="N51" s="57"/>
      <c r="O51" s="57"/>
      <c r="P51" s="57"/>
      <c r="Q51" s="57"/>
      <c r="R51" s="57"/>
      <c r="S51" s="57"/>
      <c r="T51" s="57"/>
      <c r="U51" s="57"/>
      <c r="V51" s="57"/>
      <c r="W51" s="57"/>
      <c r="X51" s="57" t="s">
        <v>66</v>
      </c>
      <c r="Y51" s="57"/>
      <c r="Z51" s="57"/>
      <c r="AA51" s="57"/>
      <c r="AB51" s="57"/>
      <c r="AC51" s="57"/>
      <c r="AD51" s="57"/>
      <c r="AE51" s="57"/>
      <c r="AF51" s="57"/>
      <c r="BC51" s="35"/>
      <c r="BD51" s="35"/>
      <c r="BE51" s="35"/>
      <c r="BF51" s="35"/>
      <c r="BG51" s="48"/>
      <c r="BK51" s="35"/>
    </row>
    <row r="52" spans="1:63" ht="15" hidden="1" x14ac:dyDescent="0.2">
      <c r="A52" s="57"/>
      <c r="B52" s="52" t="s">
        <v>142</v>
      </c>
      <c r="C52" s="61"/>
      <c r="D52" s="59"/>
      <c r="E52" s="60"/>
      <c r="F52" s="60"/>
      <c r="G52" s="60"/>
      <c r="H52" s="60"/>
      <c r="I52" s="60"/>
      <c r="J52" s="60"/>
      <c r="K52" s="57"/>
      <c r="L52" s="57"/>
      <c r="M52" s="57"/>
      <c r="N52" s="57"/>
      <c r="O52" s="62" t="s">
        <v>67</v>
      </c>
      <c r="P52" s="57"/>
      <c r="Q52" s="59"/>
      <c r="R52" s="59"/>
      <c r="S52" s="57"/>
      <c r="T52" s="57"/>
      <c r="U52" s="57"/>
      <c r="V52" s="57"/>
      <c r="W52" s="57"/>
      <c r="X52" s="62" t="s">
        <v>92</v>
      </c>
      <c r="Y52" s="57"/>
      <c r="Z52" s="59"/>
      <c r="AA52" s="59"/>
      <c r="AB52" s="57"/>
      <c r="AC52" s="57"/>
      <c r="AD52" s="57"/>
      <c r="AE52" s="57"/>
      <c r="AF52" s="57"/>
      <c r="BC52" s="35"/>
      <c r="BD52" s="35"/>
      <c r="BE52" s="35"/>
      <c r="BF52" s="35"/>
      <c r="BG52" s="48"/>
      <c r="BK52" s="35"/>
    </row>
    <row r="53" spans="1:63" ht="15" hidden="1" x14ac:dyDescent="0.2">
      <c r="A53" s="57"/>
      <c r="B53" s="60"/>
      <c r="C53" s="61"/>
      <c r="D53" s="59"/>
      <c r="E53" s="60"/>
      <c r="F53" s="60"/>
      <c r="G53" s="60"/>
      <c r="H53" s="60"/>
      <c r="I53" s="60"/>
      <c r="J53" s="60"/>
      <c r="K53" s="60"/>
      <c r="L53" s="57"/>
      <c r="M53" s="57"/>
      <c r="N53" s="57"/>
      <c r="O53" s="62" t="s">
        <v>68</v>
      </c>
      <c r="P53" s="59"/>
      <c r="Q53" s="59"/>
      <c r="R53" s="59"/>
      <c r="S53" s="63" t="s">
        <v>69</v>
      </c>
      <c r="T53" s="57"/>
      <c r="U53" s="58" t="s">
        <v>70</v>
      </c>
      <c r="V53" s="57"/>
      <c r="W53" s="57"/>
      <c r="X53" s="62" t="s">
        <v>71</v>
      </c>
      <c r="Y53" s="59"/>
      <c r="Z53" s="59"/>
      <c r="AA53" s="59"/>
      <c r="AB53" s="63" t="s">
        <v>69</v>
      </c>
      <c r="AC53" s="57"/>
      <c r="AD53" s="58" t="s">
        <v>70</v>
      </c>
      <c r="AE53" s="57"/>
      <c r="AF53" s="57"/>
      <c r="BC53" s="35"/>
      <c r="BD53" s="35"/>
      <c r="BE53" s="35"/>
      <c r="BF53" s="35"/>
      <c r="BG53" s="48"/>
      <c r="BK53" s="35"/>
    </row>
    <row r="54" spans="1:63" ht="15" hidden="1" x14ac:dyDescent="0.2">
      <c r="A54" s="57"/>
      <c r="B54" s="64" t="s">
        <v>72</v>
      </c>
      <c r="C54" s="65"/>
      <c r="D54" s="66"/>
      <c r="E54" s="64"/>
      <c r="F54" s="64" t="s">
        <v>69</v>
      </c>
      <c r="G54" s="64"/>
      <c r="H54" s="64"/>
      <c r="I54" s="64" t="s">
        <v>73</v>
      </c>
      <c r="J54" s="64" t="s">
        <v>74</v>
      </c>
      <c r="K54" s="64" t="s">
        <v>75</v>
      </c>
      <c r="L54" s="64" t="s">
        <v>76</v>
      </c>
      <c r="M54" s="57"/>
      <c r="N54" s="57"/>
      <c r="O54" s="62" t="s">
        <v>72</v>
      </c>
      <c r="P54" s="61"/>
      <c r="Q54" s="59"/>
      <c r="R54" s="60"/>
      <c r="S54" s="63" t="s">
        <v>77</v>
      </c>
      <c r="T54" s="63" t="s">
        <v>73</v>
      </c>
      <c r="U54" s="60" t="s">
        <v>75</v>
      </c>
      <c r="V54" s="60" t="s">
        <v>76</v>
      </c>
      <c r="W54" s="57"/>
      <c r="X54" s="62" t="s">
        <v>72</v>
      </c>
      <c r="Y54" s="61"/>
      <c r="Z54" s="59"/>
      <c r="AA54" s="60"/>
      <c r="AB54" s="63" t="s">
        <v>78</v>
      </c>
      <c r="AC54" s="63" t="s">
        <v>73</v>
      </c>
      <c r="AD54" s="60" t="s">
        <v>75</v>
      </c>
      <c r="AE54" s="60" t="s">
        <v>76</v>
      </c>
      <c r="AF54" s="57"/>
      <c r="BC54" s="35"/>
      <c r="BD54" s="35"/>
      <c r="BE54" s="35"/>
      <c r="BF54" s="35"/>
      <c r="BG54" s="48"/>
      <c r="BK54" s="35"/>
    </row>
    <row r="55" spans="1:63" ht="16.149999999999999" hidden="1" customHeight="1" x14ac:dyDescent="0.2">
      <c r="A55" s="57"/>
      <c r="B55" s="67" t="s">
        <v>79</v>
      </c>
      <c r="C55" s="68" t="s">
        <v>80</v>
      </c>
      <c r="D55" s="69" t="s">
        <v>81</v>
      </c>
      <c r="E55" s="67" t="s">
        <v>82</v>
      </c>
      <c r="F55" s="67" t="s">
        <v>82</v>
      </c>
      <c r="G55" s="67"/>
      <c r="H55" s="67"/>
      <c r="I55" s="67" t="s">
        <v>83</v>
      </c>
      <c r="J55" s="67" t="s">
        <v>84</v>
      </c>
      <c r="K55" s="70"/>
      <c r="L55" s="70"/>
      <c r="M55" s="57"/>
      <c r="N55" s="57"/>
      <c r="O55" s="71" t="s">
        <v>79</v>
      </c>
      <c r="P55" s="72" t="s">
        <v>80</v>
      </c>
      <c r="Q55" s="73" t="s">
        <v>81</v>
      </c>
      <c r="R55" s="74"/>
      <c r="S55" s="75"/>
      <c r="T55" s="74" t="s">
        <v>83</v>
      </c>
      <c r="U55" s="75"/>
      <c r="V55" s="75"/>
      <c r="W55" s="57"/>
      <c r="X55" s="71" t="s">
        <v>79</v>
      </c>
      <c r="Y55" s="72" t="s">
        <v>80</v>
      </c>
      <c r="Z55" s="73" t="s">
        <v>81</v>
      </c>
      <c r="AA55" s="74"/>
      <c r="AB55" s="75"/>
      <c r="AC55" s="74" t="s">
        <v>83</v>
      </c>
      <c r="AD55" s="75"/>
      <c r="AE55" s="75"/>
      <c r="AF55" s="57"/>
      <c r="BC55" s="35"/>
      <c r="BD55" s="35"/>
      <c r="BE55" s="35"/>
      <c r="BF55" s="35"/>
      <c r="BG55" s="48"/>
      <c r="BK55" s="35"/>
    </row>
    <row r="56" spans="1:63" ht="15.75" hidden="1" x14ac:dyDescent="0.25">
      <c r="A56" s="57"/>
      <c r="B56" s="79">
        <f>+B23</f>
        <v>10</v>
      </c>
      <c r="C56" s="77">
        <f>1/B56</f>
        <v>0.1</v>
      </c>
      <c r="D56" s="78">
        <f>1-C56</f>
        <v>0.9</v>
      </c>
      <c r="E56" s="79" t="str">
        <f>+F23</f>
        <v/>
      </c>
      <c r="F56" s="79" t="e">
        <f>E56-$F$22</f>
        <v>#VALUE!</v>
      </c>
      <c r="G56" s="79"/>
      <c r="H56" s="79"/>
      <c r="I56" s="76">
        <f>LN(C56/D56)</f>
        <v>-2.1972245773362191</v>
      </c>
      <c r="J56" s="80" t="e">
        <f>1/(1+1/EXP($K$61+($L$61*(E56-$F$22))))</f>
        <v>#VALUE!</v>
      </c>
      <c r="K56" s="81" t="e">
        <f>INTERCEPT($I56:$I57,$F56:$F57)</f>
        <v>#VALUE!</v>
      </c>
      <c r="L56" s="81" t="e">
        <f>SLOPE($I56:$I57,$F56:$F57)</f>
        <v>#VALUE!</v>
      </c>
      <c r="M56" s="57"/>
      <c r="N56" s="57"/>
      <c r="O56" s="76">
        <f t="shared" ref="O56:O57" si="8">+B56</f>
        <v>10</v>
      </c>
      <c r="P56" s="76">
        <f t="shared" ref="P56:P57" si="9">+C56</f>
        <v>0.1</v>
      </c>
      <c r="Q56" s="76">
        <f t="shared" ref="Q56:Q57" si="10">+D56</f>
        <v>0.9</v>
      </c>
      <c r="R56" s="76"/>
      <c r="S56" s="82">
        <f>+C23</f>
        <v>0</v>
      </c>
      <c r="T56" s="76">
        <f>LN(P56/Q56)</f>
        <v>-2.1972245773362191</v>
      </c>
      <c r="U56" s="81">
        <f>INTERCEPT($S56:$S57,$T56:$T57)</f>
        <v>0</v>
      </c>
      <c r="V56" s="81">
        <f>SLOPE($S56:$S57,$T56:$T57)</f>
        <v>0</v>
      </c>
      <c r="W56" s="57"/>
      <c r="X56" s="76">
        <f>+O56</f>
        <v>10</v>
      </c>
      <c r="Y56" s="76">
        <f t="shared" ref="Y56:Y57" si="11">+P56</f>
        <v>0.1</v>
      </c>
      <c r="Z56" s="76">
        <f t="shared" ref="Z56:Z57" si="12">+Q56</f>
        <v>0.9</v>
      </c>
      <c r="AA56" s="76"/>
      <c r="AB56" s="82" t="str">
        <f>+F23</f>
        <v/>
      </c>
      <c r="AC56" s="76">
        <f>LN(Y56/Z56)</f>
        <v>-2.1972245773362191</v>
      </c>
      <c r="AD56" s="81" t="e">
        <f>INTERCEPT($AB56:$AB57,$AC56:$AC57)</f>
        <v>#DIV/0!</v>
      </c>
      <c r="AE56" s="81" t="e">
        <f>SLOPE($AB56:$AB57,$AC56:$AC57)</f>
        <v>#DIV/0!</v>
      </c>
      <c r="AF56" s="57"/>
      <c r="BC56" s="35"/>
      <c r="BD56" s="35"/>
      <c r="BE56" s="35"/>
      <c r="BF56" s="35"/>
      <c r="BG56" s="48"/>
      <c r="BK56" s="35"/>
    </row>
    <row r="57" spans="1:63" ht="15.75" hidden="1" x14ac:dyDescent="0.25">
      <c r="A57" s="57"/>
      <c r="B57" s="79">
        <f t="shared" ref="B57:B59" si="13">+B24</f>
        <v>50</v>
      </c>
      <c r="C57" s="77">
        <f t="shared" ref="C57:C59" si="14">1/B57</f>
        <v>0.02</v>
      </c>
      <c r="D57" s="78">
        <f t="shared" ref="D57:D59" si="15">1-C57</f>
        <v>0.98</v>
      </c>
      <c r="E57" s="79" t="str">
        <f t="shared" ref="E57:E59" si="16">+F24</f>
        <v/>
      </c>
      <c r="F57" s="79" t="e">
        <f t="shared" ref="F57:F59" si="17">E57-$F$22</f>
        <v>#VALUE!</v>
      </c>
      <c r="G57" s="79"/>
      <c r="H57" s="79"/>
      <c r="I57" s="76">
        <f>LN(C57/D57)</f>
        <v>-3.8918202981106265</v>
      </c>
      <c r="J57" s="80" t="e">
        <f t="shared" ref="J57:J59" si="18">1/(1+1/EXP($K$61+($L$61*(E57-$F$22))))</f>
        <v>#VALUE!</v>
      </c>
      <c r="K57" s="81" t="e">
        <f>INTERCEPT($I57:$I58,$F57:$F58)</f>
        <v>#VALUE!</v>
      </c>
      <c r="L57" s="81" t="e">
        <f>SLOPE($I57:$I58,$F57:$F58)</f>
        <v>#VALUE!</v>
      </c>
      <c r="M57" s="57"/>
      <c r="N57" s="57"/>
      <c r="O57" s="76">
        <f t="shared" si="8"/>
        <v>50</v>
      </c>
      <c r="P57" s="76">
        <f t="shared" si="9"/>
        <v>0.02</v>
      </c>
      <c r="Q57" s="76">
        <f t="shared" si="10"/>
        <v>0.98</v>
      </c>
      <c r="R57" s="76"/>
      <c r="S57" s="82">
        <f>+C24</f>
        <v>0</v>
      </c>
      <c r="T57" s="76">
        <f>LN(P57/Q57)</f>
        <v>-3.8918202981106265</v>
      </c>
      <c r="U57" s="56" t="s">
        <v>85</v>
      </c>
      <c r="V57" s="83" t="e">
        <f>+U56+V56*T60</f>
        <v>#DIV/0!</v>
      </c>
      <c r="W57" s="57"/>
      <c r="X57" s="76">
        <f>+O57</f>
        <v>50</v>
      </c>
      <c r="Y57" s="76">
        <f t="shared" si="11"/>
        <v>0.02</v>
      </c>
      <c r="Z57" s="76">
        <f t="shared" si="12"/>
        <v>0.98</v>
      </c>
      <c r="AA57" s="76"/>
      <c r="AB57" s="82" t="str">
        <f>+F24</f>
        <v/>
      </c>
      <c r="AC57" s="76">
        <f>LN(Y57/Z57)</f>
        <v>-3.8918202981106265</v>
      </c>
      <c r="AD57" s="56" t="s">
        <v>85</v>
      </c>
      <c r="AE57" s="83" t="e">
        <f>+AD56+AE56*AC60</f>
        <v>#DIV/0!</v>
      </c>
      <c r="AF57" s="57"/>
      <c r="BC57" s="35"/>
      <c r="BD57" s="35"/>
      <c r="BE57" s="35"/>
      <c r="BF57" s="35"/>
      <c r="BG57" s="48"/>
      <c r="BK57" s="35"/>
    </row>
    <row r="58" spans="1:63" ht="15.75" hidden="1" x14ac:dyDescent="0.25">
      <c r="A58" s="57"/>
      <c r="B58" s="79">
        <f t="shared" si="13"/>
        <v>100</v>
      </c>
      <c r="C58" s="77">
        <f t="shared" si="14"/>
        <v>0.01</v>
      </c>
      <c r="D58" s="78">
        <f t="shared" si="15"/>
        <v>0.99</v>
      </c>
      <c r="E58" s="79" t="str">
        <f t="shared" si="16"/>
        <v/>
      </c>
      <c r="F58" s="79" t="e">
        <f t="shared" si="17"/>
        <v>#VALUE!</v>
      </c>
      <c r="G58" s="79"/>
      <c r="H58" s="79"/>
      <c r="I58" s="76">
        <f>LN(C58/D58)</f>
        <v>-4.5951198501345898</v>
      </c>
      <c r="J58" s="80" t="e">
        <f t="shared" si="18"/>
        <v>#VALUE!</v>
      </c>
      <c r="K58" s="81" t="e">
        <f>INTERCEPT($I58:$I59,$F58:$F59)</f>
        <v>#VALUE!</v>
      </c>
      <c r="L58" s="81" t="e">
        <f>SLOPE($I58:$I59,$F58:$F59)</f>
        <v>#VALUE!</v>
      </c>
      <c r="M58" s="57"/>
      <c r="N58" s="57"/>
      <c r="O58" s="84"/>
      <c r="P58" s="85"/>
      <c r="Q58" s="85"/>
      <c r="R58" s="85"/>
      <c r="S58" s="86"/>
      <c r="T58" s="85"/>
      <c r="U58" s="87"/>
      <c r="V58" s="57"/>
      <c r="W58" s="57"/>
      <c r="X58" s="84"/>
      <c r="Y58" s="85"/>
      <c r="Z58" s="85"/>
      <c r="AA58" s="85"/>
      <c r="AB58" s="86"/>
      <c r="AC58" s="85"/>
      <c r="AD58" s="87"/>
      <c r="AE58" s="57"/>
      <c r="AF58" s="57"/>
      <c r="BC58" s="35"/>
      <c r="BD58" s="35"/>
      <c r="BE58" s="35"/>
      <c r="BF58" s="35"/>
      <c r="BG58" s="48"/>
      <c r="BK58" s="35"/>
    </row>
    <row r="59" spans="1:63" ht="15.75" hidden="1" x14ac:dyDescent="0.25">
      <c r="A59" s="57"/>
      <c r="B59" s="79">
        <f t="shared" si="13"/>
        <v>500</v>
      </c>
      <c r="C59" s="77">
        <f t="shared" si="14"/>
        <v>2E-3</v>
      </c>
      <c r="D59" s="78">
        <f t="shared" si="15"/>
        <v>0.998</v>
      </c>
      <c r="E59" s="79" t="str">
        <f t="shared" si="16"/>
        <v/>
      </c>
      <c r="F59" s="79" t="e">
        <f t="shared" si="17"/>
        <v>#VALUE!</v>
      </c>
      <c r="G59" s="79"/>
      <c r="H59" s="79"/>
      <c r="I59" s="76">
        <f>LN(C59/D59)</f>
        <v>-6.2126060957515188</v>
      </c>
      <c r="J59" s="80" t="e">
        <f t="shared" si="18"/>
        <v>#VALUE!</v>
      </c>
      <c r="K59" s="81"/>
      <c r="L59" s="81"/>
      <c r="M59" s="57"/>
      <c r="N59" s="57"/>
      <c r="O59" s="62"/>
      <c r="P59" s="88"/>
      <c r="Q59" s="88"/>
      <c r="R59" s="88"/>
      <c r="S59" s="89"/>
      <c r="T59" s="88"/>
      <c r="U59" s="90"/>
      <c r="V59" s="57"/>
      <c r="W59" s="57"/>
      <c r="X59" s="62"/>
      <c r="Y59" s="88"/>
      <c r="Z59" s="88"/>
      <c r="AA59" s="88"/>
      <c r="AB59" s="89"/>
      <c r="AC59" s="88"/>
      <c r="AD59" s="90"/>
      <c r="AE59" s="57"/>
      <c r="AF59" s="57"/>
      <c r="BC59" s="35"/>
      <c r="BD59" s="35"/>
      <c r="BE59" s="35"/>
      <c r="BF59" s="35"/>
      <c r="BG59" s="48"/>
      <c r="BK59" s="35"/>
    </row>
    <row r="60" spans="1:63" ht="15" hidden="1" x14ac:dyDescent="0.2">
      <c r="A60" s="57"/>
      <c r="B60" s="60"/>
      <c r="C60" s="61"/>
      <c r="D60" s="59"/>
      <c r="E60" s="60"/>
      <c r="F60" s="60"/>
      <c r="G60" s="60"/>
      <c r="H60" s="60"/>
      <c r="I60" s="60"/>
      <c r="J60" s="91" t="s">
        <v>86</v>
      </c>
      <c r="K60" s="91" t="s">
        <v>75</v>
      </c>
      <c r="L60" s="91" t="s">
        <v>76</v>
      </c>
      <c r="M60" s="57"/>
      <c r="N60" s="57"/>
      <c r="O60" s="103" t="e">
        <f>MAX(0.1*EXP(2*(C24/C23)),1.052)</f>
        <v>#DIV/0!</v>
      </c>
      <c r="P60" s="92" t="e">
        <f>1/O60</f>
        <v>#DIV/0!</v>
      </c>
      <c r="Q60" s="93" t="e">
        <f>1-P60</f>
        <v>#DIV/0!</v>
      </c>
      <c r="R60" s="94"/>
      <c r="S60" s="95"/>
      <c r="T60" s="91" t="e">
        <f>LN(P60/Q60)</f>
        <v>#DIV/0!</v>
      </c>
      <c r="U60" s="96"/>
      <c r="V60" s="57"/>
      <c r="W60" s="57"/>
      <c r="X60" s="103" t="e">
        <f>MAX(0.1*EXP(2*(F24/F23)),1.052)</f>
        <v>#VALUE!</v>
      </c>
      <c r="Y60" s="92" t="e">
        <f>1/X60</f>
        <v>#VALUE!</v>
      </c>
      <c r="Z60" s="93" t="e">
        <f>1-Y60</f>
        <v>#VALUE!</v>
      </c>
      <c r="AA60" s="94"/>
      <c r="AB60" s="95"/>
      <c r="AC60" s="91" t="e">
        <f>LN(Y60/Z60)</f>
        <v>#VALUE!</v>
      </c>
      <c r="AD60" s="96"/>
      <c r="AE60" s="57"/>
      <c r="AF60" s="57"/>
      <c r="BC60" s="35"/>
      <c r="BD60" s="35"/>
      <c r="BE60" s="35"/>
      <c r="BF60" s="35"/>
      <c r="BG60" s="48"/>
      <c r="BK60" s="35"/>
    </row>
    <row r="61" spans="1:63" ht="15" hidden="1" x14ac:dyDescent="0.2">
      <c r="A61" s="57"/>
      <c r="B61" s="57"/>
      <c r="C61" s="57"/>
      <c r="D61" s="59"/>
      <c r="E61" s="60"/>
      <c r="F61" s="60"/>
      <c r="G61" s="60"/>
      <c r="H61" s="60"/>
      <c r="I61" s="57"/>
      <c r="J61" s="57"/>
      <c r="K61" s="97" t="e">
        <f>INTERCEPT($I$56:$I$59,$F$56:$F$59)</f>
        <v>#VALUE!</v>
      </c>
      <c r="L61" s="97" t="e">
        <f>SLOPE($I$56:$I$59,$F$56:$F$59)</f>
        <v>#VALUE!</v>
      </c>
      <c r="M61" s="57"/>
      <c r="N61" s="98"/>
      <c r="O61" s="104" t="s">
        <v>87</v>
      </c>
      <c r="P61" s="99"/>
      <c r="Q61" s="99"/>
      <c r="R61" s="57"/>
      <c r="S61" s="57"/>
      <c r="T61" s="57"/>
      <c r="U61" s="57"/>
      <c r="V61" s="100"/>
      <c r="W61" s="57"/>
      <c r="X61" s="104" t="s">
        <v>87</v>
      </c>
      <c r="Y61" s="99"/>
      <c r="Z61" s="99"/>
      <c r="AA61" s="57"/>
      <c r="AB61" s="57"/>
      <c r="AC61" s="57"/>
      <c r="AD61" s="57"/>
      <c r="AE61" s="100"/>
      <c r="AF61" s="57"/>
      <c r="BC61" s="35"/>
      <c r="BD61" s="35"/>
      <c r="BE61" s="35"/>
      <c r="BF61" s="35"/>
      <c r="BG61" s="48"/>
      <c r="BK61" s="35"/>
    </row>
    <row r="62" spans="1:63" ht="15" hidden="1" x14ac:dyDescent="0.2">
      <c r="A62" s="57"/>
      <c r="B62" s="57"/>
      <c r="C62" s="57"/>
      <c r="D62" s="59"/>
      <c r="E62" s="60"/>
      <c r="F62" s="60"/>
      <c r="G62" s="60"/>
      <c r="H62" s="60"/>
      <c r="I62" s="57"/>
      <c r="J62" s="57"/>
      <c r="K62" s="57"/>
      <c r="L62" s="57"/>
      <c r="M62" s="57"/>
      <c r="N62" s="98"/>
      <c r="O62" s="169" t="s">
        <v>88</v>
      </c>
      <c r="P62" s="169"/>
      <c r="Q62" s="169"/>
      <c r="R62" s="57"/>
      <c r="S62" s="57"/>
      <c r="T62" s="57"/>
      <c r="U62" s="57"/>
      <c r="V62" s="57"/>
      <c r="W62" s="57"/>
      <c r="X62" s="169" t="s">
        <v>88</v>
      </c>
      <c r="Y62" s="169"/>
      <c r="Z62" s="169"/>
      <c r="AA62" s="57"/>
      <c r="AB62" s="57"/>
      <c r="AC62" s="57"/>
      <c r="AD62" s="57"/>
      <c r="AE62" s="57"/>
      <c r="AF62" s="57"/>
      <c r="BC62" s="35"/>
      <c r="BD62" s="35"/>
      <c r="BE62" s="35"/>
      <c r="BF62" s="35"/>
      <c r="BG62" s="48"/>
      <c r="BK62" s="35"/>
    </row>
    <row r="63" spans="1:63" ht="15" hidden="1" x14ac:dyDescent="0.2">
      <c r="A63" s="57"/>
      <c r="B63" s="60"/>
      <c r="C63" s="57"/>
      <c r="D63" s="59"/>
      <c r="E63" s="63" t="s">
        <v>74</v>
      </c>
      <c r="F63" s="60"/>
      <c r="G63" s="60"/>
      <c r="H63" s="60"/>
      <c r="I63" s="60"/>
      <c r="J63" s="60"/>
      <c r="K63" s="57"/>
      <c r="L63" s="57"/>
      <c r="M63" s="57"/>
      <c r="N63" s="98"/>
      <c r="O63" s="88"/>
      <c r="P63" s="99"/>
      <c r="Q63" s="99"/>
      <c r="R63" s="57"/>
      <c r="S63" s="57"/>
      <c r="T63" s="57"/>
      <c r="U63" s="57"/>
      <c r="V63" s="57"/>
      <c r="W63" s="57"/>
      <c r="X63" s="57"/>
      <c r="Y63" s="57"/>
      <c r="Z63" s="57"/>
      <c r="AA63" s="57"/>
      <c r="AB63" s="57"/>
      <c r="AC63" s="57"/>
      <c r="AD63" s="57"/>
      <c r="AE63" s="57"/>
      <c r="AF63" s="57"/>
      <c r="BC63" s="35"/>
      <c r="BD63" s="35"/>
      <c r="BE63" s="35"/>
      <c r="BF63" s="35"/>
      <c r="BG63" s="48"/>
      <c r="BK63" s="35"/>
    </row>
    <row r="64" spans="1:63" ht="15" hidden="1" x14ac:dyDescent="0.2">
      <c r="A64" s="57"/>
      <c r="B64" s="60" t="str">
        <f t="shared" ref="B64:B69" si="19">+B45</f>
        <v>Recorded Flood Elevation (ft)</v>
      </c>
      <c r="C64" s="60" t="s">
        <v>75</v>
      </c>
      <c r="D64" s="60" t="s">
        <v>76</v>
      </c>
      <c r="E64" s="63" t="s">
        <v>84</v>
      </c>
      <c r="F64" s="101" t="s">
        <v>89</v>
      </c>
      <c r="G64" s="101"/>
      <c r="H64" s="108"/>
      <c r="I64" s="101"/>
      <c r="J64" s="60" t="s">
        <v>90</v>
      </c>
      <c r="K64" s="57"/>
      <c r="L64" s="57"/>
      <c r="M64" s="57"/>
      <c r="N64" s="98"/>
      <c r="O64" s="88"/>
      <c r="P64" s="99"/>
      <c r="Q64" s="99"/>
      <c r="R64" s="57"/>
      <c r="S64" s="57"/>
      <c r="T64" s="57"/>
      <c r="U64" s="57"/>
      <c r="V64" s="57"/>
      <c r="W64" s="57"/>
      <c r="X64" s="57"/>
      <c r="Y64" s="57"/>
      <c r="Z64" s="57"/>
      <c r="AA64" s="57"/>
      <c r="AB64" s="57"/>
      <c r="AC64" s="57"/>
      <c r="AD64" s="57"/>
      <c r="AE64" s="57"/>
      <c r="AF64" s="57"/>
    </row>
    <row r="65" spans="1:32" ht="15" hidden="1" x14ac:dyDescent="0.2">
      <c r="A65" s="57"/>
      <c r="B65" s="106">
        <f t="shared" si="19"/>
        <v>0</v>
      </c>
      <c r="C65" s="57" t="e">
        <f>+IF($B65&lt;$E$56,$K$56,IF($B65&lt;$E$59,VLOOKUP($B65,$E$56:$L$59,7),$K$58))</f>
        <v>#VALUE!</v>
      </c>
      <c r="D65" s="105" t="e">
        <f>+IF($B65&lt;$E$56,$L$56,IF($B65&lt;$E$59,VLOOKUP($B65,$E$56:$L$59,8),$L$58))</f>
        <v>#VALUE!</v>
      </c>
      <c r="E65" s="96" t="e">
        <f>1/(1+1/EXP(C65+(D65*(B65-$F$22))))</f>
        <v>#VALUE!</v>
      </c>
      <c r="F65" s="57" t="e">
        <f t="shared" ref="F65:F70" si="20">MATCH($B46,$F$22:$F$26,0)</f>
        <v>#N/A</v>
      </c>
      <c r="G65" s="57"/>
      <c r="H65" s="57"/>
      <c r="I65" s="57" t="e">
        <f>INDEX($B$22:$B$26,$F65,1)</f>
        <v>#N/A</v>
      </c>
      <c r="J65" s="102" t="e">
        <f>IF($B65&lt;$F$22,1,IF(ISNUMBER(I65),I65,1/E65))</f>
        <v>#DIV/0!</v>
      </c>
      <c r="K65" s="57"/>
      <c r="L65" s="57"/>
      <c r="M65" s="57"/>
      <c r="N65" s="98"/>
      <c r="O65" s="88"/>
      <c r="P65" s="99"/>
      <c r="Q65" s="99"/>
      <c r="R65" s="59"/>
      <c r="S65" s="57"/>
      <c r="T65" s="57"/>
      <c r="U65" s="57"/>
      <c r="V65" s="57"/>
      <c r="W65" s="57"/>
      <c r="X65" s="57"/>
      <c r="Y65" s="57"/>
      <c r="Z65" s="57"/>
      <c r="AA65" s="57"/>
      <c r="AB65" s="57"/>
      <c r="AC65" s="57"/>
      <c r="AD65" s="57"/>
      <c r="AE65" s="57"/>
      <c r="AF65" s="57"/>
    </row>
    <row r="66" spans="1:32" ht="15" hidden="1" x14ac:dyDescent="0.2">
      <c r="A66" s="57"/>
      <c r="B66" s="106">
        <f t="shared" si="19"/>
        <v>0</v>
      </c>
      <c r="C66" s="105" t="e">
        <f t="shared" ref="C66:C73" si="21">+IF($B66&lt;$E$56,$K$56,IF($B66&lt;$E$59,VLOOKUP($B66,$E$56:$L$59,7),$K$58))</f>
        <v>#VALUE!</v>
      </c>
      <c r="D66" s="105" t="e">
        <f t="shared" ref="D66:D73" si="22">+IF($B66&lt;$E$56,$L$56,IF($B66&lt;$E$59,VLOOKUP($B66,$E$56:$L$59,8),$L$58))</f>
        <v>#VALUE!</v>
      </c>
      <c r="E66" s="107" t="e">
        <f t="shared" ref="E66:E69" si="23">1/(1+1/EXP(C66+(D66*(B66-$F$22))))</f>
        <v>#VALUE!</v>
      </c>
      <c r="F66" s="105" t="e">
        <f t="shared" si="20"/>
        <v>#N/A</v>
      </c>
      <c r="G66" s="105"/>
      <c r="H66" s="105"/>
      <c r="I66" s="105" t="e">
        <f t="shared" ref="I66:I73" si="24">INDEX($B$22:$B$26,$F66,1)</f>
        <v>#N/A</v>
      </c>
      <c r="J66" s="109" t="e">
        <f t="shared" ref="J66:J69" si="25">IF($B66&lt;$F$22,1,IF(ISNUMBER(I66),I66,1/E66))</f>
        <v>#DIV/0!</v>
      </c>
      <c r="K66" s="60"/>
      <c r="L66" s="57"/>
      <c r="M66" s="57"/>
      <c r="N66" s="99"/>
      <c r="O66" s="98"/>
      <c r="P66" s="98"/>
      <c r="Q66" s="98"/>
      <c r="R66" s="57"/>
      <c r="S66" s="57"/>
      <c r="T66" s="57"/>
      <c r="U66" s="57"/>
      <c r="V66" s="57"/>
      <c r="W66" s="57"/>
      <c r="X66" s="57"/>
      <c r="Y66" s="57"/>
      <c r="Z66" s="57"/>
      <c r="AA66" s="57"/>
      <c r="AB66" s="57"/>
      <c r="AC66" s="57"/>
      <c r="AD66" s="57"/>
      <c r="AE66" s="57"/>
      <c r="AF66" s="57"/>
    </row>
    <row r="67" spans="1:32" ht="15" hidden="1" x14ac:dyDescent="0.2">
      <c r="A67" s="57"/>
      <c r="B67" s="106">
        <f t="shared" si="19"/>
        <v>0</v>
      </c>
      <c r="C67" s="105" t="e">
        <f t="shared" si="21"/>
        <v>#VALUE!</v>
      </c>
      <c r="D67" s="105" t="e">
        <f t="shared" si="22"/>
        <v>#VALUE!</v>
      </c>
      <c r="E67" s="107" t="e">
        <f t="shared" si="23"/>
        <v>#VALUE!</v>
      </c>
      <c r="F67" s="105" t="e">
        <f t="shared" si="20"/>
        <v>#N/A</v>
      </c>
      <c r="G67" s="105"/>
      <c r="H67" s="105"/>
      <c r="I67" s="105" t="e">
        <f t="shared" si="24"/>
        <v>#N/A</v>
      </c>
      <c r="J67" s="109" t="e">
        <f t="shared" si="25"/>
        <v>#DIV/0!</v>
      </c>
      <c r="K67" s="60"/>
      <c r="L67" s="57"/>
      <c r="M67" s="57"/>
      <c r="N67" s="59"/>
      <c r="O67" s="57"/>
      <c r="P67" s="57"/>
      <c r="Q67" s="57"/>
      <c r="R67" s="57"/>
      <c r="S67" s="57"/>
      <c r="T67" s="57"/>
      <c r="U67" s="57"/>
      <c r="V67" s="57"/>
      <c r="W67" s="57"/>
      <c r="X67" s="57"/>
      <c r="Y67" s="57"/>
      <c r="Z67" s="57"/>
      <c r="AA67" s="57"/>
      <c r="AB67" s="57"/>
      <c r="AC67" s="57"/>
      <c r="AD67" s="57"/>
      <c r="AE67" s="57"/>
      <c r="AF67" s="57"/>
    </row>
    <row r="68" spans="1:32" ht="15" hidden="1" x14ac:dyDescent="0.2">
      <c r="A68" s="57"/>
      <c r="B68" s="106">
        <f t="shared" si="19"/>
        <v>0</v>
      </c>
      <c r="C68" s="105" t="e">
        <f t="shared" si="21"/>
        <v>#VALUE!</v>
      </c>
      <c r="D68" s="105" t="e">
        <f t="shared" si="22"/>
        <v>#VALUE!</v>
      </c>
      <c r="E68" s="107" t="e">
        <f t="shared" si="23"/>
        <v>#VALUE!</v>
      </c>
      <c r="F68" s="105" t="e">
        <f t="shared" si="20"/>
        <v>#N/A</v>
      </c>
      <c r="G68" s="105"/>
      <c r="H68" s="105"/>
      <c r="I68" s="105" t="e">
        <f t="shared" si="24"/>
        <v>#N/A</v>
      </c>
      <c r="J68" s="109" t="e">
        <f t="shared" si="25"/>
        <v>#DIV/0!</v>
      </c>
      <c r="K68" s="60"/>
      <c r="L68" s="57"/>
      <c r="M68" s="57"/>
      <c r="N68" s="59"/>
      <c r="O68" s="57"/>
      <c r="P68" s="57"/>
      <c r="Q68" s="57"/>
      <c r="R68" s="57"/>
      <c r="S68" s="57"/>
      <c r="T68" s="57"/>
      <c r="U68" s="57"/>
      <c r="V68" s="57"/>
      <c r="W68" s="57"/>
      <c r="X68" s="57"/>
      <c r="Y68" s="57"/>
      <c r="Z68" s="57"/>
      <c r="AA68" s="57"/>
      <c r="AB68" s="57"/>
      <c r="AC68" s="57"/>
      <c r="AD68" s="57"/>
      <c r="AE68" s="57"/>
      <c r="AF68" s="57"/>
    </row>
    <row r="69" spans="1:32" ht="15" hidden="1" x14ac:dyDescent="0.2">
      <c r="A69" s="57"/>
      <c r="B69" s="106">
        <f t="shared" si="19"/>
        <v>0</v>
      </c>
      <c r="C69" s="105" t="e">
        <f t="shared" si="21"/>
        <v>#VALUE!</v>
      </c>
      <c r="D69" s="105" t="e">
        <f t="shared" si="22"/>
        <v>#VALUE!</v>
      </c>
      <c r="E69" s="107" t="e">
        <f t="shared" si="23"/>
        <v>#VALUE!</v>
      </c>
      <c r="F69" s="105" t="e">
        <f t="shared" si="20"/>
        <v>#N/A</v>
      </c>
      <c r="G69" s="105"/>
      <c r="H69" s="105"/>
      <c r="I69" s="105" t="e">
        <f t="shared" si="24"/>
        <v>#N/A</v>
      </c>
      <c r="J69" s="109" t="e">
        <f t="shared" si="25"/>
        <v>#DIV/0!</v>
      </c>
      <c r="K69" s="60"/>
      <c r="L69" s="57"/>
      <c r="M69" s="57"/>
      <c r="N69" s="59"/>
      <c r="O69" s="57"/>
      <c r="P69" s="57"/>
      <c r="Q69" s="57"/>
      <c r="R69" s="57"/>
      <c r="S69" s="57"/>
      <c r="T69" s="57"/>
      <c r="U69" s="57"/>
      <c r="V69" s="57"/>
      <c r="W69" s="57"/>
      <c r="X69" s="57"/>
      <c r="Y69" s="57"/>
      <c r="Z69" s="57"/>
      <c r="AA69" s="57"/>
      <c r="AB69" s="57"/>
      <c r="AC69" s="57"/>
      <c r="AD69" s="57"/>
      <c r="AE69" s="57"/>
      <c r="AF69" s="57"/>
    </row>
    <row r="70" spans="1:32" ht="15" hidden="1" x14ac:dyDescent="0.2">
      <c r="A70" s="146" t="s">
        <v>157</v>
      </c>
      <c r="B70" s="147" t="str">
        <f>+F23</f>
        <v/>
      </c>
      <c r="C70" s="146" t="e">
        <f t="shared" si="21"/>
        <v>#VALUE!</v>
      </c>
      <c r="D70" s="146" t="e">
        <f t="shared" si="22"/>
        <v>#VALUE!</v>
      </c>
      <c r="E70" s="148" t="e">
        <f t="shared" ref="E70" si="26">1/(1+1/EXP(C70+(D70*(B70-$F$22))))</f>
        <v>#VALUE!</v>
      </c>
      <c r="F70" s="146" t="e">
        <f t="shared" si="20"/>
        <v>#N/A</v>
      </c>
      <c r="G70" s="146"/>
      <c r="H70" s="146"/>
      <c r="I70" s="146" t="e">
        <f t="shared" si="24"/>
        <v>#N/A</v>
      </c>
      <c r="J70" s="149" t="e">
        <f t="shared" ref="J70" si="27">IF($B70&lt;$F$22,1,IF(ISNUMBER(I70),I70,1/E70))</f>
        <v>#DIV/0!</v>
      </c>
    </row>
    <row r="71" spans="1:32" ht="15" hidden="1" x14ac:dyDescent="0.2">
      <c r="A71" s="146" t="s">
        <v>157</v>
      </c>
      <c r="B71" s="147" t="str">
        <f t="shared" ref="B71:B73" si="28">+F24</f>
        <v/>
      </c>
      <c r="C71" s="146" t="e">
        <f t="shared" si="21"/>
        <v>#VALUE!</v>
      </c>
      <c r="D71" s="146" t="e">
        <f t="shared" si="22"/>
        <v>#VALUE!</v>
      </c>
      <c r="E71" s="148" t="e">
        <f t="shared" ref="E71:E73" si="29">1/(1+1/EXP(C71+(D71*(B71-$F$22))))</f>
        <v>#VALUE!</v>
      </c>
      <c r="F71" s="146" t="e">
        <f t="shared" ref="F71:F73" si="30">MATCH($B52,$F$22:$F$26,0)</f>
        <v>#N/A</v>
      </c>
      <c r="G71" s="146"/>
      <c r="H71" s="146"/>
      <c r="I71" s="146" t="e">
        <f t="shared" si="24"/>
        <v>#N/A</v>
      </c>
      <c r="J71" s="149" t="e">
        <f t="shared" ref="J71:J73" si="31">IF($B71&lt;$F$22,1,IF(ISNUMBER(I71),I71,1/E71))</f>
        <v>#DIV/0!</v>
      </c>
      <c r="X71"/>
      <c r="Y71"/>
      <c r="Z71"/>
      <c r="AA71"/>
      <c r="AB71"/>
      <c r="AC71"/>
      <c r="AD71"/>
      <c r="AE71"/>
      <c r="AF71"/>
    </row>
    <row r="72" spans="1:32" s="105" customFormat="1" ht="15" hidden="1" x14ac:dyDescent="0.2">
      <c r="A72" s="146" t="s">
        <v>157</v>
      </c>
      <c r="B72" s="147" t="str">
        <f t="shared" si="28"/>
        <v/>
      </c>
      <c r="C72" s="146" t="e">
        <f t="shared" si="21"/>
        <v>#VALUE!</v>
      </c>
      <c r="D72" s="146" t="e">
        <f t="shared" si="22"/>
        <v>#VALUE!</v>
      </c>
      <c r="E72" s="148" t="e">
        <f t="shared" si="29"/>
        <v>#VALUE!</v>
      </c>
      <c r="F72" s="146" t="e">
        <f t="shared" si="30"/>
        <v>#N/A</v>
      </c>
      <c r="G72" s="146"/>
      <c r="H72" s="146"/>
      <c r="I72" s="146" t="e">
        <f t="shared" si="24"/>
        <v>#N/A</v>
      </c>
      <c r="J72" s="149" t="e">
        <f t="shared" si="31"/>
        <v>#DIV/0!</v>
      </c>
      <c r="X72" s="139"/>
      <c r="Y72" s="139"/>
      <c r="Z72" s="139"/>
      <c r="AA72" s="139"/>
      <c r="AB72" s="139"/>
      <c r="AC72" s="139"/>
      <c r="AD72" s="139"/>
      <c r="AE72" s="139"/>
      <c r="AF72" s="139"/>
    </row>
    <row r="73" spans="1:32" ht="15" hidden="1" x14ac:dyDescent="0.2">
      <c r="A73" s="146" t="s">
        <v>157</v>
      </c>
      <c r="B73" s="147" t="str">
        <f t="shared" si="28"/>
        <v/>
      </c>
      <c r="C73" s="146" t="e">
        <f t="shared" si="21"/>
        <v>#VALUE!</v>
      </c>
      <c r="D73" s="146" t="e">
        <f t="shared" si="22"/>
        <v>#VALUE!</v>
      </c>
      <c r="E73" s="148" t="e">
        <f t="shared" si="29"/>
        <v>#VALUE!</v>
      </c>
      <c r="F73" s="146" t="e">
        <f t="shared" si="30"/>
        <v>#N/A</v>
      </c>
      <c r="G73" s="146"/>
      <c r="H73" s="146"/>
      <c r="I73" s="146" t="e">
        <f t="shared" si="24"/>
        <v>#N/A</v>
      </c>
      <c r="J73" s="149" t="e">
        <f t="shared" si="31"/>
        <v>#DIV/0!</v>
      </c>
      <c r="O73"/>
      <c r="P73"/>
      <c r="Q73"/>
      <c r="R73"/>
      <c r="S73"/>
      <c r="T73"/>
      <c r="U73"/>
      <c r="V73"/>
      <c r="W73"/>
      <c r="X73"/>
      <c r="Y73"/>
      <c r="Z73"/>
      <c r="AA73"/>
      <c r="AB73"/>
      <c r="AC73"/>
      <c r="AD73"/>
      <c r="AE73"/>
      <c r="AF73"/>
    </row>
    <row r="74" spans="1:32" ht="15" hidden="1" x14ac:dyDescent="0.2">
      <c r="B74" s="52" t="s">
        <v>136</v>
      </c>
      <c r="C74" s="13"/>
      <c r="D74" s="14"/>
      <c r="E74" s="12"/>
      <c r="F74" s="12"/>
      <c r="G74" s="12"/>
      <c r="H74" s="12"/>
      <c r="I74" s="12"/>
      <c r="J74" s="12"/>
      <c r="O74"/>
      <c r="P74"/>
      <c r="Q74"/>
      <c r="R74"/>
      <c r="S74"/>
      <c r="T74"/>
      <c r="U74"/>
      <c r="V74"/>
      <c r="W74"/>
      <c r="X74"/>
      <c r="Y74"/>
      <c r="Z74"/>
      <c r="AA74"/>
      <c r="AB74"/>
      <c r="AC74"/>
      <c r="AD74"/>
      <c r="AE74"/>
      <c r="AF74"/>
    </row>
    <row r="75" spans="1:32" ht="15" hidden="1" x14ac:dyDescent="0.2">
      <c r="B75" s="12"/>
      <c r="C75" s="13"/>
      <c r="D75" s="14"/>
      <c r="E75" s="12"/>
      <c r="F75" s="12"/>
      <c r="G75" s="12"/>
      <c r="H75" s="12"/>
      <c r="I75" s="12"/>
      <c r="J75" s="12"/>
      <c r="K75" s="12"/>
      <c r="O75"/>
      <c r="P75"/>
      <c r="Q75"/>
      <c r="R75"/>
      <c r="S75"/>
      <c r="T75"/>
      <c r="U75"/>
      <c r="V75"/>
      <c r="W75"/>
      <c r="X75"/>
      <c r="Y75"/>
      <c r="Z75"/>
      <c r="AA75"/>
      <c r="AB75"/>
      <c r="AC75"/>
      <c r="AD75"/>
      <c r="AE75"/>
      <c r="AF75"/>
    </row>
    <row r="76" spans="1:32" ht="15" hidden="1" x14ac:dyDescent="0.2">
      <c r="B76" s="16" t="s">
        <v>72</v>
      </c>
      <c r="C76" s="17"/>
      <c r="D76" s="18"/>
      <c r="E76" s="16"/>
      <c r="F76" s="16" t="s">
        <v>69</v>
      </c>
      <c r="G76" s="16"/>
      <c r="H76" s="16"/>
      <c r="I76" s="16" t="s">
        <v>73</v>
      </c>
      <c r="J76" s="16" t="s">
        <v>74</v>
      </c>
      <c r="K76" s="16" t="s">
        <v>75</v>
      </c>
      <c r="L76" s="16" t="s">
        <v>76</v>
      </c>
      <c r="O76"/>
      <c r="P76"/>
      <c r="Q76"/>
      <c r="R76"/>
      <c r="S76"/>
      <c r="T76"/>
      <c r="U76"/>
      <c r="V76"/>
      <c r="W76"/>
      <c r="X76"/>
      <c r="Y76"/>
      <c r="Z76"/>
      <c r="AA76"/>
      <c r="AB76"/>
      <c r="AC76"/>
      <c r="AD76"/>
      <c r="AE76"/>
      <c r="AF76"/>
    </row>
    <row r="77" spans="1:32" ht="15" hidden="1" x14ac:dyDescent="0.2">
      <c r="B77" s="19" t="s">
        <v>79</v>
      </c>
      <c r="C77" s="20" t="s">
        <v>80</v>
      </c>
      <c r="D77" s="21" t="s">
        <v>81</v>
      </c>
      <c r="E77" s="19" t="s">
        <v>82</v>
      </c>
      <c r="F77" s="19" t="s">
        <v>82</v>
      </c>
      <c r="G77" s="19"/>
      <c r="H77" s="19"/>
      <c r="I77" s="19" t="s">
        <v>83</v>
      </c>
      <c r="J77" s="19" t="s">
        <v>84</v>
      </c>
      <c r="K77" s="22"/>
      <c r="L77" s="22"/>
      <c r="O77"/>
      <c r="P77"/>
      <c r="Q77"/>
      <c r="R77"/>
      <c r="S77"/>
      <c r="T77"/>
      <c r="U77"/>
      <c r="V77"/>
      <c r="W77"/>
      <c r="X77"/>
      <c r="Y77"/>
      <c r="Z77"/>
      <c r="AA77"/>
      <c r="AB77"/>
      <c r="AC77"/>
      <c r="AD77"/>
      <c r="AE77"/>
      <c r="AF77"/>
    </row>
    <row r="78" spans="1:32" ht="15" hidden="1" x14ac:dyDescent="0.2">
      <c r="B78" s="23">
        <f>+B23</f>
        <v>10</v>
      </c>
      <c r="C78" s="24">
        <f>1/B78</f>
        <v>0.1</v>
      </c>
      <c r="D78" s="25">
        <f>1-C78</f>
        <v>0.9</v>
      </c>
      <c r="E78" s="26" t="str">
        <f>+C39</f>
        <v/>
      </c>
      <c r="F78" s="26" t="e">
        <f>E78-$C$38</f>
        <v>#VALUE!</v>
      </c>
      <c r="G78" s="26"/>
      <c r="H78" s="26"/>
      <c r="I78" s="23">
        <f>LN(C78/D78)</f>
        <v>-2.1972245773362191</v>
      </c>
      <c r="J78" s="27" t="e">
        <f>1/(1+1/EXP($K$83+($L$83*(E78-$C$38))))</f>
        <v>#VALUE!</v>
      </c>
      <c r="K78" s="28" t="e">
        <f>INTERCEPT($I78:$I79,$F78:$F79)</f>
        <v>#VALUE!</v>
      </c>
      <c r="L78" s="28" t="e">
        <f>SLOPE($I78:$I79,$F78:$F79)</f>
        <v>#VALUE!</v>
      </c>
      <c r="O78"/>
      <c r="P78"/>
      <c r="Q78"/>
      <c r="R78"/>
      <c r="S78"/>
      <c r="T78"/>
      <c r="U78"/>
      <c r="V78"/>
      <c r="W78"/>
      <c r="X78"/>
      <c r="Y78"/>
      <c r="Z78"/>
      <c r="AA78"/>
      <c r="AB78"/>
      <c r="AC78"/>
      <c r="AD78"/>
      <c r="AE78"/>
      <c r="AF78"/>
    </row>
    <row r="79" spans="1:32" ht="15" hidden="1" x14ac:dyDescent="0.2">
      <c r="B79" s="23">
        <f>+B24</f>
        <v>50</v>
      </c>
      <c r="C79" s="24">
        <f>1/B79</f>
        <v>0.02</v>
      </c>
      <c r="D79" s="25">
        <f>1-C79</f>
        <v>0.98</v>
      </c>
      <c r="E79" s="26" t="str">
        <f>+C40</f>
        <v/>
      </c>
      <c r="F79" s="26" t="e">
        <f>E79-$C$38</f>
        <v>#VALUE!</v>
      </c>
      <c r="G79" s="26"/>
      <c r="H79" s="26"/>
      <c r="I79" s="23">
        <f>LN(C79/D79)</f>
        <v>-3.8918202981106265</v>
      </c>
      <c r="J79" s="27" t="e">
        <f>1/(1+1/EXP($K$83+($L$83*(E79-$C$38))))</f>
        <v>#VALUE!</v>
      </c>
      <c r="K79" s="28" t="e">
        <f>INTERCEPT($I79:$I80,$F79:$F80)</f>
        <v>#VALUE!</v>
      </c>
      <c r="L79" s="28" t="e">
        <f>SLOPE($I79:$I80,$F79:$F80)</f>
        <v>#VALUE!</v>
      </c>
      <c r="O79"/>
      <c r="P79"/>
      <c r="Q79"/>
      <c r="R79"/>
      <c r="S79"/>
      <c r="T79"/>
      <c r="U79"/>
      <c r="V79"/>
      <c r="W79"/>
      <c r="X79"/>
      <c r="Y79"/>
      <c r="Z79"/>
      <c r="AA79"/>
      <c r="AB79"/>
      <c r="AC79"/>
      <c r="AD79"/>
      <c r="AE79"/>
      <c r="AF79"/>
    </row>
    <row r="80" spans="1:32" ht="15" hidden="1" x14ac:dyDescent="0.2">
      <c r="B80" s="23">
        <f>+B25</f>
        <v>100</v>
      </c>
      <c r="C80" s="24">
        <f>1/B80</f>
        <v>0.01</v>
      </c>
      <c r="D80" s="25">
        <f>1-C80</f>
        <v>0.99</v>
      </c>
      <c r="E80" s="26" t="str">
        <f>+C41</f>
        <v/>
      </c>
      <c r="F80" s="26" t="e">
        <f>E80-$C$38</f>
        <v>#VALUE!</v>
      </c>
      <c r="G80" s="26"/>
      <c r="H80" s="26"/>
      <c r="I80" s="23">
        <f>LN(C80/D80)</f>
        <v>-4.5951198501345898</v>
      </c>
      <c r="J80" s="27" t="e">
        <f>1/(1+1/EXP($K$83+($L$83*(E80-$C$38))))</f>
        <v>#VALUE!</v>
      </c>
      <c r="K80" s="28" t="e">
        <f>INTERCEPT($I80:$I81,$F80:$F81)</f>
        <v>#VALUE!</v>
      </c>
      <c r="L80" s="28" t="e">
        <f>SLOPE($I80:$I81,$F80:$F81)</f>
        <v>#VALUE!</v>
      </c>
      <c r="O80"/>
      <c r="P80"/>
      <c r="Q80"/>
      <c r="R80"/>
      <c r="S80"/>
      <c r="T80"/>
      <c r="U80"/>
      <c r="V80"/>
      <c r="W80"/>
      <c r="X80"/>
      <c r="Y80"/>
      <c r="Z80"/>
      <c r="AA80"/>
      <c r="AB80"/>
      <c r="AC80"/>
      <c r="AD80"/>
      <c r="AE80"/>
      <c r="AF80"/>
    </row>
    <row r="81" spans="1:63" ht="15" hidden="1" x14ac:dyDescent="0.2">
      <c r="B81" s="23">
        <f>+B26</f>
        <v>500</v>
      </c>
      <c r="C81" s="29">
        <f>1/B81</f>
        <v>2E-3</v>
      </c>
      <c r="D81" s="25">
        <f>1-C81</f>
        <v>0.998</v>
      </c>
      <c r="E81" s="26" t="str">
        <f>+C42</f>
        <v/>
      </c>
      <c r="F81" s="26" t="e">
        <f>E81-$C$38</f>
        <v>#VALUE!</v>
      </c>
      <c r="G81" s="26"/>
      <c r="H81" s="26"/>
      <c r="I81" s="23">
        <f>LN(C81/D81)</f>
        <v>-6.2126060957515188</v>
      </c>
      <c r="J81" s="27" t="e">
        <f>1/(1+1/EXP($K$83+($L$83*(E81-$C$38))))</f>
        <v>#VALUE!</v>
      </c>
      <c r="K81" s="28"/>
      <c r="L81" s="28"/>
      <c r="O81"/>
      <c r="P81"/>
      <c r="Q81"/>
      <c r="R81"/>
      <c r="S81"/>
      <c r="T81"/>
      <c r="U81"/>
      <c r="V81"/>
      <c r="W81"/>
      <c r="X81"/>
      <c r="Y81"/>
      <c r="Z81"/>
      <c r="AA81"/>
      <c r="AB81"/>
      <c r="AC81"/>
      <c r="AD81"/>
      <c r="AE81"/>
      <c r="AF81"/>
      <c r="BC81" s="35"/>
      <c r="BD81" s="35"/>
      <c r="BE81" s="35"/>
      <c r="BF81" s="35"/>
      <c r="BG81" s="48"/>
      <c r="BK81" s="35"/>
    </row>
    <row r="82" spans="1:63" ht="15" hidden="1" x14ac:dyDescent="0.2">
      <c r="B82" s="12"/>
      <c r="C82" s="13"/>
      <c r="D82" s="14"/>
      <c r="E82" s="12"/>
      <c r="F82" s="12"/>
      <c r="G82" s="12"/>
      <c r="H82" s="12"/>
      <c r="I82" s="12"/>
      <c r="J82" s="31" t="s">
        <v>86</v>
      </c>
      <c r="K82" s="31" t="s">
        <v>75</v>
      </c>
      <c r="L82" s="31" t="s">
        <v>76</v>
      </c>
      <c r="O82"/>
      <c r="P82"/>
      <c r="Q82"/>
      <c r="R82"/>
      <c r="S82"/>
      <c r="T82"/>
      <c r="U82"/>
      <c r="V82"/>
      <c r="W82"/>
      <c r="X82"/>
      <c r="Y82"/>
      <c r="Z82"/>
      <c r="AA82"/>
      <c r="AB82"/>
      <c r="AC82"/>
      <c r="AD82"/>
      <c r="AE82"/>
      <c r="AF82"/>
      <c r="BC82" s="35"/>
      <c r="BD82" s="35"/>
      <c r="BE82" s="35"/>
      <c r="BF82" s="35"/>
      <c r="BG82" s="48"/>
      <c r="BK82" s="35"/>
    </row>
    <row r="83" spans="1:63" ht="15" hidden="1" x14ac:dyDescent="0.2">
      <c r="D83" s="14"/>
      <c r="E83" s="12"/>
      <c r="F83" s="12"/>
      <c r="G83" s="12"/>
      <c r="H83" s="12"/>
      <c r="K83" s="33" t="e">
        <f>INTERCEPT($I$78:$I$81,$F$78:$F$81)</f>
        <v>#VALUE!</v>
      </c>
      <c r="L83" s="33" t="e">
        <f>SLOPE($I$78:$I$81,$F$78:$F$81)</f>
        <v>#VALUE!</v>
      </c>
      <c r="N83" s="8"/>
      <c r="O83"/>
      <c r="P83"/>
      <c r="Q83"/>
      <c r="R83"/>
      <c r="S83"/>
      <c r="T83"/>
      <c r="U83"/>
      <c r="V83"/>
      <c r="W83"/>
      <c r="X83"/>
      <c r="Y83"/>
      <c r="Z83"/>
      <c r="AA83"/>
      <c r="AB83"/>
      <c r="AC83"/>
      <c r="AD83"/>
      <c r="AE83"/>
      <c r="AF83"/>
      <c r="BC83" s="35"/>
      <c r="BD83" s="35"/>
      <c r="BE83" s="35"/>
      <c r="BF83" s="35"/>
      <c r="BG83" s="48"/>
      <c r="BK83" s="35"/>
    </row>
    <row r="84" spans="1:63" ht="15" hidden="1" x14ac:dyDescent="0.2">
      <c r="D84" s="14"/>
      <c r="E84" s="12"/>
      <c r="F84" s="12"/>
      <c r="G84" s="12"/>
      <c r="H84" s="12"/>
      <c r="N84" s="8"/>
      <c r="O84"/>
      <c r="P84"/>
      <c r="Q84"/>
      <c r="R84"/>
      <c r="S84"/>
      <c r="T84"/>
      <c r="U84"/>
      <c r="V84"/>
      <c r="W84"/>
      <c r="X84"/>
      <c r="Y84"/>
      <c r="Z84"/>
      <c r="AA84"/>
      <c r="AB84"/>
      <c r="AC84"/>
      <c r="AD84"/>
      <c r="AE84"/>
      <c r="AF84"/>
      <c r="BC84" s="35"/>
      <c r="BD84" s="35"/>
      <c r="BE84" s="35"/>
      <c r="BF84" s="35"/>
      <c r="BG84" s="48"/>
      <c r="BK84" s="35"/>
    </row>
    <row r="85" spans="1:63" ht="15" hidden="1" x14ac:dyDescent="0.2">
      <c r="B85" s="12"/>
      <c r="D85" s="14"/>
      <c r="E85" s="15" t="s">
        <v>74</v>
      </c>
      <c r="F85" s="12"/>
      <c r="G85" s="12"/>
      <c r="H85" s="12"/>
      <c r="I85" s="12"/>
      <c r="J85" s="12"/>
      <c r="N85" s="8"/>
      <c r="O85" s="30"/>
      <c r="P85" s="34"/>
      <c r="Q85" s="34"/>
      <c r="X85"/>
      <c r="Y85"/>
      <c r="Z85"/>
      <c r="AA85"/>
      <c r="AB85"/>
      <c r="AC85"/>
      <c r="AD85"/>
      <c r="AE85"/>
      <c r="AF85"/>
      <c r="BC85" s="35"/>
      <c r="BD85" s="35"/>
      <c r="BE85" s="35"/>
      <c r="BF85" s="35"/>
      <c r="BG85" s="48"/>
      <c r="BK85" s="35"/>
    </row>
    <row r="86" spans="1:63" ht="15" hidden="1" x14ac:dyDescent="0.2">
      <c r="B86" s="12" t="str">
        <f t="shared" ref="B86:B91" si="32">+B45</f>
        <v>Recorded Flood Elevation (ft)</v>
      </c>
      <c r="C86" s="12" t="s">
        <v>75</v>
      </c>
      <c r="D86" s="12" t="s">
        <v>76</v>
      </c>
      <c r="E86" s="15" t="s">
        <v>84</v>
      </c>
      <c r="F86" s="36" t="s">
        <v>89</v>
      </c>
      <c r="G86" s="36"/>
      <c r="H86" s="36"/>
      <c r="I86" s="36"/>
      <c r="J86" s="12" t="s">
        <v>90</v>
      </c>
      <c r="N86" s="8"/>
      <c r="O86" s="30"/>
      <c r="P86" s="34"/>
      <c r="Q86" s="34"/>
      <c r="BC86" s="35"/>
      <c r="BD86" s="35"/>
      <c r="BE86" s="35"/>
      <c r="BF86" s="35"/>
      <c r="BG86" s="48"/>
      <c r="BK86" s="35"/>
    </row>
    <row r="87" spans="1:63" ht="15" hidden="1" x14ac:dyDescent="0.2">
      <c r="B87" s="37">
        <f t="shared" si="32"/>
        <v>0</v>
      </c>
      <c r="C87" s="7" t="e">
        <f t="shared" ref="C87:C92" si="33">+IF($B87&lt;$E$78,$K$78,IF($B87&lt;$E$81,VLOOKUP($B87,$E$78:$L$81,7),$K$80))</f>
        <v>#VALUE!</v>
      </c>
      <c r="D87" s="7" t="e">
        <f t="shared" ref="D87:D92" si="34">+IF($B87&lt;$E$78,$L$78,IF($B87&lt;$E$81,VLOOKUP($B87,$E$78:$L$81,8),$L$80))</f>
        <v>#VALUE!</v>
      </c>
      <c r="E87" s="32" t="e">
        <f t="shared" ref="E87:E92" si="35">1/(1+1/EXP(C87+(D87*(B87-$C$38))))</f>
        <v>#VALUE!</v>
      </c>
      <c r="F87" s="7" t="e">
        <f t="shared" ref="F87:F92" si="36">MATCH($B46,$C$38:$C$42,0)</f>
        <v>#N/A</v>
      </c>
      <c r="I87" s="7" t="e">
        <f t="shared" ref="I87:I92" si="37">INDEX($B$38:$B$42,$F87,1)</f>
        <v>#N/A</v>
      </c>
      <c r="J87" s="38">
        <f t="shared" ref="J87:J92" si="38">IF($B87&lt;$C$38,1,IF(ISNUMBER(I87),I87,1/E87))</f>
        <v>1</v>
      </c>
      <c r="N87" s="8"/>
      <c r="O87" s="30"/>
      <c r="P87" s="34"/>
      <c r="Q87" s="34"/>
      <c r="R87" s="14"/>
      <c r="BC87" s="35"/>
      <c r="BD87" s="35"/>
      <c r="BE87" s="35"/>
      <c r="BF87" s="35"/>
      <c r="BG87" s="48"/>
      <c r="BK87" s="35"/>
    </row>
    <row r="88" spans="1:63" ht="15" hidden="1" x14ac:dyDescent="0.2">
      <c r="B88" s="37">
        <f t="shared" si="32"/>
        <v>0</v>
      </c>
      <c r="C88" s="7" t="e">
        <f t="shared" si="33"/>
        <v>#VALUE!</v>
      </c>
      <c r="D88" s="7" t="e">
        <f t="shared" si="34"/>
        <v>#VALUE!</v>
      </c>
      <c r="E88" s="32" t="e">
        <f t="shared" si="35"/>
        <v>#VALUE!</v>
      </c>
      <c r="F88" s="7" t="e">
        <f t="shared" si="36"/>
        <v>#N/A</v>
      </c>
      <c r="I88" s="105" t="e">
        <f t="shared" si="37"/>
        <v>#N/A</v>
      </c>
      <c r="J88" s="38">
        <f t="shared" si="38"/>
        <v>1</v>
      </c>
      <c r="K88" s="12"/>
      <c r="N88" s="34"/>
      <c r="O88" s="8"/>
      <c r="P88" s="8"/>
      <c r="Q88" s="8"/>
      <c r="BC88" s="35"/>
      <c r="BD88" s="35"/>
      <c r="BE88" s="35"/>
      <c r="BF88" s="35"/>
      <c r="BG88" s="48"/>
      <c r="BK88" s="35"/>
    </row>
    <row r="89" spans="1:63" ht="15" hidden="1" x14ac:dyDescent="0.2">
      <c r="B89" s="37">
        <f t="shared" si="32"/>
        <v>0</v>
      </c>
      <c r="C89" s="7" t="e">
        <f t="shared" si="33"/>
        <v>#VALUE!</v>
      </c>
      <c r="D89" s="7" t="e">
        <f t="shared" si="34"/>
        <v>#VALUE!</v>
      </c>
      <c r="E89" s="32" t="e">
        <f t="shared" si="35"/>
        <v>#VALUE!</v>
      </c>
      <c r="F89" s="7" t="e">
        <f t="shared" si="36"/>
        <v>#N/A</v>
      </c>
      <c r="I89" s="105" t="e">
        <f t="shared" si="37"/>
        <v>#N/A</v>
      </c>
      <c r="J89" s="38">
        <f t="shared" si="38"/>
        <v>1</v>
      </c>
      <c r="K89" s="12"/>
      <c r="N89" s="14"/>
      <c r="BC89" s="35"/>
      <c r="BD89" s="35"/>
      <c r="BE89" s="35"/>
      <c r="BF89" s="35"/>
      <c r="BG89" s="48"/>
      <c r="BK89" s="35"/>
    </row>
    <row r="90" spans="1:63" ht="15" hidden="1" x14ac:dyDescent="0.2">
      <c r="B90" s="37">
        <f t="shared" si="32"/>
        <v>0</v>
      </c>
      <c r="C90" s="7" t="e">
        <f t="shared" si="33"/>
        <v>#VALUE!</v>
      </c>
      <c r="D90" s="7" t="e">
        <f t="shared" si="34"/>
        <v>#VALUE!</v>
      </c>
      <c r="E90" s="32" t="e">
        <f t="shared" si="35"/>
        <v>#VALUE!</v>
      </c>
      <c r="F90" s="7" t="e">
        <f t="shared" si="36"/>
        <v>#N/A</v>
      </c>
      <c r="I90" s="105" t="e">
        <f t="shared" si="37"/>
        <v>#N/A</v>
      </c>
      <c r="J90" s="38">
        <f t="shared" si="38"/>
        <v>1</v>
      </c>
      <c r="K90" s="12"/>
      <c r="N90" s="14"/>
      <c r="BC90" s="35"/>
      <c r="BD90" s="35"/>
      <c r="BE90" s="35"/>
      <c r="BF90" s="35"/>
      <c r="BG90" s="48"/>
      <c r="BK90" s="35"/>
    </row>
    <row r="91" spans="1:63" ht="15" hidden="1" x14ac:dyDescent="0.2">
      <c r="B91" s="37">
        <f t="shared" si="32"/>
        <v>0</v>
      </c>
      <c r="C91" s="7" t="e">
        <f t="shared" si="33"/>
        <v>#VALUE!</v>
      </c>
      <c r="D91" s="7" t="e">
        <f t="shared" si="34"/>
        <v>#VALUE!</v>
      </c>
      <c r="E91" s="32" t="e">
        <f t="shared" si="35"/>
        <v>#VALUE!</v>
      </c>
      <c r="F91" s="7" t="e">
        <f t="shared" si="36"/>
        <v>#N/A</v>
      </c>
      <c r="I91" s="105" t="e">
        <f t="shared" si="37"/>
        <v>#N/A</v>
      </c>
      <c r="J91" s="38">
        <f t="shared" si="38"/>
        <v>1</v>
      </c>
      <c r="K91" s="12"/>
      <c r="N91" s="14"/>
      <c r="BC91" s="35"/>
      <c r="BD91" s="35"/>
      <c r="BE91" s="35"/>
      <c r="BF91" s="35"/>
      <c r="BG91" s="48"/>
      <c r="BK91" s="35"/>
    </row>
    <row r="92" spans="1:63" ht="15" hidden="1" x14ac:dyDescent="0.2">
      <c r="A92" s="146" t="s">
        <v>157</v>
      </c>
      <c r="B92" s="150" t="str">
        <f>+F23</f>
        <v/>
      </c>
      <c r="C92" s="146" t="e">
        <f t="shared" si="33"/>
        <v>#VALUE!</v>
      </c>
      <c r="D92" s="146" t="e">
        <f t="shared" si="34"/>
        <v>#VALUE!</v>
      </c>
      <c r="E92" s="148" t="e">
        <f t="shared" si="35"/>
        <v>#VALUE!</v>
      </c>
      <c r="F92" s="146" t="e">
        <f t="shared" si="36"/>
        <v>#N/A</v>
      </c>
      <c r="G92" s="146"/>
      <c r="H92" s="146"/>
      <c r="I92" s="146" t="e">
        <f t="shared" si="37"/>
        <v>#N/A</v>
      </c>
      <c r="J92" s="149" t="e">
        <f t="shared" si="38"/>
        <v>#VALUE!</v>
      </c>
      <c r="BC92" s="35"/>
      <c r="BD92" s="35"/>
      <c r="BE92" s="35"/>
      <c r="BF92" s="35"/>
      <c r="BG92" s="48"/>
      <c r="BK92" s="35"/>
    </row>
    <row r="93" spans="1:63" ht="15" hidden="1" x14ac:dyDescent="0.2">
      <c r="A93" s="146" t="s">
        <v>157</v>
      </c>
      <c r="B93" s="150" t="str">
        <f t="shared" ref="B93:B95" si="39">+F24</f>
        <v/>
      </c>
      <c r="C93" s="146" t="e">
        <f t="shared" ref="C93:C95" si="40">+IF($B93&lt;$E$78,$K$78,IF($B93&lt;$E$81,VLOOKUP($B93,$E$78:$L$81,7),$K$80))</f>
        <v>#VALUE!</v>
      </c>
      <c r="D93" s="146" t="e">
        <f t="shared" ref="D93:D95" si="41">+IF($B93&lt;$E$78,$L$78,IF($B93&lt;$E$81,VLOOKUP($B93,$E$78:$L$81,8),$L$80))</f>
        <v>#VALUE!</v>
      </c>
      <c r="E93" s="148" t="e">
        <f t="shared" ref="E93:E95" si="42">1/(1+1/EXP(C93+(D93*(B93-$C$38))))</f>
        <v>#VALUE!</v>
      </c>
      <c r="F93" s="146" t="e">
        <f t="shared" ref="F93:F95" si="43">MATCH($B52,$C$38:$C$42,0)</f>
        <v>#N/A</v>
      </c>
      <c r="G93" s="146"/>
      <c r="H93" s="146"/>
      <c r="I93" s="146" t="e">
        <f t="shared" ref="I93:I95" si="44">INDEX($B$38:$B$42,$F93,1)</f>
        <v>#N/A</v>
      </c>
      <c r="J93" s="149" t="e">
        <f t="shared" ref="J93:J95" si="45">IF($B93&lt;$C$38,1,IF(ISNUMBER(I93),I93,1/E93))</f>
        <v>#VALUE!</v>
      </c>
      <c r="BC93" s="35"/>
      <c r="BD93" s="35"/>
      <c r="BE93" s="35"/>
      <c r="BF93" s="35"/>
      <c r="BG93" s="48"/>
      <c r="BK93" s="35"/>
    </row>
    <row r="94" spans="1:63" ht="15" hidden="1" x14ac:dyDescent="0.2">
      <c r="A94" s="146" t="s">
        <v>157</v>
      </c>
      <c r="B94" s="150" t="str">
        <f t="shared" si="39"/>
        <v/>
      </c>
      <c r="C94" s="146" t="e">
        <f t="shared" si="40"/>
        <v>#VALUE!</v>
      </c>
      <c r="D94" s="146" t="e">
        <f t="shared" si="41"/>
        <v>#VALUE!</v>
      </c>
      <c r="E94" s="148" t="e">
        <f t="shared" si="42"/>
        <v>#VALUE!</v>
      </c>
      <c r="F94" s="146" t="e">
        <f t="shared" si="43"/>
        <v>#N/A</v>
      </c>
      <c r="G94" s="146"/>
      <c r="H94" s="146"/>
      <c r="I94" s="146" t="e">
        <f t="shared" si="44"/>
        <v>#N/A</v>
      </c>
      <c r="J94" s="149" t="e">
        <f t="shared" si="45"/>
        <v>#VALUE!</v>
      </c>
      <c r="BC94" s="35"/>
      <c r="BD94" s="35"/>
      <c r="BE94" s="35"/>
      <c r="BF94" s="35"/>
      <c r="BG94" s="48"/>
      <c r="BK94" s="35"/>
    </row>
    <row r="95" spans="1:63" ht="15" hidden="1" x14ac:dyDescent="0.2">
      <c r="A95" s="146" t="s">
        <v>157</v>
      </c>
      <c r="B95" s="150" t="str">
        <f t="shared" si="39"/>
        <v/>
      </c>
      <c r="C95" s="146" t="e">
        <f t="shared" si="40"/>
        <v>#VALUE!</v>
      </c>
      <c r="D95" s="146" t="e">
        <f t="shared" si="41"/>
        <v>#VALUE!</v>
      </c>
      <c r="E95" s="148" t="e">
        <f t="shared" si="42"/>
        <v>#VALUE!</v>
      </c>
      <c r="F95" s="146" t="e">
        <f t="shared" si="43"/>
        <v>#N/A</v>
      </c>
      <c r="G95" s="146"/>
      <c r="H95" s="146"/>
      <c r="I95" s="146" t="e">
        <f t="shared" si="44"/>
        <v>#N/A</v>
      </c>
      <c r="J95" s="149" t="e">
        <f t="shared" si="45"/>
        <v>#VALUE!</v>
      </c>
      <c r="BC95" s="35"/>
      <c r="BD95" s="35"/>
      <c r="BE95" s="35"/>
      <c r="BF95" s="35"/>
      <c r="BG95" s="48"/>
      <c r="BK95" s="35"/>
    </row>
    <row r="96" spans="1:63" hidden="1" x14ac:dyDescent="0.2">
      <c r="BC96" s="35"/>
      <c r="BD96" s="35"/>
      <c r="BE96" s="35"/>
      <c r="BF96" s="35"/>
      <c r="BG96" s="48"/>
      <c r="BK96" s="35"/>
    </row>
    <row r="97" spans="55:63" hidden="1" x14ac:dyDescent="0.2">
      <c r="BC97" s="35"/>
      <c r="BD97" s="35"/>
      <c r="BE97" s="35"/>
      <c r="BF97" s="35"/>
      <c r="BG97" s="48"/>
      <c r="BK97" s="35"/>
    </row>
    <row r="98" spans="55:63" x14ac:dyDescent="0.2">
      <c r="BC98" s="35"/>
      <c r="BD98" s="35"/>
      <c r="BE98" s="35"/>
      <c r="BF98" s="35"/>
      <c r="BG98" s="48"/>
      <c r="BK98" s="35"/>
    </row>
    <row r="99" spans="55:63" x14ac:dyDescent="0.2">
      <c r="BC99" s="35"/>
      <c r="BD99" s="35"/>
      <c r="BE99" s="35"/>
      <c r="BF99" s="35"/>
      <c r="BG99" s="48"/>
      <c r="BK99" s="35"/>
    </row>
    <row r="100" spans="55:63" x14ac:dyDescent="0.2">
      <c r="BC100" s="35"/>
      <c r="BD100" s="35"/>
      <c r="BE100" s="35"/>
      <c r="BF100" s="35"/>
      <c r="BG100" s="48"/>
      <c r="BK100" s="35"/>
    </row>
    <row r="101" spans="55:63" x14ac:dyDescent="0.2">
      <c r="BC101" s="35"/>
      <c r="BD101" s="35"/>
      <c r="BE101" s="35"/>
      <c r="BF101" s="35"/>
      <c r="BG101" s="48"/>
      <c r="BK101" s="35"/>
    </row>
    <row r="102" spans="55:63" x14ac:dyDescent="0.2">
      <c r="BC102" s="35"/>
      <c r="BD102" s="35"/>
      <c r="BE102" s="35"/>
      <c r="BF102" s="35"/>
      <c r="BG102" s="48"/>
      <c r="BK102" s="35"/>
    </row>
    <row r="103" spans="55:63" x14ac:dyDescent="0.2">
      <c r="BC103" s="35"/>
      <c r="BD103" s="35"/>
      <c r="BE103" s="35"/>
      <c r="BF103" s="35"/>
      <c r="BG103" s="48"/>
      <c r="BK103" s="35"/>
    </row>
    <row r="104" spans="55:63" x14ac:dyDescent="0.2">
      <c r="BC104" s="35"/>
      <c r="BD104" s="35"/>
      <c r="BE104" s="35"/>
      <c r="BF104" s="35"/>
      <c r="BG104" s="48"/>
      <c r="BK104" s="35"/>
    </row>
    <row r="105" spans="55:63" x14ac:dyDescent="0.2">
      <c r="BC105" s="35"/>
      <c r="BD105" s="35"/>
      <c r="BE105" s="35"/>
      <c r="BF105" s="35"/>
      <c r="BG105" s="48"/>
      <c r="BK105" s="35"/>
    </row>
    <row r="106" spans="55:63" x14ac:dyDescent="0.2">
      <c r="BC106" s="35"/>
      <c r="BD106" s="35"/>
      <c r="BE106" s="35"/>
      <c r="BF106" s="35"/>
      <c r="BG106" s="48"/>
      <c r="BK106" s="35"/>
    </row>
    <row r="107" spans="55:63" x14ac:dyDescent="0.2">
      <c r="BC107" s="35"/>
      <c r="BD107" s="35"/>
      <c r="BE107" s="35"/>
      <c r="BF107" s="35"/>
      <c r="BG107" s="48"/>
      <c r="BK107" s="35"/>
    </row>
    <row r="108" spans="55:63" x14ac:dyDescent="0.2">
      <c r="BC108" s="35"/>
      <c r="BD108" s="35"/>
      <c r="BE108" s="35"/>
      <c r="BF108" s="35"/>
      <c r="BG108" s="48"/>
      <c r="BK108" s="35"/>
    </row>
    <row r="109" spans="55:63" x14ac:dyDescent="0.2">
      <c r="BC109" s="35"/>
      <c r="BD109" s="35"/>
      <c r="BE109" s="35"/>
      <c r="BF109" s="35"/>
      <c r="BG109" s="48"/>
      <c r="BK109" s="35"/>
    </row>
    <row r="110" spans="55:63" x14ac:dyDescent="0.2">
      <c r="BC110" s="35"/>
      <c r="BD110" s="35"/>
      <c r="BE110" s="35"/>
      <c r="BF110" s="35"/>
      <c r="BG110" s="48"/>
      <c r="BK110" s="35"/>
    </row>
    <row r="111" spans="55:63" x14ac:dyDescent="0.2">
      <c r="BC111" s="35"/>
      <c r="BD111" s="35"/>
      <c r="BE111" s="35"/>
      <c r="BF111" s="35"/>
      <c r="BG111" s="48"/>
      <c r="BK111" s="35"/>
    </row>
    <row r="112" spans="55:63" x14ac:dyDescent="0.2">
      <c r="BC112" s="35"/>
      <c r="BD112" s="35"/>
      <c r="BE112" s="35"/>
      <c r="BF112" s="35"/>
      <c r="BG112" s="48"/>
      <c r="BK112" s="35"/>
    </row>
    <row r="113" spans="55:63" x14ac:dyDescent="0.2">
      <c r="BC113" s="35"/>
      <c r="BD113" s="35"/>
      <c r="BE113" s="35"/>
      <c r="BF113" s="35"/>
      <c r="BG113" s="48"/>
      <c r="BK113" s="35"/>
    </row>
    <row r="114" spans="55:63" x14ac:dyDescent="0.2">
      <c r="BC114" s="35"/>
      <c r="BD114" s="35"/>
      <c r="BE114" s="35"/>
      <c r="BF114" s="35"/>
      <c r="BG114" s="48"/>
      <c r="BK114" s="35"/>
    </row>
    <row r="115" spans="55:63" x14ac:dyDescent="0.2">
      <c r="BC115" s="35"/>
      <c r="BD115" s="35"/>
      <c r="BE115" s="35"/>
      <c r="BF115" s="35"/>
      <c r="BG115" s="48"/>
      <c r="BK115" s="35"/>
    </row>
    <row r="116" spans="55:63" x14ac:dyDescent="0.2">
      <c r="BC116" s="35"/>
      <c r="BD116" s="35"/>
      <c r="BE116" s="35"/>
      <c r="BF116" s="35"/>
      <c r="BG116" s="48"/>
      <c r="BK116" s="35"/>
    </row>
    <row r="117" spans="55:63" x14ac:dyDescent="0.2">
      <c r="BC117" s="35"/>
      <c r="BD117" s="35"/>
      <c r="BE117" s="35"/>
      <c r="BF117" s="35"/>
      <c r="BG117" s="48"/>
      <c r="BK117" s="35"/>
    </row>
    <row r="118" spans="55:63" x14ac:dyDescent="0.2">
      <c r="BC118" s="35"/>
      <c r="BD118" s="35"/>
      <c r="BE118" s="35"/>
      <c r="BF118" s="35"/>
      <c r="BG118" s="48"/>
      <c r="BK118" s="35"/>
    </row>
    <row r="119" spans="55:63" x14ac:dyDescent="0.2">
      <c r="BC119" s="35"/>
      <c r="BD119" s="35"/>
      <c r="BE119" s="35"/>
      <c r="BF119" s="35"/>
      <c r="BG119" s="48"/>
      <c r="BK119" s="35"/>
    </row>
    <row r="120" spans="55:63" x14ac:dyDescent="0.2">
      <c r="BC120" s="35"/>
      <c r="BD120" s="35"/>
      <c r="BE120" s="35"/>
      <c r="BF120" s="35"/>
      <c r="BG120" s="48"/>
      <c r="BK120" s="35"/>
    </row>
    <row r="121" spans="55:63" x14ac:dyDescent="0.2">
      <c r="BC121" s="35"/>
      <c r="BD121" s="35"/>
      <c r="BE121" s="35"/>
      <c r="BF121" s="35"/>
      <c r="BG121" s="48"/>
      <c r="BK121" s="35"/>
    </row>
    <row r="122" spans="55:63" x14ac:dyDescent="0.2">
      <c r="BC122" s="35"/>
      <c r="BD122" s="35"/>
      <c r="BE122" s="35"/>
      <c r="BF122" s="35"/>
      <c r="BG122" s="48"/>
      <c r="BK122" s="35"/>
    </row>
    <row r="123" spans="55:63" x14ac:dyDescent="0.2">
      <c r="BC123" s="35"/>
      <c r="BD123" s="35"/>
      <c r="BE123" s="35"/>
      <c r="BF123" s="35"/>
      <c r="BG123" s="48"/>
      <c r="BK123" s="35"/>
    </row>
    <row r="124" spans="55:63" x14ac:dyDescent="0.2">
      <c r="BC124" s="35"/>
      <c r="BD124" s="35"/>
      <c r="BE124" s="35"/>
      <c r="BF124" s="35"/>
      <c r="BG124" s="48"/>
      <c r="BK124" s="35"/>
    </row>
    <row r="125" spans="55:63" x14ac:dyDescent="0.2">
      <c r="BC125" s="35"/>
      <c r="BD125" s="35"/>
      <c r="BE125" s="35"/>
      <c r="BF125" s="35"/>
      <c r="BG125" s="48"/>
      <c r="BK125" s="35"/>
    </row>
    <row r="126" spans="55:63" x14ac:dyDescent="0.2">
      <c r="BC126" s="35"/>
      <c r="BD126" s="35"/>
      <c r="BE126" s="35"/>
      <c r="BF126" s="35"/>
      <c r="BG126" s="48"/>
      <c r="BK126" s="35"/>
    </row>
    <row r="127" spans="55:63" x14ac:dyDescent="0.2">
      <c r="BC127" s="35"/>
      <c r="BD127" s="35"/>
      <c r="BE127" s="35"/>
      <c r="BF127" s="35"/>
      <c r="BG127" s="48"/>
      <c r="BK127" s="35"/>
    </row>
    <row r="128" spans="55:63" x14ac:dyDescent="0.2">
      <c r="BC128" s="35"/>
      <c r="BD128" s="35"/>
      <c r="BE128" s="35"/>
      <c r="BF128" s="35"/>
      <c r="BG128" s="48"/>
      <c r="BK128" s="35"/>
    </row>
    <row r="129" spans="55:63" x14ac:dyDescent="0.2">
      <c r="BC129" s="35"/>
      <c r="BD129" s="35"/>
      <c r="BE129" s="35"/>
      <c r="BF129" s="35"/>
      <c r="BG129" s="48"/>
      <c r="BK129" s="35"/>
    </row>
    <row r="130" spans="55:63" x14ac:dyDescent="0.2">
      <c r="BC130" s="35"/>
      <c r="BD130" s="35"/>
      <c r="BE130" s="35"/>
      <c r="BF130" s="35"/>
      <c r="BG130" s="48"/>
      <c r="BK130" s="35"/>
    </row>
    <row r="131" spans="55:63" x14ac:dyDescent="0.2">
      <c r="BC131" s="35"/>
      <c r="BD131" s="35"/>
      <c r="BE131" s="35"/>
      <c r="BF131" s="35"/>
      <c r="BG131" s="48"/>
      <c r="BK131" s="35"/>
    </row>
    <row r="132" spans="55:63" x14ac:dyDescent="0.2">
      <c r="BC132" s="35"/>
      <c r="BD132" s="35"/>
      <c r="BE132" s="35"/>
      <c r="BF132" s="35"/>
      <c r="BG132" s="48"/>
      <c r="BK132" s="35"/>
    </row>
    <row r="133" spans="55:63" x14ac:dyDescent="0.2">
      <c r="BC133" s="35"/>
      <c r="BD133" s="35"/>
      <c r="BE133" s="35"/>
      <c r="BF133" s="35"/>
      <c r="BG133" s="48"/>
      <c r="BK133" s="35"/>
    </row>
    <row r="134" spans="55:63" x14ac:dyDescent="0.2">
      <c r="BC134" s="35"/>
      <c r="BD134" s="35"/>
      <c r="BE134" s="35"/>
      <c r="BF134" s="35"/>
      <c r="BG134" s="48"/>
      <c r="BK134" s="35"/>
    </row>
    <row r="135" spans="55:63" x14ac:dyDescent="0.2">
      <c r="BC135" s="35"/>
      <c r="BD135" s="35"/>
      <c r="BE135" s="35"/>
      <c r="BF135" s="35"/>
      <c r="BG135" s="48"/>
      <c r="BK135" s="35"/>
    </row>
    <row r="136" spans="55:63" x14ac:dyDescent="0.2">
      <c r="BC136" s="35"/>
      <c r="BD136" s="35"/>
      <c r="BE136" s="35"/>
      <c r="BF136" s="35"/>
      <c r="BG136" s="48"/>
      <c r="BK136" s="35"/>
    </row>
    <row r="137" spans="55:63" x14ac:dyDescent="0.2">
      <c r="BC137" s="35"/>
      <c r="BD137" s="35"/>
      <c r="BE137" s="35"/>
      <c r="BF137" s="35"/>
      <c r="BG137" s="48"/>
      <c r="BK137" s="35"/>
    </row>
    <row r="138" spans="55:63" x14ac:dyDescent="0.2">
      <c r="BC138" s="35"/>
      <c r="BD138" s="35"/>
      <c r="BE138" s="35"/>
      <c r="BF138" s="35"/>
      <c r="BG138" s="35"/>
      <c r="BI138" s="35"/>
      <c r="BJ138" s="35"/>
      <c r="BK138" s="35"/>
    </row>
    <row r="139" spans="55:63" x14ac:dyDescent="0.2">
      <c r="BC139" s="35"/>
      <c r="BD139" s="35"/>
      <c r="BE139" s="35"/>
      <c r="BF139" s="35"/>
      <c r="BG139" s="35"/>
      <c r="BI139" s="35"/>
      <c r="BJ139" s="35"/>
      <c r="BK139" s="35"/>
    </row>
    <row r="145" spans="55:63" x14ac:dyDescent="0.2">
      <c r="BC145" s="35"/>
      <c r="BD145" s="35"/>
      <c r="BE145" s="35"/>
      <c r="BF145" s="35"/>
      <c r="BG145" s="35"/>
      <c r="BI145" s="35"/>
      <c r="BJ145" s="35"/>
      <c r="BK145" s="35"/>
    </row>
    <row r="146" spans="55:63" x14ac:dyDescent="0.2">
      <c r="BC146" s="35"/>
      <c r="BD146" s="35"/>
      <c r="BE146" s="35"/>
      <c r="BF146" s="35"/>
      <c r="BG146" s="35"/>
      <c r="BI146" s="35"/>
      <c r="BJ146" s="35"/>
      <c r="BK146" s="35"/>
    </row>
  </sheetData>
  <sheetProtection password="DC28" sheet="1" objects="1" scenarios="1"/>
  <protectedRanges>
    <protectedRange sqref="C15:G17 C19 C23:C26 E23:E26 C27 C29 C31 F31 D34 F34 B46:B49 B50" name="Range1"/>
  </protectedRanges>
  <mergeCells count="36">
    <mergeCell ref="C27:G27"/>
    <mergeCell ref="A28:H28"/>
    <mergeCell ref="B34:C34"/>
    <mergeCell ref="F34:H34"/>
    <mergeCell ref="B35:C35"/>
    <mergeCell ref="C31:D31"/>
    <mergeCell ref="F31:G31"/>
    <mergeCell ref="B30:G30"/>
    <mergeCell ref="A14:G14"/>
    <mergeCell ref="I1:M1"/>
    <mergeCell ref="A18:H18"/>
    <mergeCell ref="C15:G15"/>
    <mergeCell ref="C16:G16"/>
    <mergeCell ref="E1:F2"/>
    <mergeCell ref="E3:F4"/>
    <mergeCell ref="E9:F9"/>
    <mergeCell ref="A1:B2"/>
    <mergeCell ref="C1:D2"/>
    <mergeCell ref="A3:B4"/>
    <mergeCell ref="C3:D4"/>
    <mergeCell ref="G1:H1"/>
    <mergeCell ref="C17:G17"/>
    <mergeCell ref="I31:P40"/>
    <mergeCell ref="X62:Z62"/>
    <mergeCell ref="I16:M16"/>
    <mergeCell ref="O62:Q62"/>
    <mergeCell ref="I29:M29"/>
    <mergeCell ref="I19:M19"/>
    <mergeCell ref="I30:P30"/>
    <mergeCell ref="I24:L24"/>
    <mergeCell ref="B44:D44"/>
    <mergeCell ref="F44:H44"/>
    <mergeCell ref="B32:C32"/>
    <mergeCell ref="E32:G32"/>
    <mergeCell ref="A43:H43"/>
    <mergeCell ref="B33:G33"/>
  </mergeCells>
  <dataValidations count="2">
    <dataValidation type="list" allowBlank="1" showInputMessage="1" showErrorMessage="1" sqref="C31:D31">
      <formula1>stations</formula1>
    </dataValidation>
    <dataValidation type="list" allowBlank="1" showInputMessage="1" showErrorMessage="1" sqref="F31:G31">
      <formula1>trends</formula1>
    </dataValidation>
  </dataValidations>
  <pageMargins left="0.25" right="0.25" top="0.75" bottom="0" header="0" footer="0"/>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530" r:id="rId4" name="Button 74">
              <controlPr defaultSize="0" print="0" autoFill="0" autoPict="0" macro="[0]!NewFile">
                <anchor moveWithCells="1" sizeWithCells="1">
                  <from>
                    <xdr:col>0</xdr:col>
                    <xdr:colOff>133350</xdr:colOff>
                    <xdr:row>0</xdr:row>
                    <xdr:rowOff>152400</xdr:rowOff>
                  </from>
                  <to>
                    <xdr:col>0</xdr:col>
                    <xdr:colOff>952500</xdr:colOff>
                    <xdr:row>2</xdr:row>
                    <xdr:rowOff>152400</xdr:rowOff>
                  </to>
                </anchor>
              </controlPr>
            </control>
          </mc:Choice>
        </mc:AlternateContent>
        <mc:AlternateContent xmlns:mc="http://schemas.openxmlformats.org/markup-compatibility/2006">
          <mc:Choice Requires="x14">
            <control shapeId="19531" r:id="rId5" name="Button 75">
              <controlPr defaultSize="0" print="0" autoFill="0" autoPict="0" macro="[0]!SaveFile">
                <anchor moveWithCells="1" sizeWithCells="1">
                  <from>
                    <xdr:col>0</xdr:col>
                    <xdr:colOff>123825</xdr:colOff>
                    <xdr:row>4</xdr:row>
                    <xdr:rowOff>47625</xdr:rowOff>
                  </from>
                  <to>
                    <xdr:col>0</xdr:col>
                    <xdr:colOff>942975</xdr:colOff>
                    <xdr:row>11</xdr:row>
                    <xdr:rowOff>9525</xdr:rowOff>
                  </to>
                </anchor>
              </controlPr>
            </control>
          </mc:Choice>
        </mc:AlternateContent>
        <mc:AlternateContent xmlns:mc="http://schemas.openxmlformats.org/markup-compatibility/2006">
          <mc:Choice Requires="x14">
            <control shapeId="19532" r:id="rId6" name="Button 76">
              <controlPr defaultSize="0" print="0" autoFill="0" autoPict="0" macro="[0]!PrintFile">
                <anchor moveWithCells="1" sizeWithCells="1">
                  <from>
                    <xdr:col>7</xdr:col>
                    <xdr:colOff>142875</xdr:colOff>
                    <xdr:row>4</xdr:row>
                    <xdr:rowOff>66675</xdr:rowOff>
                  </from>
                  <to>
                    <xdr:col>7</xdr:col>
                    <xdr:colOff>962025</xdr:colOff>
                    <xdr:row>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RI Estimator</vt:lpstr>
      <vt:lpstr>'RI Estimator'!Print_Area</vt:lpstr>
      <vt:lpstr>stations</vt:lpstr>
      <vt:lpstr>trends</vt:lpstr>
    </vt:vector>
  </TitlesOfParts>
  <Company>Department of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HMCE Sea Level Rise RI Calculator - Microsoft Excel version</dc:title>
  <dc:subject>HMCE Sea Level Rise RI Calculator - Microsoft Excel version</dc:subject>
  <dc:creator>Federal Transit Administration</dc:creator>
  <cp:lastModifiedBy>USDOT_User</cp:lastModifiedBy>
  <cp:lastPrinted>2014-02-20T15:30:24Z</cp:lastPrinted>
  <dcterms:created xsi:type="dcterms:W3CDTF">2011-05-24T12:49:03Z</dcterms:created>
  <dcterms:modified xsi:type="dcterms:W3CDTF">2014-02-21T15:17:29Z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