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tanas.ad.dot.gov\share\OpenArea\Shared Files\Apportionments\FY 2026 Full Year Formula Apportionments\FY 2026 Full Year Tables for TCA posting\"/>
    </mc:Choice>
  </mc:AlternateContent>
  <xr:revisionPtr revIDLastSave="0" documentId="13_ncr:1_{B5270F52-EEE7-42BC-A76A-ECEDF14F76D2}" xr6:coauthVersionLast="47" xr6:coauthVersionMax="47" xr10:uidLastSave="{00000000-0000-0000-0000-000000000000}"/>
  <bookViews>
    <workbookView xWindow="-120" yWindow="-120" windowWidth="29040" windowHeight="15720" xr2:uid="{011E35FF-B8BD-4974-8A57-81ADAD5345BC}"/>
  </bookViews>
  <sheets>
    <sheet name="FY 2026 Full Year Table 1" sheetId="1" r:id="rId1"/>
  </sheets>
  <definedNames>
    <definedName name="_xlnm._FilterDatabase" localSheetId="0" hidden="1">'FY 2026 Full Year Table 1'!#REF!</definedName>
    <definedName name="_NST01">#N/A</definedName>
    <definedName name="_Order1" hidden="1">0</definedName>
    <definedName name="_xlnm.Database" localSheetId="0">#REF!</definedName>
    <definedName name="_xlnm.Database">#REF!</definedName>
    <definedName name="FINAL">#N/A</definedName>
    <definedName name="HTML_CodePage" hidden="1">1252</definedName>
    <definedName name="HTML_Control" localSheetId="0" hidden="1">{"'Final'!$A$1:$K$1"}</definedName>
    <definedName name="HTML_Control" hidden="1">{"'Final'!$A$1:$K$1"}</definedName>
    <definedName name="HTML_Description" hidden="1">""</definedName>
    <definedName name="HTML_Email" hidden="1">""</definedName>
    <definedName name="HTML_Header" hidden="1">"Final"</definedName>
    <definedName name="HTML_LastUpdate" hidden="1">"8/21/00"</definedName>
    <definedName name="HTML_LineAfter" hidden="1">FALSE</definedName>
    <definedName name="HTML_LineBefore" hidden="1">FALSE</definedName>
    <definedName name="HTML_Name" hidden="1">"nosekg"</definedName>
    <definedName name="HTML_OBDlg2" hidden="1">TRUE</definedName>
    <definedName name="HTML_OBDlg4" hidden="1">TRUE</definedName>
    <definedName name="HTML_OS" hidden="1">0</definedName>
    <definedName name="HTML_PathFile" hidden="1">"A:\table12 Html.htm"</definedName>
    <definedName name="HTML_Title" hidden="1">"Table 12"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'FY 2026 Full Year Table 1'!$A$1:$C$185</definedName>
    <definedName name="TABLE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2" i="1" l="1"/>
  <c r="C173" i="1"/>
  <c r="C174" i="1" s="1"/>
  <c r="C161" i="1"/>
  <c r="C154" i="1"/>
  <c r="C153" i="1"/>
  <c r="C178" i="1"/>
  <c r="C182" i="1" s="1"/>
  <c r="C177" i="1"/>
  <c r="C168" i="1"/>
  <c r="C167" i="1"/>
  <c r="C160" i="1"/>
  <c r="C162" i="1" s="1"/>
  <c r="C151" i="1"/>
  <c r="C146" i="1"/>
  <c r="C148" i="1" s="1"/>
  <c r="C140" i="1"/>
  <c r="C143" i="1" s="1"/>
  <c r="C135" i="1"/>
  <c r="C137" i="1" s="1"/>
  <c r="C129" i="1"/>
  <c r="C130" i="1" s="1"/>
  <c r="C132" i="1" s="1"/>
  <c r="C122" i="1"/>
  <c r="C119" i="1"/>
  <c r="C115" i="1"/>
  <c r="C114" i="1"/>
  <c r="C109" i="1"/>
  <c r="C108" i="1"/>
  <c r="C105" i="1"/>
  <c r="C97" i="1"/>
  <c r="C100" i="1" s="1"/>
  <c r="C94" i="1"/>
  <c r="C90" i="1"/>
  <c r="C86" i="1"/>
  <c r="C81" i="1"/>
  <c r="C77" i="1"/>
  <c r="C73" i="1"/>
  <c r="C65" i="1"/>
  <c r="C64" i="1"/>
  <c r="C59" i="1"/>
  <c r="C57" i="1"/>
  <c r="C54" i="1"/>
  <c r="C45" i="1"/>
  <c r="C44" i="1"/>
  <c r="C39" i="1"/>
  <c r="C41" i="1" s="1"/>
  <c r="C36" i="1"/>
  <c r="C29" i="1"/>
  <c r="C27" i="1"/>
  <c r="C26" i="1"/>
  <c r="C25" i="1"/>
  <c r="C21" i="1"/>
  <c r="C15" i="1"/>
  <c r="C14" i="1" s="1"/>
  <c r="C17" i="1" s="1"/>
  <c r="C10" i="1"/>
  <c r="C9" i="1" s="1"/>
  <c r="C184" i="1" s="1"/>
  <c r="C169" i="1" l="1"/>
  <c r="C68" i="1"/>
  <c r="C61" i="1"/>
  <c r="C155" i="1"/>
  <c r="C11" i="1"/>
  <c r="C31" i="1"/>
  <c r="C50" i="1"/>
  <c r="C113" i="1"/>
  <c r="C123" i="1"/>
  <c r="C126" i="1" s="1"/>
  <c r="C185" i="1" l="1"/>
</calcChain>
</file>

<file path=xl/sharedStrings.xml><?xml version="1.0" encoding="utf-8"?>
<sst xmlns="http://schemas.openxmlformats.org/spreadsheetml/2006/main" count="150" uniqueCount="71">
  <si>
    <t>FEDERAL TRANSIT ADMINISTRATION</t>
  </si>
  <si>
    <t>TABLE 1</t>
  </si>
  <si>
    <t>FY 2026 FULL YEAR APPROPRIATIONS AND APPORTIONMENTS FOR GRANT PROGRAMS</t>
  </si>
  <si>
    <t>The amount apportioned in this notice includes funding enacted in the Infrastructure Investment and Jobs Act (Pub. L. 117-58), and is based on funding made available under the Full-Year Consolidated Appropriations Act, 2026 (H.R. 7148 / Public Law 119-75, February 3, 2026).</t>
  </si>
  <si>
    <t>PROGRAM</t>
  </si>
  <si>
    <t>Section 5303 Metropolitan Transportation Planning Program</t>
  </si>
  <si>
    <t>Total FY 2026 Available</t>
  </si>
  <si>
    <t>Less FY 2026 Oversight</t>
  </si>
  <si>
    <t>Total Available for Allocation</t>
  </si>
  <si>
    <t xml:space="preserve">Section 5304 Statewide Transportation Planning Program </t>
  </si>
  <si>
    <t xml:space="preserve">Less FY 2026 Oversight </t>
  </si>
  <si>
    <t>Reapportioned Funds</t>
  </si>
  <si>
    <t>Transit Oriented Development Planning (Competitive pilot)</t>
  </si>
  <si>
    <t xml:space="preserve">Section 5307 Urbanized Area Formula Program </t>
  </si>
  <si>
    <t>Less FY 2026 State Safety Oversight Program</t>
  </si>
  <si>
    <t>Less FY 2026 Ferry Competitive Program</t>
  </si>
  <si>
    <t>Section 5340 High Density States</t>
  </si>
  <si>
    <t>Section 5340 Growing States</t>
  </si>
  <si>
    <t>Section 5307 Passenger Ferry Grant Program</t>
  </si>
  <si>
    <t xml:space="preserve">Total FY 2026 Authorized </t>
  </si>
  <si>
    <t>FY 2026 FRA Transfer</t>
  </si>
  <si>
    <t>Section 5329 State Safety Oversight Program</t>
  </si>
  <si>
    <t>Section 5310 Enhanced Mobility of Seniors and Individuals with Disabilities</t>
  </si>
  <si>
    <t>Less FY 2026 Oversight and Administrative</t>
  </si>
  <si>
    <t>Less FY 2026 Transfer to OIG</t>
  </si>
  <si>
    <t>Reapportioned Funds to Large Urbanized Areas</t>
  </si>
  <si>
    <t>Reapportioned Funds to Small Urbanized Areas</t>
  </si>
  <si>
    <t>Reapportioned Funds to Rural Areas</t>
  </si>
  <si>
    <t>Pilot Program for Innovative Coordinated Access and Mobility (ICAM)</t>
  </si>
  <si>
    <t>Section 5311 Rural Area Formula Program</t>
  </si>
  <si>
    <t>Section 5311(b)(3) Rural Transit Assistance Program (RTAP)</t>
  </si>
  <si>
    <t>Less Amount Reserved for National RTAP (15 percent)</t>
  </si>
  <si>
    <t>FY 2026 Additional National RTAP Appropriation for Tribes</t>
  </si>
  <si>
    <t>Section 5311(c)(2)(B) Public Transportation on Indian Reservations Formula</t>
  </si>
  <si>
    <t>Section 5311(c)(2)(A) Public Transportation on Indian Reservations Competitive</t>
  </si>
  <si>
    <t>Section 5311(c)(3) Appalachian Development Public Transportation Assistance Program</t>
  </si>
  <si>
    <t xml:space="preserve">Total Available for Allocation  </t>
  </si>
  <si>
    <t>Section 5312 Public Transportation Innovation--Transit Research</t>
  </si>
  <si>
    <t>Section 5312 (h) Public Transportation Innovation--Component and Low or No Emission Testing</t>
  </si>
  <si>
    <t>Section 5312 Public Transportation Innovation--Transit Cooperative Research</t>
  </si>
  <si>
    <t>Section 5314 Technical Assistance and Workforce Development</t>
  </si>
  <si>
    <t>National Transit Institute</t>
  </si>
  <si>
    <t>FY 2026 Additional Appropriation</t>
  </si>
  <si>
    <t>Section 5318 Bus Testing Facilities</t>
  </si>
  <si>
    <t xml:space="preserve">Section 5337 State of Good Repair </t>
  </si>
  <si>
    <t>Total FY 2026 Rail Replacement Competitive Grants</t>
  </si>
  <si>
    <t>Reapportioned Funds for High Intensity Fixed Guideway Formula</t>
  </si>
  <si>
    <t>Total FY 2026 Available High Intensity Fixed Guideway Formula</t>
  </si>
  <si>
    <t>Total FY 2026 Available High Intensity Motorbus Formula</t>
  </si>
  <si>
    <t>Section 5337 State of Good Repair Rail Replacement Competitive Grants</t>
  </si>
  <si>
    <t>Section 5339 Buses and Bus Facilities Formula</t>
  </si>
  <si>
    <t>Reapportioned Funds (Bus Formula)</t>
  </si>
  <si>
    <t>Reapportioned Funds (State/Territory)</t>
  </si>
  <si>
    <t xml:space="preserve">Section 5339 Buses and Bus Facilities Competitive </t>
  </si>
  <si>
    <t>Less FY 2026 Low or No Emission</t>
  </si>
  <si>
    <t>Section 5339(c) Low or No Emission Grants (Competitive)</t>
  </si>
  <si>
    <t>Division J All Stations Accessibility Program</t>
  </si>
  <si>
    <t>Section 71102 Electric or Low-Emitting Ferry Program</t>
  </si>
  <si>
    <t>Section 71103 Ferry Service for Rural Communities</t>
  </si>
  <si>
    <t>Section 5309 Capital Investment Grants</t>
  </si>
  <si>
    <t>Total FY 2026 Authorized</t>
  </si>
  <si>
    <t>Washington Metropolitan Area Transit Authority (WMATA)</t>
  </si>
  <si>
    <t xml:space="preserve">Community Project Funding/Congressionally Directed Spending (Earmarks) </t>
  </si>
  <si>
    <t>FY 2026 Section 5310, 5337, 5339, 71102 &amp; 71103 Admin/Oversight Transfer</t>
  </si>
  <si>
    <t xml:space="preserve">FY 2022-2025 Section 71102 Unobligated Admin/Oversight </t>
  </si>
  <si>
    <t xml:space="preserve">FY 2022-2025 Section 71103 Unobligated Admin/Oversight </t>
  </si>
  <si>
    <t xml:space="preserve">TOTAL APPROPRIATION (Above Grant Programs) </t>
  </si>
  <si>
    <t xml:space="preserve">TOTAL APPORTIONMENT/ALLOCATION (Above Grant Programs) </t>
  </si>
  <si>
    <t>Public Safety in Transit Systems</t>
  </si>
  <si>
    <t xml:space="preserve">Less FY 2026 Admin/Oversight </t>
  </si>
  <si>
    <t>Updated 03/30/2026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</si>
</sst>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b/>
      <u/>
      <sz val="11"/>
      <name val="Times New Roman"/>
      <family val="1"/>
    </font>
    <font>
      <sz val="14"/>
      <color rgb="FF000000"/>
      <name val="Times New Roman"/>
      <family val="1"/>
    </font>
    <font>
      <sz val="11"/>
      <color rgb="FFFF0000"/>
      <name val="Times New Roman"/>
      <family val="1"/>
    </font>
    <font>
      <u/>
      <sz val="14"/>
      <name val="Times New Roman"/>
      <family val="1"/>
    </font>
    <font>
      <u/>
      <sz val="11"/>
      <color theme="1"/>
      <name val="Times New Roman"/>
      <family val="1"/>
    </font>
    <font>
      <u/>
      <sz val="1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679555650502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43" fontId="16" fillId="0" borderId="0" xfId="1" applyFont="1" applyFill="1" applyAlignment="1">
      <alignment vertical="top"/>
    </xf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43" fontId="7" fillId="0" borderId="20" xfId="1" applyFont="1" applyFill="1" applyBorder="1" applyAlignment="1" applyProtection="1">
      <alignment horizontal="center" vertical="top"/>
    </xf>
    <xf numFmtId="164" fontId="9" fillId="0" borderId="21" xfId="0" applyNumberFormat="1" applyFont="1" applyBorder="1" applyAlignment="1">
      <alignment vertical="top"/>
    </xf>
    <xf numFmtId="164" fontId="9" fillId="0" borderId="0" xfId="0" applyNumberFormat="1" applyFont="1" applyBorder="1" applyAlignment="1">
      <alignment vertical="top"/>
    </xf>
    <xf numFmtId="164" fontId="9" fillId="0" borderId="22" xfId="1" applyNumberFormat="1" applyFont="1" applyFill="1" applyBorder="1" applyAlignment="1" applyProtection="1">
      <alignment vertical="top"/>
    </xf>
    <xf numFmtId="164" fontId="9" fillId="0" borderId="17" xfId="1" applyNumberFormat="1" applyFont="1" applyFill="1" applyBorder="1" applyAlignment="1" applyProtection="1">
      <alignment vertical="top"/>
    </xf>
    <xf numFmtId="164" fontId="9" fillId="0" borderId="22" xfId="1" applyNumberFormat="1" applyFont="1" applyFill="1" applyBorder="1" applyAlignment="1" applyProtection="1">
      <alignment vertical="top"/>
      <protection locked="0"/>
    </xf>
    <xf numFmtId="164" fontId="10" fillId="0" borderId="21" xfId="0" applyNumberFormat="1" applyFont="1" applyBorder="1" applyAlignment="1">
      <alignment vertical="top"/>
    </xf>
    <xf numFmtId="164" fontId="11" fillId="0" borderId="0" xfId="0" applyNumberFormat="1" applyFont="1" applyBorder="1" applyAlignment="1">
      <alignment vertical="top"/>
    </xf>
    <xf numFmtId="164" fontId="5" fillId="0" borderId="21" xfId="0" applyNumberFormat="1" applyFont="1" applyBorder="1" applyAlignment="1">
      <alignment vertical="top"/>
    </xf>
    <xf numFmtId="164" fontId="11" fillId="0" borderId="21" xfId="0" applyNumberFormat="1" applyFont="1" applyBorder="1" applyAlignment="1">
      <alignment vertical="top"/>
    </xf>
    <xf numFmtId="164" fontId="12" fillId="0" borderId="22" xfId="1" applyNumberFormat="1" applyFont="1" applyFill="1" applyBorder="1" applyAlignment="1" applyProtection="1">
      <alignment vertical="top"/>
    </xf>
    <xf numFmtId="164" fontId="9" fillId="0" borderId="20" xfId="1" applyNumberFormat="1" applyFont="1" applyFill="1" applyBorder="1" applyAlignment="1" applyProtection="1">
      <alignment vertical="top"/>
    </xf>
    <xf numFmtId="164" fontId="13" fillId="0" borderId="22" xfId="1" applyNumberFormat="1" applyFont="1" applyFill="1" applyBorder="1" applyAlignment="1">
      <alignment vertical="top" wrapText="1"/>
    </xf>
    <xf numFmtId="164" fontId="9" fillId="0" borderId="24" xfId="1" applyNumberFormat="1" applyFont="1" applyFill="1" applyBorder="1" applyAlignment="1" applyProtection="1">
      <alignment vertical="top"/>
    </xf>
    <xf numFmtId="164" fontId="11" fillId="0" borderId="23" xfId="0" applyNumberFormat="1" applyFont="1" applyBorder="1" applyAlignment="1">
      <alignment vertical="top"/>
    </xf>
    <xf numFmtId="164" fontId="11" fillId="0" borderId="6" xfId="0" applyNumberFormat="1" applyFont="1" applyBorder="1" applyAlignment="1">
      <alignment vertical="top"/>
    </xf>
    <xf numFmtId="164" fontId="9" fillId="0" borderId="25" xfId="1" applyNumberFormat="1" applyFont="1" applyFill="1" applyBorder="1" applyAlignment="1" applyProtection="1">
      <alignment vertical="top"/>
    </xf>
    <xf numFmtId="164" fontId="11" fillId="0" borderId="5" xfId="0" applyNumberFormat="1" applyFont="1" applyBorder="1" applyAlignment="1">
      <alignment vertical="top"/>
    </xf>
    <xf numFmtId="164" fontId="9" fillId="0" borderId="26" xfId="1" applyNumberFormat="1" applyFont="1" applyFill="1" applyBorder="1" applyAlignment="1" applyProtection="1">
      <alignment vertical="top"/>
    </xf>
    <xf numFmtId="164" fontId="9" fillId="0" borderId="27" xfId="1" applyNumberFormat="1" applyFont="1" applyFill="1" applyBorder="1" applyAlignment="1" applyProtection="1">
      <alignment vertical="top"/>
    </xf>
    <xf numFmtId="164" fontId="10" fillId="0" borderId="23" xfId="0" applyNumberFormat="1" applyFont="1" applyBorder="1" applyAlignment="1">
      <alignment vertical="top"/>
    </xf>
    <xf numFmtId="164" fontId="12" fillId="0" borderId="27" xfId="1" applyNumberFormat="1" applyFont="1" applyFill="1" applyBorder="1" applyAlignment="1" applyProtection="1">
      <alignment vertical="top"/>
    </xf>
    <xf numFmtId="164" fontId="15" fillId="0" borderId="22" xfId="1" applyNumberFormat="1" applyFont="1" applyFill="1" applyBorder="1" applyAlignment="1" applyProtection="1">
      <alignment vertical="top"/>
    </xf>
    <xf numFmtId="164" fontId="12" fillId="0" borderId="22" xfId="1" applyNumberFormat="1" applyFont="1" applyFill="1" applyBorder="1" applyAlignment="1">
      <alignment vertical="top"/>
    </xf>
    <xf numFmtId="164" fontId="11" fillId="0" borderId="22" xfId="1" applyNumberFormat="1" applyFont="1" applyFill="1" applyBorder="1" applyAlignment="1" applyProtection="1">
      <alignment vertical="top"/>
    </xf>
    <xf numFmtId="164" fontId="11" fillId="0" borderId="22" xfId="1" applyNumberFormat="1" applyFont="1" applyFill="1" applyBorder="1" applyAlignment="1">
      <alignment vertical="top"/>
    </xf>
    <xf numFmtId="164" fontId="9" fillId="0" borderId="28" xfId="1" applyNumberFormat="1" applyFont="1" applyFill="1" applyBorder="1" applyAlignment="1" applyProtection="1">
      <alignment vertical="top"/>
    </xf>
    <xf numFmtId="164" fontId="5" fillId="0" borderId="0" xfId="0" applyNumberFormat="1" applyFont="1" applyBorder="1" applyAlignment="1">
      <alignment vertical="top" wrapText="1"/>
    </xf>
    <xf numFmtId="164" fontId="9" fillId="0" borderId="22" xfId="1" applyNumberFormat="1" applyFont="1" applyFill="1" applyBorder="1" applyAlignment="1">
      <alignment vertical="top"/>
    </xf>
    <xf numFmtId="164" fontId="9" fillId="0" borderId="29" xfId="1" applyNumberFormat="1" applyFont="1" applyFill="1" applyBorder="1" applyAlignment="1" applyProtection="1">
      <alignment vertical="top"/>
    </xf>
    <xf numFmtId="164" fontId="14" fillId="0" borderId="5" xfId="0" applyNumberFormat="1" applyFont="1" applyBorder="1" applyAlignment="1">
      <alignment vertical="top"/>
    </xf>
    <xf numFmtId="164" fontId="12" fillId="0" borderId="24" xfId="1" applyNumberFormat="1" applyFont="1" applyFill="1" applyBorder="1" applyAlignment="1" applyProtection="1">
      <alignment vertical="top"/>
    </xf>
    <xf numFmtId="164" fontId="9" fillId="0" borderId="30" xfId="1" applyNumberFormat="1" applyFont="1" applyFill="1" applyBorder="1" applyAlignment="1" applyProtection="1">
      <alignment vertical="top"/>
    </xf>
    <xf numFmtId="164" fontId="14" fillId="0" borderId="5" xfId="0" applyNumberFormat="1" applyFont="1" applyBorder="1" applyAlignment="1">
      <alignment vertical="top" wrapText="1"/>
    </xf>
    <xf numFmtId="164" fontId="16" fillId="0" borderId="31" xfId="1" applyNumberFormat="1" applyFont="1" applyFill="1" applyBorder="1" applyAlignment="1">
      <alignment vertical="top"/>
    </xf>
    <xf numFmtId="164" fontId="17" fillId="0" borderId="5" xfId="0" applyNumberFormat="1" applyFont="1" applyBorder="1" applyAlignment="1">
      <alignment vertical="top"/>
    </xf>
    <xf numFmtId="164" fontId="12" fillId="0" borderId="27" xfId="1" applyNumberFormat="1" applyFont="1" applyFill="1" applyBorder="1" applyAlignment="1">
      <alignment vertical="top"/>
    </xf>
    <xf numFmtId="164" fontId="11" fillId="0" borderId="7" xfId="0" applyNumberFormat="1" applyFont="1" applyBorder="1" applyAlignment="1">
      <alignment vertical="top"/>
    </xf>
    <xf numFmtId="164" fontId="9" fillId="0" borderId="23" xfId="0" applyNumberFormat="1" applyFont="1" applyBorder="1" applyAlignment="1">
      <alignment vertical="top"/>
    </xf>
    <xf numFmtId="164" fontId="9" fillId="0" borderId="5" xfId="0" applyNumberFormat="1" applyFont="1" applyBorder="1" applyAlignment="1">
      <alignment vertical="top"/>
    </xf>
    <xf numFmtId="164" fontId="8" fillId="0" borderId="23" xfId="0" applyNumberFormat="1" applyFont="1" applyBorder="1" applyAlignment="1">
      <alignment vertical="top"/>
    </xf>
    <xf numFmtId="164" fontId="18" fillId="0" borderId="5" xfId="0" applyNumberFormat="1" applyFont="1" applyBorder="1" applyAlignment="1">
      <alignment vertical="top"/>
    </xf>
    <xf numFmtId="164" fontId="11" fillId="0" borderId="32" xfId="0" applyNumberFormat="1" applyFont="1" applyBorder="1" applyAlignment="1">
      <alignment vertical="top"/>
    </xf>
    <xf numFmtId="164" fontId="11" fillId="0" borderId="8" xfId="0" applyNumberFormat="1" applyFont="1" applyBorder="1" applyAlignment="1">
      <alignment vertical="top"/>
    </xf>
    <xf numFmtId="164" fontId="2" fillId="0" borderId="33" xfId="1" applyNumberFormat="1" applyFont="1" applyFill="1" applyBorder="1" applyAlignment="1">
      <alignment vertical="top"/>
    </xf>
    <xf numFmtId="164" fontId="19" fillId="0" borderId="5" xfId="0" applyNumberFormat="1" applyFont="1" applyBorder="1" applyAlignment="1">
      <alignment vertical="top"/>
    </xf>
    <xf numFmtId="164" fontId="10" fillId="0" borderId="32" xfId="0" applyNumberFormat="1" applyFont="1" applyBorder="1" applyAlignment="1">
      <alignment vertical="top"/>
    </xf>
    <xf numFmtId="164" fontId="11" fillId="0" borderId="9" xfId="0" applyNumberFormat="1" applyFont="1" applyBorder="1" applyAlignment="1">
      <alignment vertical="top"/>
    </xf>
    <xf numFmtId="164" fontId="9" fillId="0" borderId="34" xfId="1" applyNumberFormat="1" applyFont="1" applyFill="1" applyBorder="1" applyAlignment="1">
      <alignment vertical="top"/>
    </xf>
    <xf numFmtId="164" fontId="11" fillId="0" borderId="10" xfId="0" applyNumberFormat="1" applyFont="1" applyBorder="1" applyAlignment="1">
      <alignment vertical="top"/>
    </xf>
    <xf numFmtId="164" fontId="11" fillId="0" borderId="35" xfId="0" applyNumberFormat="1" applyFont="1" applyBorder="1" applyAlignment="1">
      <alignment vertical="top"/>
    </xf>
    <xf numFmtId="164" fontId="11" fillId="0" borderId="36" xfId="1" applyNumberFormat="1" applyFont="1" applyFill="1" applyBorder="1" applyAlignment="1">
      <alignment vertical="top"/>
    </xf>
    <xf numFmtId="164" fontId="11" fillId="0" borderId="30" xfId="1" applyNumberFormat="1" applyFont="1" applyFill="1" applyBorder="1" applyAlignment="1">
      <alignment vertical="top"/>
    </xf>
    <xf numFmtId="164" fontId="11" fillId="0" borderId="37" xfId="1" applyNumberFormat="1" applyFont="1" applyFill="1" applyBorder="1" applyAlignment="1">
      <alignment vertical="top"/>
    </xf>
    <xf numFmtId="164" fontId="11" fillId="0" borderId="38" xfId="0" applyNumberFormat="1" applyFont="1" applyBorder="1" applyAlignment="1">
      <alignment vertical="top"/>
    </xf>
    <xf numFmtId="164" fontId="11" fillId="0" borderId="11" xfId="0" applyNumberFormat="1" applyFont="1" applyBorder="1" applyAlignment="1">
      <alignment vertical="top"/>
    </xf>
    <xf numFmtId="164" fontId="11" fillId="0" borderId="39" xfId="1" applyNumberFormat="1" applyFont="1" applyFill="1" applyBorder="1" applyAlignment="1">
      <alignment vertical="top"/>
    </xf>
    <xf numFmtId="164" fontId="20" fillId="0" borderId="40" xfId="0" applyNumberFormat="1" applyFont="1" applyBorder="1" applyAlignment="1">
      <alignment horizontal="center" vertical="top"/>
    </xf>
    <xf numFmtId="164" fontId="20" fillId="0" borderId="3" xfId="0" applyNumberFormat="1" applyFont="1" applyBorder="1" applyAlignment="1">
      <alignment horizontal="center" vertical="top"/>
    </xf>
    <xf numFmtId="164" fontId="7" fillId="0" borderId="41" xfId="1" applyNumberFormat="1" applyFont="1" applyFill="1" applyBorder="1" applyAlignment="1" applyProtection="1">
      <alignment horizontal="center" vertical="top"/>
    </xf>
    <xf numFmtId="164" fontId="11" fillId="0" borderId="17" xfId="1" applyNumberFormat="1" applyFont="1" applyFill="1" applyBorder="1" applyAlignment="1" applyProtection="1">
      <alignment vertical="top"/>
    </xf>
    <xf numFmtId="164" fontId="11" fillId="0" borderId="0" xfId="0" applyNumberFormat="1" applyFont="1" applyBorder="1" applyAlignment="1">
      <alignment vertical="top" wrapText="1"/>
    </xf>
    <xf numFmtId="164" fontId="3" fillId="0" borderId="18" xfId="0" applyNumberFormat="1" applyFont="1" applyBorder="1" applyAlignment="1">
      <alignment vertical="top"/>
    </xf>
    <xf numFmtId="164" fontId="3" fillId="0" borderId="19" xfId="0" applyNumberFormat="1" applyFont="1" applyBorder="1" applyAlignment="1">
      <alignment vertical="top"/>
    </xf>
    <xf numFmtId="164" fontId="20" fillId="0" borderId="20" xfId="1" applyNumberFormat="1" applyFont="1" applyFill="1" applyBorder="1" applyAlignment="1" applyProtection="1">
      <alignment vertical="top"/>
    </xf>
    <xf numFmtId="164" fontId="3" fillId="0" borderId="15" xfId="0" applyNumberFormat="1" applyFont="1" applyBorder="1" applyAlignment="1">
      <alignment horizontal="left" vertical="top"/>
    </xf>
    <xf numFmtId="164" fontId="3" fillId="0" borderId="16" xfId="0" applyNumberFormat="1" applyFont="1" applyBorder="1" applyAlignment="1">
      <alignment horizontal="left" vertical="top" wrapText="1"/>
    </xf>
    <xf numFmtId="164" fontId="20" fillId="0" borderId="17" xfId="1" applyNumberFormat="1" applyFont="1" applyFill="1" applyBorder="1" applyAlignment="1" applyProtection="1">
      <alignment vertical="top"/>
    </xf>
    <xf numFmtId="0" fontId="2" fillId="0" borderId="0" xfId="0" applyFont="1" applyBorder="1" applyAlignment="1">
      <alignment vertical="top"/>
    </xf>
    <xf numFmtId="0" fontId="8" fillId="0" borderId="2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164" fontId="8" fillId="0" borderId="21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left" vertical="top"/>
    </xf>
    <xf numFmtId="164" fontId="8" fillId="0" borderId="22" xfId="0" applyNumberFormat="1" applyFont="1" applyBorder="1" applyAlignment="1">
      <alignment horizontal="left" vertical="top"/>
    </xf>
    <xf numFmtId="164" fontId="10" fillId="0" borderId="21" xfId="0" applyNumberFormat="1" applyFont="1" applyBorder="1" applyAlignment="1">
      <alignment vertical="top" wrapText="1"/>
    </xf>
    <xf numFmtId="164" fontId="5" fillId="0" borderId="0" xfId="0" applyNumberFormat="1" applyFont="1" applyBorder="1" applyAlignment="1">
      <alignment vertical="top" wrapText="1"/>
    </xf>
    <xf numFmtId="164" fontId="10" fillId="0" borderId="23" xfId="0" applyNumberFormat="1" applyFont="1" applyBorder="1" applyAlignment="1">
      <alignment vertical="top"/>
    </xf>
    <xf numFmtId="164" fontId="14" fillId="0" borderId="5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D1F5-ED2F-433D-9067-A0F184AB401E}">
  <sheetPr>
    <pageSetUpPr fitToPage="1"/>
  </sheetPr>
  <dimension ref="A1:D194"/>
  <sheetViews>
    <sheetView tabSelected="1" zoomScaleNormal="100" workbookViewId="0">
      <selection activeCell="A6" sqref="A6:C6"/>
    </sheetView>
  </sheetViews>
  <sheetFormatPr defaultColWidth="9.28515625" defaultRowHeight="15" x14ac:dyDescent="0.25"/>
  <cols>
    <col min="1" max="1" width="48" style="1" customWidth="1"/>
    <col min="2" max="2" width="80" style="1" bestFit="1" customWidth="1"/>
    <col min="3" max="3" width="34.42578125" style="3" customWidth="1"/>
    <col min="4" max="16384" width="9.28515625" style="1"/>
  </cols>
  <sheetData>
    <row r="1" spans="1:4" ht="24" customHeight="1" x14ac:dyDescent="0.25">
      <c r="A1" s="85" t="s">
        <v>0</v>
      </c>
      <c r="B1" s="86"/>
      <c r="C1" s="86"/>
      <c r="D1" s="74"/>
    </row>
    <row r="2" spans="1:4" ht="24" customHeight="1" thickBot="1" x14ac:dyDescent="0.3">
      <c r="A2" s="87" t="s">
        <v>1</v>
      </c>
      <c r="B2" s="88"/>
      <c r="C2" s="88"/>
      <c r="D2" s="74"/>
    </row>
    <row r="3" spans="1:4" ht="30" customHeight="1" thickBot="1" x14ac:dyDescent="0.3">
      <c r="A3" s="89" t="s">
        <v>2</v>
      </c>
      <c r="B3" s="90"/>
      <c r="C3" s="91"/>
    </row>
    <row r="4" spans="1:4" s="2" customFormat="1" ht="54.75" customHeight="1" x14ac:dyDescent="0.25">
      <c r="A4" s="92" t="s">
        <v>3</v>
      </c>
      <c r="B4" s="93"/>
      <c r="C4" s="94"/>
    </row>
    <row r="5" spans="1:4" x14ac:dyDescent="0.25">
      <c r="A5" s="95" t="s">
        <v>70</v>
      </c>
      <c r="B5" s="96"/>
      <c r="C5" s="97"/>
    </row>
    <row r="6" spans="1:4" ht="24.75" customHeight="1" x14ac:dyDescent="0.25">
      <c r="A6" s="98" t="s">
        <v>4</v>
      </c>
      <c r="B6" s="99"/>
      <c r="C6" s="100"/>
    </row>
    <row r="7" spans="1:4" ht="18.75" x14ac:dyDescent="0.25">
      <c r="A7" s="4"/>
      <c r="B7" s="5"/>
      <c r="C7" s="6"/>
    </row>
    <row r="8" spans="1:4" ht="18.75" x14ac:dyDescent="0.25">
      <c r="A8" s="75" t="s">
        <v>5</v>
      </c>
      <c r="B8" s="76"/>
      <c r="C8" s="77"/>
    </row>
    <row r="9" spans="1:4" ht="18.75" x14ac:dyDescent="0.25">
      <c r="A9" s="7"/>
      <c r="B9" s="8" t="s">
        <v>6</v>
      </c>
      <c r="C9" s="9">
        <f>166622320-C10</f>
        <v>167459618</v>
      </c>
    </row>
    <row r="10" spans="1:4" ht="18.75" x14ac:dyDescent="0.25">
      <c r="A10" s="7"/>
      <c r="B10" s="8" t="s">
        <v>7</v>
      </c>
      <c r="C10" s="10">
        <f>-ROUND(1012208*0.8272,0)</f>
        <v>-837298</v>
      </c>
    </row>
    <row r="11" spans="1:4" ht="18.75" x14ac:dyDescent="0.25">
      <c r="A11" s="7"/>
      <c r="B11" s="8" t="s">
        <v>8</v>
      </c>
      <c r="C11" s="11">
        <f>SUM(C9:C10)</f>
        <v>166622320</v>
      </c>
    </row>
    <row r="12" spans="1:4" ht="18.75" x14ac:dyDescent="0.25">
      <c r="A12" s="7"/>
      <c r="B12" s="8"/>
      <c r="C12" s="9"/>
    </row>
    <row r="13" spans="1:4" ht="18.75" x14ac:dyDescent="0.25">
      <c r="A13" s="78" t="s">
        <v>9</v>
      </c>
      <c r="B13" s="79"/>
      <c r="C13" s="80"/>
    </row>
    <row r="14" spans="1:4" ht="18.75" x14ac:dyDescent="0.25">
      <c r="A14" s="7"/>
      <c r="B14" s="8" t="s">
        <v>6</v>
      </c>
      <c r="C14" s="9">
        <f>34806984-C15</f>
        <v>34981894</v>
      </c>
    </row>
    <row r="15" spans="1:4" ht="18.75" x14ac:dyDescent="0.25">
      <c r="A15" s="7"/>
      <c r="B15" s="8" t="s">
        <v>10</v>
      </c>
      <c r="C15" s="9">
        <f>-ROUND(1012208*0.1728,0)</f>
        <v>-174910</v>
      </c>
    </row>
    <row r="16" spans="1:4" ht="18.75" x14ac:dyDescent="0.25">
      <c r="A16" s="7"/>
      <c r="B16" s="8" t="s">
        <v>11</v>
      </c>
      <c r="C16" s="10">
        <v>121512</v>
      </c>
    </row>
    <row r="17" spans="1:3" ht="18.75" x14ac:dyDescent="0.25">
      <c r="A17" s="7"/>
      <c r="B17" s="8" t="s">
        <v>8</v>
      </c>
      <c r="C17" s="9">
        <f>SUM(C14:C16)</f>
        <v>34928496</v>
      </c>
    </row>
    <row r="18" spans="1:3" ht="18.75" x14ac:dyDescent="0.25">
      <c r="A18" s="7"/>
      <c r="B18" s="8"/>
      <c r="C18" s="9"/>
    </row>
    <row r="19" spans="1:3" ht="18.75" x14ac:dyDescent="0.25">
      <c r="A19" s="12" t="s">
        <v>12</v>
      </c>
      <c r="B19" s="13"/>
      <c r="C19" s="9"/>
    </row>
    <row r="20" spans="1:3" ht="18.75" x14ac:dyDescent="0.25">
      <c r="A20" s="14"/>
      <c r="B20" s="13" t="s">
        <v>6</v>
      </c>
      <c r="C20" s="10">
        <v>14425121</v>
      </c>
    </row>
    <row r="21" spans="1:3" ht="18.75" x14ac:dyDescent="0.25">
      <c r="A21" s="14"/>
      <c r="B21" s="13" t="s">
        <v>8</v>
      </c>
      <c r="C21" s="9">
        <f>C20</f>
        <v>14425121</v>
      </c>
    </row>
    <row r="22" spans="1:3" ht="18.75" x14ac:dyDescent="0.25">
      <c r="A22" s="15"/>
      <c r="B22" s="13"/>
      <c r="C22" s="9"/>
    </row>
    <row r="23" spans="1:3" ht="18.75" x14ac:dyDescent="0.25">
      <c r="A23" s="12" t="s">
        <v>13</v>
      </c>
      <c r="B23" s="13"/>
      <c r="C23" s="16"/>
    </row>
    <row r="24" spans="1:3" ht="18.75" x14ac:dyDescent="0.25">
      <c r="A24" s="15"/>
      <c r="B24" s="13" t="s">
        <v>6</v>
      </c>
      <c r="C24" s="9">
        <v>7025844743</v>
      </c>
    </row>
    <row r="25" spans="1:3" ht="18.75" x14ac:dyDescent="0.25">
      <c r="A25" s="15"/>
      <c r="B25" s="13" t="s">
        <v>10</v>
      </c>
      <c r="C25" s="9">
        <f>-ROUND($C$24*0.0075,0)</f>
        <v>-52693836</v>
      </c>
    </row>
    <row r="26" spans="1:3" ht="18.75" x14ac:dyDescent="0.25">
      <c r="A26" s="15"/>
      <c r="B26" s="13" t="s">
        <v>14</v>
      </c>
      <c r="C26" s="9">
        <f>-ROUND($C$24*0.0075,0)</f>
        <v>-52693836</v>
      </c>
    </row>
    <row r="27" spans="1:3" ht="18.75" x14ac:dyDescent="0.25">
      <c r="A27" s="15"/>
      <c r="B27" s="13" t="s">
        <v>15</v>
      </c>
      <c r="C27" s="9">
        <f>-30000000</f>
        <v>-30000000</v>
      </c>
    </row>
    <row r="28" spans="1:3" ht="18.75" x14ac:dyDescent="0.25">
      <c r="A28" s="15"/>
      <c r="B28" s="13" t="s">
        <v>16</v>
      </c>
      <c r="C28" s="9">
        <v>381854274</v>
      </c>
    </row>
    <row r="29" spans="1:3" ht="18.75" x14ac:dyDescent="0.25">
      <c r="A29" s="15"/>
      <c r="B29" s="13" t="s">
        <v>17</v>
      </c>
      <c r="C29" s="9">
        <f>ROUND(430601628*0.716487,0)</f>
        <v>308520469</v>
      </c>
    </row>
    <row r="30" spans="1:3" ht="18.75" x14ac:dyDescent="0.25">
      <c r="A30" s="15"/>
      <c r="B30" s="13" t="s">
        <v>11</v>
      </c>
      <c r="C30" s="10">
        <v>7682374</v>
      </c>
    </row>
    <row r="31" spans="1:3" ht="18.75" x14ac:dyDescent="0.25">
      <c r="A31" s="15"/>
      <c r="B31" s="13" t="s">
        <v>8</v>
      </c>
      <c r="C31" s="9">
        <f>SUM(C24:C30)</f>
        <v>7588514188</v>
      </c>
    </row>
    <row r="32" spans="1:3" ht="18.75" x14ac:dyDescent="0.25">
      <c r="A32" s="15"/>
      <c r="B32" s="13"/>
      <c r="C32" s="9"/>
    </row>
    <row r="33" spans="1:3" ht="18.75" x14ac:dyDescent="0.25">
      <c r="A33" s="12" t="s">
        <v>18</v>
      </c>
      <c r="B33" s="13"/>
      <c r="C33" s="9"/>
    </row>
    <row r="34" spans="1:3" ht="18.75" x14ac:dyDescent="0.25">
      <c r="A34" s="15"/>
      <c r="B34" s="13" t="s">
        <v>19</v>
      </c>
      <c r="C34" s="9">
        <v>30000000</v>
      </c>
    </row>
    <row r="35" spans="1:3" ht="18.75" x14ac:dyDescent="0.25">
      <c r="A35" s="15"/>
      <c r="B35" s="13" t="s">
        <v>20</v>
      </c>
      <c r="C35" s="10">
        <v>25000000</v>
      </c>
    </row>
    <row r="36" spans="1:3" ht="18.75" x14ac:dyDescent="0.25">
      <c r="A36" s="15"/>
      <c r="B36" s="13" t="s">
        <v>8</v>
      </c>
      <c r="C36" s="9">
        <f>SUM(C34:C35)</f>
        <v>55000000</v>
      </c>
    </row>
    <row r="37" spans="1:3" ht="18.75" x14ac:dyDescent="0.25">
      <c r="A37" s="15"/>
      <c r="B37" s="13"/>
      <c r="C37" s="9"/>
    </row>
    <row r="38" spans="1:3" ht="18.75" x14ac:dyDescent="0.25">
      <c r="A38" s="12" t="s">
        <v>21</v>
      </c>
      <c r="B38" s="13"/>
      <c r="C38" s="9"/>
    </row>
    <row r="39" spans="1:3" ht="18.75" x14ac:dyDescent="0.25">
      <c r="A39" s="15"/>
      <c r="B39" s="13" t="s">
        <v>6</v>
      </c>
      <c r="C39" s="9">
        <f>ROUND($C$24*0.0075,0)</f>
        <v>52693836</v>
      </c>
    </row>
    <row r="40" spans="1:3" ht="18.75" x14ac:dyDescent="0.25">
      <c r="A40" s="15"/>
      <c r="B40" s="13" t="s">
        <v>11</v>
      </c>
      <c r="C40" s="9">
        <v>3775563</v>
      </c>
    </row>
    <row r="41" spans="1:3" ht="18.75" x14ac:dyDescent="0.25">
      <c r="A41" s="15"/>
      <c r="B41" s="13" t="s">
        <v>8</v>
      </c>
      <c r="C41" s="17">
        <f>SUM(C39:C40)</f>
        <v>56469399</v>
      </c>
    </row>
    <row r="42" spans="1:3" ht="18.75" x14ac:dyDescent="0.25">
      <c r="A42" s="15"/>
      <c r="B42" s="13"/>
      <c r="C42" s="9"/>
    </row>
    <row r="43" spans="1:3" ht="18" customHeight="1" x14ac:dyDescent="0.25">
      <c r="A43" s="81" t="s">
        <v>22</v>
      </c>
      <c r="B43" s="82"/>
      <c r="C43" s="18"/>
    </row>
    <row r="44" spans="1:3" ht="18.75" x14ac:dyDescent="0.25">
      <c r="A44" s="15"/>
      <c r="B44" s="13" t="s">
        <v>6</v>
      </c>
      <c r="C44" s="9">
        <f>407023583+50000000-995000</f>
        <v>456028583</v>
      </c>
    </row>
    <row r="45" spans="1:3" ht="18.75" x14ac:dyDescent="0.25">
      <c r="A45" s="15"/>
      <c r="B45" s="13" t="s">
        <v>23</v>
      </c>
      <c r="C45" s="9">
        <f>-2035118</f>
        <v>-2035118</v>
      </c>
    </row>
    <row r="46" spans="1:3" ht="18.75" x14ac:dyDescent="0.25">
      <c r="A46" s="15"/>
      <c r="B46" s="13" t="s">
        <v>24</v>
      </c>
      <c r="C46" s="9">
        <v>-5000</v>
      </c>
    </row>
    <row r="47" spans="1:3" ht="18.75" x14ac:dyDescent="0.25">
      <c r="A47" s="15"/>
      <c r="B47" s="13" t="s">
        <v>25</v>
      </c>
      <c r="C47" s="9">
        <v>11683938</v>
      </c>
    </row>
    <row r="48" spans="1:3" ht="18.75" x14ac:dyDescent="0.25">
      <c r="A48" s="15"/>
      <c r="B48" s="13" t="s">
        <v>26</v>
      </c>
      <c r="C48" s="9">
        <v>1930952</v>
      </c>
    </row>
    <row r="49" spans="1:3" ht="18.75" x14ac:dyDescent="0.25">
      <c r="A49" s="15"/>
      <c r="B49" s="13" t="s">
        <v>27</v>
      </c>
      <c r="C49" s="9">
        <v>2513854</v>
      </c>
    </row>
    <row r="50" spans="1:3" ht="18.75" x14ac:dyDescent="0.25">
      <c r="A50" s="15"/>
      <c r="B50" s="13" t="s">
        <v>8</v>
      </c>
      <c r="C50" s="17">
        <f>SUM(C44:C49)</f>
        <v>470117209</v>
      </c>
    </row>
    <row r="51" spans="1:3" ht="18.75" x14ac:dyDescent="0.25">
      <c r="A51" s="15"/>
      <c r="B51" s="13"/>
      <c r="C51" s="9"/>
    </row>
    <row r="52" spans="1:3" ht="18.75" x14ac:dyDescent="0.25">
      <c r="A52" s="83" t="s">
        <v>28</v>
      </c>
      <c r="B52" s="84"/>
      <c r="C52" s="19"/>
    </row>
    <row r="53" spans="1:3" ht="18.75" x14ac:dyDescent="0.25">
      <c r="A53" s="20"/>
      <c r="B53" s="21" t="s">
        <v>6</v>
      </c>
      <c r="C53" s="22">
        <v>5048792</v>
      </c>
    </row>
    <row r="54" spans="1:3" ht="18.75" x14ac:dyDescent="0.25">
      <c r="A54" s="20"/>
      <c r="B54" s="23" t="s">
        <v>8</v>
      </c>
      <c r="C54" s="24">
        <f>SUM(C53:C53)</f>
        <v>5048792</v>
      </c>
    </row>
    <row r="55" spans="1:3" ht="18.75" x14ac:dyDescent="0.25">
      <c r="A55" s="20"/>
      <c r="B55" s="23"/>
      <c r="C55" s="25"/>
    </row>
    <row r="56" spans="1:3" ht="18.75" x14ac:dyDescent="0.25">
      <c r="A56" s="26" t="s">
        <v>29</v>
      </c>
      <c r="B56" s="23"/>
      <c r="C56" s="27"/>
    </row>
    <row r="57" spans="1:3" ht="18.75" x14ac:dyDescent="0.25">
      <c r="A57" s="15"/>
      <c r="B57" s="13" t="s">
        <v>6</v>
      </c>
      <c r="C57" s="9">
        <f>858877631+4798199</f>
        <v>863675830</v>
      </c>
    </row>
    <row r="58" spans="1:3" ht="18.75" x14ac:dyDescent="0.25">
      <c r="A58" s="15"/>
      <c r="B58" s="13" t="s">
        <v>7</v>
      </c>
      <c r="C58" s="9">
        <v>-4798199</v>
      </c>
    </row>
    <row r="59" spans="1:3" ht="18.75" x14ac:dyDescent="0.25">
      <c r="A59" s="15"/>
      <c r="B59" s="13" t="s">
        <v>17</v>
      </c>
      <c r="C59" s="28">
        <f>ROUND(430601628*0.283513,0)</f>
        <v>122081159</v>
      </c>
    </row>
    <row r="60" spans="1:3" ht="18.75" x14ac:dyDescent="0.25">
      <c r="A60" s="15"/>
      <c r="B60" s="13" t="s">
        <v>11</v>
      </c>
      <c r="C60" s="9">
        <v>1008794</v>
      </c>
    </row>
    <row r="61" spans="1:3" ht="18.75" x14ac:dyDescent="0.25">
      <c r="A61" s="15"/>
      <c r="B61" s="13" t="s">
        <v>8</v>
      </c>
      <c r="C61" s="17">
        <f>SUM(C57:C60)</f>
        <v>981967584</v>
      </c>
    </row>
    <row r="62" spans="1:3" ht="18.75" x14ac:dyDescent="0.25">
      <c r="A62" s="15"/>
      <c r="B62" s="13"/>
      <c r="C62" s="16"/>
    </row>
    <row r="63" spans="1:3" ht="18.75" x14ac:dyDescent="0.25">
      <c r="A63" s="12" t="s">
        <v>30</v>
      </c>
      <c r="B63" s="13"/>
      <c r="C63" s="29"/>
    </row>
    <row r="64" spans="1:3" ht="18.75" x14ac:dyDescent="0.25">
      <c r="A64" s="15"/>
      <c r="B64" s="13" t="s">
        <v>6</v>
      </c>
      <c r="C64" s="30">
        <f>16313877+2878919</f>
        <v>19192796</v>
      </c>
    </row>
    <row r="65" spans="1:3" ht="18.75" x14ac:dyDescent="0.25">
      <c r="A65" s="15"/>
      <c r="B65" s="13" t="s">
        <v>31</v>
      </c>
      <c r="C65" s="31">
        <f>-ROUND(19192796*0.15,0)</f>
        <v>-2878919</v>
      </c>
    </row>
    <row r="66" spans="1:3" ht="18.75" x14ac:dyDescent="0.25">
      <c r="A66" s="15"/>
      <c r="B66" s="13" t="s">
        <v>32</v>
      </c>
      <c r="C66" s="31"/>
    </row>
    <row r="67" spans="1:3" ht="18.75" x14ac:dyDescent="0.25">
      <c r="A67" s="15"/>
      <c r="B67" s="13" t="s">
        <v>11</v>
      </c>
      <c r="C67" s="31">
        <v>123789</v>
      </c>
    </row>
    <row r="68" spans="1:3" ht="18.75" x14ac:dyDescent="0.25">
      <c r="A68" s="15"/>
      <c r="B68" s="13" t="s">
        <v>8</v>
      </c>
      <c r="C68" s="32">
        <f>SUM(C64:C67)</f>
        <v>16437666</v>
      </c>
    </row>
    <row r="69" spans="1:3" ht="18.75" x14ac:dyDescent="0.25">
      <c r="A69" s="15"/>
      <c r="B69" s="13"/>
      <c r="C69" s="16"/>
    </row>
    <row r="70" spans="1:3" ht="18.75" x14ac:dyDescent="0.25">
      <c r="A70" s="12" t="s">
        <v>33</v>
      </c>
      <c r="B70" s="33"/>
      <c r="C70" s="29"/>
    </row>
    <row r="71" spans="1:3" ht="18.75" x14ac:dyDescent="0.25">
      <c r="A71" s="15"/>
      <c r="B71" s="13" t="s">
        <v>6</v>
      </c>
      <c r="C71" s="9">
        <v>38385592</v>
      </c>
    </row>
    <row r="72" spans="1:3" ht="18.75" x14ac:dyDescent="0.25">
      <c r="A72" s="15"/>
      <c r="B72" s="13" t="s">
        <v>11</v>
      </c>
      <c r="C72" s="9">
        <v>1823128</v>
      </c>
    </row>
    <row r="73" spans="1:3" ht="18.75" x14ac:dyDescent="0.25">
      <c r="A73" s="15"/>
      <c r="B73" s="13" t="s">
        <v>8</v>
      </c>
      <c r="C73" s="17">
        <f>SUM(C71:C72)</f>
        <v>40208720</v>
      </c>
    </row>
    <row r="74" spans="1:3" ht="18.75" x14ac:dyDescent="0.25">
      <c r="A74" s="15"/>
      <c r="B74" s="13"/>
      <c r="C74" s="9"/>
    </row>
    <row r="75" spans="1:3" ht="18.75" x14ac:dyDescent="0.25">
      <c r="A75" s="12" t="s">
        <v>34</v>
      </c>
      <c r="B75" s="33"/>
      <c r="C75" s="9"/>
    </row>
    <row r="76" spans="1:3" ht="18.75" x14ac:dyDescent="0.25">
      <c r="A76" s="15"/>
      <c r="B76" s="13" t="s">
        <v>6</v>
      </c>
      <c r="C76" s="10">
        <v>9596398</v>
      </c>
    </row>
    <row r="77" spans="1:3" ht="18.75" x14ac:dyDescent="0.25">
      <c r="A77" s="15"/>
      <c r="B77" s="13" t="s">
        <v>8</v>
      </c>
      <c r="C77" s="34">
        <f>SUM(C76:C76)</f>
        <v>9596398</v>
      </c>
    </row>
    <row r="78" spans="1:3" ht="18.75" x14ac:dyDescent="0.25">
      <c r="A78" s="15"/>
      <c r="B78" s="13"/>
      <c r="C78" s="9"/>
    </row>
    <row r="79" spans="1:3" ht="18.75" x14ac:dyDescent="0.25">
      <c r="A79" s="12" t="s">
        <v>35</v>
      </c>
      <c r="B79" s="33"/>
      <c r="C79" s="9"/>
    </row>
    <row r="80" spans="1:3" ht="18.75" x14ac:dyDescent="0.25">
      <c r="A80" s="15"/>
      <c r="B80" s="13" t="s">
        <v>6</v>
      </c>
      <c r="C80" s="9">
        <v>28789194</v>
      </c>
    </row>
    <row r="81" spans="1:3" ht="18.75" x14ac:dyDescent="0.25">
      <c r="A81" s="15"/>
      <c r="B81" s="13" t="s">
        <v>36</v>
      </c>
      <c r="C81" s="35">
        <f>SUM(C80:C80)</f>
        <v>28789194</v>
      </c>
    </row>
    <row r="82" spans="1:3" ht="18.75" x14ac:dyDescent="0.25">
      <c r="A82" s="20"/>
      <c r="B82" s="23"/>
      <c r="C82" s="25"/>
    </row>
    <row r="83" spans="1:3" ht="18.75" x14ac:dyDescent="0.25">
      <c r="A83" s="26" t="s">
        <v>37</v>
      </c>
      <c r="B83" s="36"/>
      <c r="C83" s="37"/>
    </row>
    <row r="84" spans="1:3" ht="18.75" x14ac:dyDescent="0.25">
      <c r="A84" s="20"/>
      <c r="B84" s="23" t="s">
        <v>6</v>
      </c>
      <c r="C84" s="9">
        <v>27695935</v>
      </c>
    </row>
    <row r="85" spans="1:3" ht="18.75" x14ac:dyDescent="0.25">
      <c r="A85" s="20"/>
      <c r="B85" s="13" t="s">
        <v>20</v>
      </c>
      <c r="C85" s="38">
        <v>2000000</v>
      </c>
    </row>
    <row r="86" spans="1:3" ht="18.75" x14ac:dyDescent="0.25">
      <c r="A86" s="20"/>
      <c r="B86" s="23" t="s">
        <v>36</v>
      </c>
      <c r="C86" s="24">
        <f>SUM(C84:C85)</f>
        <v>29695935</v>
      </c>
    </row>
    <row r="87" spans="1:3" ht="18.75" x14ac:dyDescent="0.25">
      <c r="A87" s="20"/>
      <c r="B87" s="23"/>
      <c r="C87" s="24"/>
    </row>
    <row r="88" spans="1:3" ht="18.75" x14ac:dyDescent="0.25">
      <c r="A88" s="26" t="s">
        <v>38</v>
      </c>
      <c r="B88" s="39"/>
      <c r="C88" s="25"/>
    </row>
    <row r="89" spans="1:3" ht="18.75" x14ac:dyDescent="0.25">
      <c r="A89" s="26"/>
      <c r="B89" s="13" t="s">
        <v>6</v>
      </c>
      <c r="C89" s="22">
        <v>5481842</v>
      </c>
    </row>
    <row r="90" spans="1:3" ht="18.75" x14ac:dyDescent="0.25">
      <c r="A90" s="20"/>
      <c r="B90" s="13" t="s">
        <v>36</v>
      </c>
      <c r="C90" s="24">
        <f>SUM(C89:C89)</f>
        <v>5481842</v>
      </c>
    </row>
    <row r="91" spans="1:3" ht="18.75" x14ac:dyDescent="0.25">
      <c r="A91" s="20"/>
      <c r="B91" s="23"/>
      <c r="C91" s="25"/>
    </row>
    <row r="92" spans="1:3" ht="18.75" x14ac:dyDescent="0.25">
      <c r="A92" s="26" t="s">
        <v>39</v>
      </c>
      <c r="B92" s="39"/>
      <c r="C92" s="25"/>
    </row>
    <row r="93" spans="1:3" ht="18.75" x14ac:dyDescent="0.25">
      <c r="A93" s="26"/>
      <c r="B93" s="13" t="s">
        <v>6</v>
      </c>
      <c r="C93" s="22">
        <v>7212560</v>
      </c>
    </row>
    <row r="94" spans="1:3" ht="18.75" x14ac:dyDescent="0.25">
      <c r="A94" s="20"/>
      <c r="B94" s="13" t="s">
        <v>36</v>
      </c>
      <c r="C94" s="24">
        <f>SUM(C93:C93)</f>
        <v>7212560</v>
      </c>
    </row>
    <row r="95" spans="1:3" ht="18.75" x14ac:dyDescent="0.25">
      <c r="A95" s="20"/>
      <c r="B95" s="23"/>
      <c r="C95" s="25"/>
    </row>
    <row r="96" spans="1:3" ht="18.75" x14ac:dyDescent="0.25">
      <c r="A96" s="26" t="s">
        <v>40</v>
      </c>
      <c r="B96" s="36"/>
      <c r="C96" s="19"/>
    </row>
    <row r="97" spans="1:3" ht="18.75" x14ac:dyDescent="0.25">
      <c r="A97" s="20"/>
      <c r="B97" s="23" t="s">
        <v>6</v>
      </c>
      <c r="C97" s="9">
        <f>5770048+7212560</f>
        <v>12982608</v>
      </c>
    </row>
    <row r="98" spans="1:3" ht="18.75" x14ac:dyDescent="0.25">
      <c r="A98" s="20"/>
      <c r="B98" s="23" t="s">
        <v>41</v>
      </c>
      <c r="C98" s="9">
        <v>-7212560</v>
      </c>
    </row>
    <row r="99" spans="1:3" ht="18.75" x14ac:dyDescent="0.25">
      <c r="A99" s="20"/>
      <c r="B99" s="13" t="s">
        <v>42</v>
      </c>
      <c r="C99" s="38">
        <v>7500000</v>
      </c>
    </row>
    <row r="100" spans="1:3" ht="18.75" x14ac:dyDescent="0.25">
      <c r="A100" s="20"/>
      <c r="B100" s="23" t="s">
        <v>36</v>
      </c>
      <c r="C100" s="24">
        <f>SUM(C97:C99)</f>
        <v>13270048</v>
      </c>
    </row>
    <row r="101" spans="1:3" ht="18.75" x14ac:dyDescent="0.25">
      <c r="A101" s="20"/>
      <c r="B101" s="23"/>
      <c r="C101" s="25"/>
    </row>
    <row r="102" spans="1:3" ht="18.75" x14ac:dyDescent="0.25">
      <c r="A102" s="12" t="s">
        <v>43</v>
      </c>
      <c r="B102" s="33"/>
      <c r="C102" s="40"/>
    </row>
    <row r="103" spans="1:3" ht="18.75" x14ac:dyDescent="0.25">
      <c r="A103" s="20"/>
      <c r="B103" s="13" t="s">
        <v>19</v>
      </c>
      <c r="C103" s="9">
        <v>5481842</v>
      </c>
    </row>
    <row r="104" spans="1:3" ht="18.75" x14ac:dyDescent="0.25">
      <c r="A104" s="20"/>
      <c r="B104" s="13" t="s">
        <v>20</v>
      </c>
      <c r="C104" s="38">
        <v>1500000</v>
      </c>
    </row>
    <row r="105" spans="1:3" ht="18.75" x14ac:dyDescent="0.25">
      <c r="A105" s="20"/>
      <c r="B105" s="23" t="s">
        <v>36</v>
      </c>
      <c r="C105" s="24">
        <f>SUM(C103:C104)</f>
        <v>6981842</v>
      </c>
    </row>
    <row r="106" spans="1:3" ht="18.75" x14ac:dyDescent="0.25">
      <c r="A106" s="20"/>
      <c r="B106" s="23"/>
      <c r="C106" s="25"/>
    </row>
    <row r="107" spans="1:3" ht="18.75" x14ac:dyDescent="0.25">
      <c r="A107" s="26" t="s">
        <v>44</v>
      </c>
      <c r="B107" s="41"/>
      <c r="C107" s="42"/>
    </row>
    <row r="108" spans="1:3" ht="18.75" x14ac:dyDescent="0.25">
      <c r="A108" s="12"/>
      <c r="B108" s="13" t="s">
        <v>6</v>
      </c>
      <c r="C108" s="9">
        <f>38504967+3511991701+300000000+950000000-18905000</f>
        <v>4781591668</v>
      </c>
    </row>
    <row r="109" spans="1:3" ht="18.75" x14ac:dyDescent="0.25">
      <c r="A109" s="15"/>
      <c r="B109" s="13" t="s">
        <v>23</v>
      </c>
      <c r="C109" s="9">
        <f>-38504967</f>
        <v>-38504967</v>
      </c>
    </row>
    <row r="110" spans="1:3" ht="18.75" x14ac:dyDescent="0.25">
      <c r="A110" s="15"/>
      <c r="B110" s="13" t="s">
        <v>24</v>
      </c>
      <c r="C110" s="9">
        <v>-95000</v>
      </c>
    </row>
    <row r="111" spans="1:3" ht="18.75" x14ac:dyDescent="0.25">
      <c r="A111" s="15"/>
      <c r="B111" s="13" t="s">
        <v>45</v>
      </c>
      <c r="C111" s="9">
        <v>-300000000</v>
      </c>
    </row>
    <row r="112" spans="1:3" ht="18.75" x14ac:dyDescent="0.25">
      <c r="A112" s="15"/>
      <c r="B112" s="13" t="s">
        <v>46</v>
      </c>
      <c r="C112" s="9">
        <v>792839</v>
      </c>
    </row>
    <row r="113" spans="1:3" ht="18.75" x14ac:dyDescent="0.25">
      <c r="A113" s="15"/>
      <c r="B113" s="13" t="s">
        <v>8</v>
      </c>
      <c r="C113" s="10">
        <f>SUM(C108:C112)</f>
        <v>4443784540</v>
      </c>
    </row>
    <row r="114" spans="1:3" ht="18.75" x14ac:dyDescent="0.25">
      <c r="A114" s="15"/>
      <c r="B114" s="13" t="s">
        <v>47</v>
      </c>
      <c r="C114" s="9">
        <f>3411899938+904466500+C112</f>
        <v>4317159277</v>
      </c>
    </row>
    <row r="115" spans="1:3" ht="18.75" x14ac:dyDescent="0.25">
      <c r="A115" s="15"/>
      <c r="B115" s="13" t="s">
        <v>48</v>
      </c>
      <c r="C115" s="9">
        <f>100091763+26533500</f>
        <v>126625263</v>
      </c>
    </row>
    <row r="116" spans="1:3" ht="18.75" x14ac:dyDescent="0.25">
      <c r="A116" s="15"/>
      <c r="B116" s="13"/>
      <c r="C116" s="9"/>
    </row>
    <row r="117" spans="1:3" ht="18.75" x14ac:dyDescent="0.25">
      <c r="A117" s="26" t="s">
        <v>49</v>
      </c>
      <c r="B117" s="13"/>
      <c r="C117" s="9"/>
    </row>
    <row r="118" spans="1:3" ht="18.75" x14ac:dyDescent="0.25">
      <c r="A118" s="15"/>
      <c r="B118" s="23" t="s">
        <v>6</v>
      </c>
      <c r="C118" s="22">
        <v>300000000</v>
      </c>
    </row>
    <row r="119" spans="1:3" ht="18.75" x14ac:dyDescent="0.25">
      <c r="A119" s="15"/>
      <c r="B119" s="23" t="s">
        <v>36</v>
      </c>
      <c r="C119" s="24">
        <f>SUM(C118:C118)</f>
        <v>300000000</v>
      </c>
    </row>
    <row r="120" spans="1:3" ht="18.75" x14ac:dyDescent="0.25">
      <c r="A120" s="15"/>
      <c r="B120" s="13"/>
      <c r="C120" s="9"/>
    </row>
    <row r="121" spans="1:3" ht="18.75" x14ac:dyDescent="0.25">
      <c r="A121" s="12" t="s">
        <v>50</v>
      </c>
      <c r="B121" s="13"/>
      <c r="C121" s="16"/>
    </row>
    <row r="122" spans="1:3" ht="18.75" x14ac:dyDescent="0.25">
      <c r="A122" s="15"/>
      <c r="B122" s="13" t="s">
        <v>6</v>
      </c>
      <c r="C122" s="9">
        <f>657231976+8644180</f>
        <v>665876156</v>
      </c>
    </row>
    <row r="123" spans="1:3" ht="18.75" x14ac:dyDescent="0.25">
      <c r="A123" s="15"/>
      <c r="B123" s="13" t="s">
        <v>7</v>
      </c>
      <c r="C123" s="9">
        <f>-ROUND(C122*0.0075,0)</f>
        <v>-4994071</v>
      </c>
    </row>
    <row r="124" spans="1:3" ht="18.75" x14ac:dyDescent="0.25">
      <c r="A124" s="15"/>
      <c r="B124" s="13" t="s">
        <v>51</v>
      </c>
      <c r="C124" s="9">
        <v>2396772</v>
      </c>
    </row>
    <row r="125" spans="1:3" ht="18.75" x14ac:dyDescent="0.25">
      <c r="A125" s="15"/>
      <c r="B125" s="13" t="s">
        <v>52</v>
      </c>
      <c r="C125" s="22">
        <v>1180633</v>
      </c>
    </row>
    <row r="126" spans="1:3" ht="18.75" x14ac:dyDescent="0.25">
      <c r="A126" s="15"/>
      <c r="B126" s="43" t="s">
        <v>8</v>
      </c>
      <c r="C126" s="9">
        <f>SUM(C122:C125)</f>
        <v>664459490</v>
      </c>
    </row>
    <row r="127" spans="1:3" ht="18.75" x14ac:dyDescent="0.25">
      <c r="A127" s="44"/>
      <c r="B127" s="45"/>
      <c r="C127" s="27"/>
    </row>
    <row r="128" spans="1:3" ht="18.75" x14ac:dyDescent="0.25">
      <c r="A128" s="46" t="s">
        <v>53</v>
      </c>
      <c r="B128" s="47"/>
      <c r="C128" s="37"/>
    </row>
    <row r="129" spans="1:3" ht="18.75" x14ac:dyDescent="0.25">
      <c r="A129" s="46"/>
      <c r="B129" s="23" t="s">
        <v>6</v>
      </c>
      <c r="C129" s="9">
        <f>408223797+78457427</f>
        <v>486681224</v>
      </c>
    </row>
    <row r="130" spans="1:3" ht="18.75" x14ac:dyDescent="0.25">
      <c r="A130" s="46"/>
      <c r="B130" s="13" t="s">
        <v>7</v>
      </c>
      <c r="C130" s="9">
        <f>-ROUND($C$129*0.0075,0)</f>
        <v>-3650109</v>
      </c>
    </row>
    <row r="131" spans="1:3" ht="18.75" x14ac:dyDescent="0.25">
      <c r="A131" s="46"/>
      <c r="B131" s="13" t="s">
        <v>54</v>
      </c>
      <c r="C131" s="9">
        <v>-78457427</v>
      </c>
    </row>
    <row r="132" spans="1:3" ht="18.75" x14ac:dyDescent="0.25">
      <c r="A132" s="20"/>
      <c r="B132" s="23" t="s">
        <v>8</v>
      </c>
      <c r="C132" s="9">
        <f>SUM(C129:C131)</f>
        <v>404573688</v>
      </c>
    </row>
    <row r="133" spans="1:3" ht="18.75" x14ac:dyDescent="0.25">
      <c r="A133" s="48"/>
      <c r="B133" s="49"/>
      <c r="C133" s="50"/>
    </row>
    <row r="134" spans="1:3" ht="18.75" x14ac:dyDescent="0.25">
      <c r="A134" s="26" t="s">
        <v>55</v>
      </c>
      <c r="B134" s="51"/>
      <c r="C134" s="50"/>
    </row>
    <row r="135" spans="1:3" ht="18.75" x14ac:dyDescent="0.25">
      <c r="A135" s="52"/>
      <c r="B135" s="53" t="s">
        <v>6</v>
      </c>
      <c r="C135" s="9">
        <f>1050000000-20895000+78457427</f>
        <v>1107562427</v>
      </c>
    </row>
    <row r="136" spans="1:3" ht="18.75" x14ac:dyDescent="0.25">
      <c r="A136" s="52"/>
      <c r="B136" s="13" t="s">
        <v>24</v>
      </c>
      <c r="C136" s="10">
        <v>-105000</v>
      </c>
    </row>
    <row r="137" spans="1:3" ht="18.75" x14ac:dyDescent="0.25">
      <c r="A137" s="48"/>
      <c r="B137" s="23" t="s">
        <v>36</v>
      </c>
      <c r="C137" s="54">
        <f>SUM(C135:C136)</f>
        <v>1107457427</v>
      </c>
    </row>
    <row r="138" spans="1:3" ht="18.75" x14ac:dyDescent="0.25">
      <c r="A138" s="48"/>
      <c r="B138" s="49"/>
      <c r="C138" s="34"/>
    </row>
    <row r="139" spans="1:3" ht="18.75" x14ac:dyDescent="0.25">
      <c r="A139" s="12" t="s">
        <v>56</v>
      </c>
      <c r="B139" s="55"/>
      <c r="C139" s="31"/>
    </row>
    <row r="140" spans="1:3" ht="18.75" x14ac:dyDescent="0.25">
      <c r="A140" s="56"/>
      <c r="B140" s="53" t="s">
        <v>6</v>
      </c>
      <c r="C140" s="57">
        <f>6965000+35000+343000000</f>
        <v>350000000</v>
      </c>
    </row>
    <row r="141" spans="1:3" ht="18.75" x14ac:dyDescent="0.25">
      <c r="A141" s="56"/>
      <c r="B141" s="53" t="s">
        <v>10</v>
      </c>
      <c r="C141" s="31">
        <v>-6965000</v>
      </c>
    </row>
    <row r="142" spans="1:3" ht="18.75" x14ac:dyDescent="0.25">
      <c r="A142" s="56"/>
      <c r="B142" s="53" t="s">
        <v>24</v>
      </c>
      <c r="C142" s="58">
        <v>-35000</v>
      </c>
    </row>
    <row r="143" spans="1:3" ht="18.75" x14ac:dyDescent="0.25">
      <c r="A143" s="56"/>
      <c r="B143" s="53" t="s">
        <v>8</v>
      </c>
      <c r="C143" s="31">
        <f>SUM(C140:C142)</f>
        <v>343000000</v>
      </c>
    </row>
    <row r="144" spans="1:3" ht="18.75" x14ac:dyDescent="0.25">
      <c r="A144" s="56"/>
      <c r="B144" s="53"/>
      <c r="C144" s="31"/>
    </row>
    <row r="145" spans="1:3" ht="18.75" x14ac:dyDescent="0.25">
      <c r="A145" s="12" t="s">
        <v>57</v>
      </c>
      <c r="B145" s="55"/>
      <c r="C145" s="31"/>
    </row>
    <row r="146" spans="1:3" ht="18.75" x14ac:dyDescent="0.25">
      <c r="A146" s="56"/>
      <c r="B146" s="53" t="s">
        <v>6</v>
      </c>
      <c r="C146" s="57">
        <f>49005000</f>
        <v>49005000</v>
      </c>
    </row>
    <row r="147" spans="1:3" ht="18.75" x14ac:dyDescent="0.25">
      <c r="A147" s="56"/>
      <c r="B147" s="53" t="s">
        <v>24</v>
      </c>
      <c r="C147" s="58">
        <v>-5000</v>
      </c>
    </row>
    <row r="148" spans="1:3" ht="18.75" x14ac:dyDescent="0.25">
      <c r="A148" s="56"/>
      <c r="B148" s="53" t="s">
        <v>8</v>
      </c>
      <c r="C148" s="31">
        <f>SUM(C146:C147)</f>
        <v>49000000</v>
      </c>
    </row>
    <row r="149" spans="1:3" ht="18.75" x14ac:dyDescent="0.25">
      <c r="A149" s="56"/>
      <c r="B149" s="53"/>
      <c r="C149" s="31"/>
    </row>
    <row r="150" spans="1:3" ht="18.75" x14ac:dyDescent="0.25">
      <c r="A150" s="12" t="s">
        <v>58</v>
      </c>
      <c r="B150" s="55"/>
      <c r="C150" s="31"/>
    </row>
    <row r="151" spans="1:3" ht="18.75" x14ac:dyDescent="0.25">
      <c r="A151" s="56"/>
      <c r="B151" s="53" t="s">
        <v>19</v>
      </c>
      <c r="C151" s="59">
        <f>196000000+20000</f>
        <v>196020000</v>
      </c>
    </row>
    <row r="152" spans="1:3" ht="18.75" x14ac:dyDescent="0.25">
      <c r="A152" s="56"/>
      <c r="B152" s="13" t="s">
        <v>20</v>
      </c>
      <c r="C152" s="59">
        <v>20000000</v>
      </c>
    </row>
    <row r="153" spans="1:3" ht="18.75" x14ac:dyDescent="0.25">
      <c r="A153" s="56"/>
      <c r="B153" s="13" t="s">
        <v>69</v>
      </c>
      <c r="C153" s="59">
        <f>-(20000000*2%-20000000*2%*0.5%)</f>
        <v>-398000</v>
      </c>
    </row>
    <row r="154" spans="1:3" ht="18.75" x14ac:dyDescent="0.25">
      <c r="A154" s="56"/>
      <c r="B154" s="53" t="s">
        <v>24</v>
      </c>
      <c r="C154" s="58">
        <f>-20000-20000000*2%*0.5%</f>
        <v>-22000</v>
      </c>
    </row>
    <row r="155" spans="1:3" ht="18.75" x14ac:dyDescent="0.25">
      <c r="A155" s="56"/>
      <c r="B155" s="53" t="s">
        <v>8</v>
      </c>
      <c r="C155" s="31">
        <f>SUM(C151:C154)</f>
        <v>215600000</v>
      </c>
    </row>
    <row r="156" spans="1:3" ht="19.5" thickBot="1" x14ac:dyDescent="0.3">
      <c r="A156" s="60"/>
      <c r="B156" s="61"/>
      <c r="C156" s="62"/>
    </row>
    <row r="157" spans="1:3" ht="19.5" thickBot="1" x14ac:dyDescent="0.3">
      <c r="A157" s="63"/>
      <c r="B157" s="64"/>
      <c r="C157" s="65"/>
    </row>
    <row r="158" spans="1:3" ht="18.75" x14ac:dyDescent="0.25">
      <c r="A158" s="15"/>
      <c r="B158" s="13"/>
      <c r="C158" s="16"/>
    </row>
    <row r="159" spans="1:3" ht="18.75" x14ac:dyDescent="0.25">
      <c r="A159" s="12" t="s">
        <v>59</v>
      </c>
      <c r="B159" s="13"/>
      <c r="C159" s="16"/>
    </row>
    <row r="160" spans="1:3" ht="18.75" x14ac:dyDescent="0.25">
      <c r="A160" s="15"/>
      <c r="B160" s="13" t="s">
        <v>60</v>
      </c>
      <c r="C160" s="30">
        <f>1357300000+200000000+25700000+100000000+17000000+1600000000</f>
        <v>3300000000</v>
      </c>
    </row>
    <row r="161" spans="1:3" ht="18.75" x14ac:dyDescent="0.25">
      <c r="A161" s="15"/>
      <c r="B161" s="13" t="s">
        <v>7</v>
      </c>
      <c r="C161" s="66">
        <f>-17000000-16000000+400000</f>
        <v>-32600000</v>
      </c>
    </row>
    <row r="162" spans="1:3" ht="18.75" x14ac:dyDescent="0.25">
      <c r="A162" s="15"/>
      <c r="B162" s="13" t="s">
        <v>8</v>
      </c>
      <c r="C162" s="31">
        <f>C160+C161</f>
        <v>3267400000</v>
      </c>
    </row>
    <row r="163" spans="1:3" ht="19.5" thickBot="1" x14ac:dyDescent="0.3">
      <c r="A163" s="15"/>
      <c r="B163" s="13"/>
      <c r="C163" s="30"/>
    </row>
    <row r="164" spans="1:3" ht="19.5" thickBot="1" x14ac:dyDescent="0.3">
      <c r="A164" s="63"/>
      <c r="B164" s="64"/>
      <c r="C164" s="65"/>
    </row>
    <row r="165" spans="1:3" ht="18.75" x14ac:dyDescent="0.25">
      <c r="A165" s="15"/>
      <c r="B165" s="13"/>
      <c r="C165" s="16"/>
    </row>
    <row r="166" spans="1:3" ht="18.75" x14ac:dyDescent="0.25">
      <c r="A166" s="12" t="s">
        <v>61</v>
      </c>
      <c r="B166" s="13"/>
      <c r="C166" s="16"/>
    </row>
    <row r="167" spans="1:3" ht="18.75" x14ac:dyDescent="0.25">
      <c r="A167" s="14"/>
      <c r="B167" s="13" t="s">
        <v>60</v>
      </c>
      <c r="C167" s="30">
        <f>1500000+148500000</f>
        <v>150000000</v>
      </c>
    </row>
    <row r="168" spans="1:3" ht="18.75" x14ac:dyDescent="0.25">
      <c r="A168" s="14"/>
      <c r="B168" s="13" t="s">
        <v>10</v>
      </c>
      <c r="C168" s="66">
        <f>-1500000</f>
        <v>-1500000</v>
      </c>
    </row>
    <row r="169" spans="1:3" ht="18.75" x14ac:dyDescent="0.25">
      <c r="A169" s="14"/>
      <c r="B169" s="13" t="s">
        <v>8</v>
      </c>
      <c r="C169" s="30">
        <f>SUM(C167:C168)</f>
        <v>148500000</v>
      </c>
    </row>
    <row r="170" spans="1:3" ht="18.75" x14ac:dyDescent="0.25">
      <c r="A170" s="15"/>
      <c r="B170" s="13"/>
      <c r="C170" s="16"/>
    </row>
    <row r="171" spans="1:3" ht="18.75" x14ac:dyDescent="0.25">
      <c r="A171" s="12" t="s">
        <v>68</v>
      </c>
      <c r="B171" s="13"/>
      <c r="C171" s="16"/>
    </row>
    <row r="172" spans="1:3" ht="18.75" x14ac:dyDescent="0.25">
      <c r="A172" s="14"/>
      <c r="B172" s="13" t="s">
        <v>20</v>
      </c>
      <c r="C172" s="30">
        <f>14887500+112500</f>
        <v>15000000</v>
      </c>
    </row>
    <row r="173" spans="1:3" ht="18.75" x14ac:dyDescent="0.25">
      <c r="A173" s="14"/>
      <c r="B173" s="13" t="s">
        <v>10</v>
      </c>
      <c r="C173" s="66">
        <f>-C172*0.75%</f>
        <v>-112500</v>
      </c>
    </row>
    <row r="174" spans="1:3" ht="18.75" x14ac:dyDescent="0.25">
      <c r="A174" s="14"/>
      <c r="B174" s="13" t="s">
        <v>8</v>
      </c>
      <c r="C174" s="30">
        <f>SUM(C172:C173)</f>
        <v>14887500</v>
      </c>
    </row>
    <row r="175" spans="1:3" ht="18.75" x14ac:dyDescent="0.25">
      <c r="A175" s="14"/>
      <c r="B175" s="13"/>
      <c r="C175" s="16"/>
    </row>
    <row r="176" spans="1:3" ht="18.75" x14ac:dyDescent="0.25">
      <c r="A176" s="12" t="s">
        <v>62</v>
      </c>
      <c r="B176" s="13"/>
      <c r="C176" s="16"/>
    </row>
    <row r="177" spans="1:3" ht="18.75" x14ac:dyDescent="0.25">
      <c r="A177" s="14"/>
      <c r="B177" s="13" t="s">
        <v>19</v>
      </c>
      <c r="C177" s="30">
        <f>23052390</f>
        <v>23052390</v>
      </c>
    </row>
    <row r="178" spans="1:3" ht="37.5" x14ac:dyDescent="0.25">
      <c r="A178" s="14"/>
      <c r="B178" s="67" t="s">
        <v>63</v>
      </c>
      <c r="C178" s="30">
        <f>995000+18905000+20895000+3980000+995000</f>
        <v>45770000</v>
      </c>
    </row>
    <row r="179" spans="1:3" ht="18.75" x14ac:dyDescent="0.25">
      <c r="A179" s="14"/>
      <c r="B179" s="13" t="s">
        <v>64</v>
      </c>
      <c r="C179" s="30">
        <v>3980000</v>
      </c>
    </row>
    <row r="180" spans="1:3" ht="18.75" x14ac:dyDescent="0.25">
      <c r="A180" s="14"/>
      <c r="B180" s="13" t="s">
        <v>65</v>
      </c>
      <c r="C180" s="30">
        <v>621000</v>
      </c>
    </row>
    <row r="181" spans="1:3" ht="18.75" x14ac:dyDescent="0.25">
      <c r="A181" s="14"/>
      <c r="B181" s="13" t="s">
        <v>20</v>
      </c>
      <c r="C181" s="66">
        <v>74500000</v>
      </c>
    </row>
    <row r="182" spans="1:3" ht="18.75" x14ac:dyDescent="0.25">
      <c r="A182" s="14"/>
      <c r="B182" s="13" t="s">
        <v>8</v>
      </c>
      <c r="C182" s="30">
        <f>SUM(C177:C181)</f>
        <v>147923390</v>
      </c>
    </row>
    <row r="183" spans="1:3" ht="18.75" x14ac:dyDescent="0.25">
      <c r="A183" s="14"/>
      <c r="B183" s="13"/>
      <c r="C183" s="16"/>
    </row>
    <row r="184" spans="1:3" ht="18.75" x14ac:dyDescent="0.25">
      <c r="A184" s="68" t="s">
        <v>66</v>
      </c>
      <c r="B184" s="69"/>
      <c r="C184" s="70">
        <f>C9+C14+C20+C24+C28+C29+C35+C44+C53+C57+C59+C64+C66+C71+C76+C80+C84+C85+C89+C93+C97+C99+C103+C104+C108+C122+C129+C131+C135+C140+C146+C151+C152+C160+C167+C172+C177+C178+C179+C180+C181</f>
        <v>20761941688</v>
      </c>
    </row>
    <row r="185" spans="1:3" ht="18.75" x14ac:dyDescent="0.25">
      <c r="A185" s="71" t="s">
        <v>67</v>
      </c>
      <c r="B185" s="72"/>
      <c r="C185" s="73">
        <f>C11+C17+C21+C31+C36+C41+C50+C54+C61+C68+C73+C77+C81+C86+C90+C94+C100+C105+C113+C119+C126+C132+C137+C143+C148+C155+C162+C169+C174+C182</f>
        <v>20637353349</v>
      </c>
    </row>
    <row r="189" spans="1:3" ht="35.25" customHeight="1" x14ac:dyDescent="0.25"/>
    <row r="194" ht="93" customHeight="1" x14ac:dyDescent="0.25"/>
  </sheetData>
  <mergeCells count="10">
    <mergeCell ref="A8:C8"/>
    <mergeCell ref="A13:C13"/>
    <mergeCell ref="A43:B43"/>
    <mergeCell ref="A52:B52"/>
    <mergeCell ref="A1:C1"/>
    <mergeCell ref="A2:C2"/>
    <mergeCell ref="A3:C3"/>
    <mergeCell ref="A4:C4"/>
    <mergeCell ref="A5:C5"/>
    <mergeCell ref="A6:C6"/>
  </mergeCells>
  <printOptions horizontalCentered="1" verticalCentered="1"/>
  <pageMargins left="0.45" right="0.45" top="0.5" bottom="0.5" header="0.3" footer="0.3"/>
  <pageSetup scale="59" fitToHeight="3" orientation="portrait" horizontalDpi="1200" verticalDpi="1200" r:id="rId1"/>
  <headerFooter>
    <oddFooter>&amp;R&amp;P</oddFooter>
  </headerFooter>
  <rowBreaks count="1" manualBreakCount="1">
    <brk id="175" max="2" man="1"/>
  </rowBreaks>
  <ignoredErrors>
    <ignoredError sqref="C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2026 Full Year Table 1</vt:lpstr>
      <vt:lpstr>'FY 2026 Full Year Table 1'!Print_Area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1: FY 2026 FULL YEAR APPROPRIATIONS AND APPORTIONMENTS FOR GRANT PROGRAMS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lastModifiedBy>Djoumanov, Aziza (FTA)</cp:lastModifiedBy>
  <cp:lastPrinted>2026-03-10T15:41:43Z</cp:lastPrinted>
  <dcterms:created xsi:type="dcterms:W3CDTF">2026-03-10T15:37:22Z</dcterms:created>
  <dcterms:modified xsi:type="dcterms:W3CDTF">2026-03-31T11:33:30Z</dcterms:modified>
</cp:coreProperties>
</file>