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Full Year Formula Apportionments\FY 2025 Full Year Tables for TCA posting\"/>
    </mc:Choice>
  </mc:AlternateContent>
  <xr:revisionPtr revIDLastSave="0" documentId="8_{64D8B315-7836-445A-BE80-CC96EA48D6DB}" xr6:coauthVersionLast="47" xr6:coauthVersionMax="47" xr10:uidLastSave="{00000000-0000-0000-0000-000000000000}"/>
  <bookViews>
    <workbookView xWindow="1215" yWindow="390" windowWidth="26955" windowHeight="15240" xr2:uid="{20F34A0D-5B1A-4F7F-AD39-F86ABC55AF85}"/>
  </bookViews>
  <sheets>
    <sheet name="FY 2025 Full Year Table 1" sheetId="3" r:id="rId1"/>
  </sheets>
  <definedNames>
    <definedName name="_xlnm._FilterDatabase" localSheetId="0" hidden="1">'FY 2025 Full Year Table 1'!$A$7:$G$7</definedName>
    <definedName name="_NST01">#N/A</definedName>
    <definedName name="_Order1" hidden="1">0</definedName>
    <definedName name="_xlnm.Database">#REF!</definedName>
    <definedName name="FINAL">#N/A</definedName>
    <definedName name="HTML_CodePage" hidden="1">1252</definedName>
    <definedName name="HTML_Control" localSheetId="0" hidden="1">{"'Final'!$A$1:$K$1"}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'FY 2025 Full Year Table 1'!$A$1:$D$167</definedName>
    <definedName name="TABLE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2" i="3" l="1"/>
  <c r="D150" i="3"/>
  <c r="D144" i="3"/>
  <c r="D138" i="3"/>
  <c r="D132" i="3"/>
  <c r="D158" i="3" l="1"/>
  <c r="D157" i="3"/>
  <c r="D163" i="3" l="1"/>
  <c r="D164" i="3" s="1"/>
  <c r="D159" i="3"/>
  <c r="D154" i="3"/>
  <c r="D147" i="3"/>
  <c r="D141" i="3"/>
  <c r="D135" i="3"/>
  <c r="D127" i="3"/>
  <c r="D129" i="3" s="1"/>
  <c r="D122" i="3"/>
  <c r="D121" i="3"/>
  <c r="D117" i="3"/>
  <c r="D113" i="3"/>
  <c r="D110" i="3"/>
  <c r="D108" i="3"/>
  <c r="D107" i="3"/>
  <c r="D106" i="3"/>
  <c r="D103" i="3"/>
  <c r="D95" i="3"/>
  <c r="D98" i="3" s="1"/>
  <c r="D92" i="3"/>
  <c r="D88" i="3"/>
  <c r="D84" i="3"/>
  <c r="D79" i="3"/>
  <c r="D75" i="3"/>
  <c r="D71" i="3"/>
  <c r="D62" i="3"/>
  <c r="D66" i="3" s="1"/>
  <c r="D56" i="3"/>
  <c r="D55" i="3"/>
  <c r="D54" i="3"/>
  <c r="D51" i="3"/>
  <c r="D46" i="3"/>
  <c r="D45" i="3"/>
  <c r="D44" i="3"/>
  <c r="D39" i="3"/>
  <c r="D41" i="3" s="1"/>
  <c r="D36" i="3"/>
  <c r="D29" i="3"/>
  <c r="D27" i="3"/>
  <c r="D26" i="3"/>
  <c r="D25" i="3"/>
  <c r="D21" i="3"/>
  <c r="D15" i="3"/>
  <c r="D14" i="3" s="1"/>
  <c r="D17" i="3" s="1"/>
  <c r="D10" i="3"/>
  <c r="D9" i="3" s="1"/>
  <c r="D47" i="3" l="1"/>
  <c r="D166" i="3"/>
  <c r="D123" i="3"/>
  <c r="D58" i="3"/>
  <c r="D111" i="3"/>
  <c r="D31" i="3"/>
  <c r="D112" i="3"/>
  <c r="D167" i="3" l="1"/>
</calcChain>
</file>

<file path=xl/sharedStrings.xml><?xml version="1.0" encoding="utf-8"?>
<sst xmlns="http://schemas.openxmlformats.org/spreadsheetml/2006/main" count="139" uniqueCount="62">
  <si>
    <t>FEDERAL TRANSIT ADMINISTRATION</t>
  </si>
  <si>
    <t>FY 2025 FULL YEAR APPROPRIATIONS AND APPORTIONMENTS FOR GRANT PROGRAMS</t>
  </si>
  <si>
    <t>The amount apportioned in this notice includes funding authorized under the Bipartisan Infrastructure Law, enacted as the Infrastructure Investment and Jobs Act (Pub. L. 117-58) and is based on funding made available under the Consolidated Appropriations Act, 2022 (Pub. L. 117-103, Mar. 15, 2022).</t>
  </si>
  <si>
    <t>PROGRAM</t>
  </si>
  <si>
    <t>Section 5303 Metropolitan Transportation Planning Program</t>
  </si>
  <si>
    <t>Total FY 2025 Available</t>
  </si>
  <si>
    <t>Less FY 2025 Oversight</t>
  </si>
  <si>
    <t>Reapportioned Funds</t>
  </si>
  <si>
    <t>Total Available for Allocation</t>
  </si>
  <si>
    <t xml:space="preserve">Section 5304 Statewide Transportation Planning Program </t>
  </si>
  <si>
    <t xml:space="preserve">Less FY 2025 Oversight </t>
  </si>
  <si>
    <t>Transit Oriented Development Planning (Competitive pilot)</t>
  </si>
  <si>
    <t xml:space="preserve">Section 5307 Urbanized Area Formula Program </t>
  </si>
  <si>
    <t>Less FY 2025 State Safety Oversight Program</t>
  </si>
  <si>
    <t>Less FY 2025 Ferry Competitive Program</t>
  </si>
  <si>
    <t>Section 5340 High Density States</t>
  </si>
  <si>
    <t>Section 5340 Growing States</t>
  </si>
  <si>
    <t>Section 5307 Passenger Ferry Grant Program</t>
  </si>
  <si>
    <t xml:space="preserve">FY 2025 Authorized </t>
  </si>
  <si>
    <t>FY 2025 Additional Appropriation</t>
  </si>
  <si>
    <t>Section 5329 State Safety Oversight Program</t>
  </si>
  <si>
    <t>Section 5310 Enhanced Mobility of Seniors and Individuals with Disabilities</t>
  </si>
  <si>
    <t>Less FY 2025 Oversight and Administrative</t>
  </si>
  <si>
    <t>Less FY 2025 Transfer to OIG</t>
  </si>
  <si>
    <t>Pilot Program for Innovative Coordinated Access and Mobility</t>
  </si>
  <si>
    <t>Section 5311 Rural Area Formula Program</t>
  </si>
  <si>
    <t>Section 5311(b)(3) Rural Transit Assistance Program (RTAP)</t>
  </si>
  <si>
    <t>Less Amount Reserved for National RTAP (15 percent)</t>
  </si>
  <si>
    <t>FY 2025 Additional National RTAP Appropriation for Tribes</t>
  </si>
  <si>
    <t>Less Additional National RTAP Appropriation for Tribes</t>
  </si>
  <si>
    <t>Section 5311(c)(2)(B) Public Transportation on Indian Reservations Formula</t>
  </si>
  <si>
    <t>Section 5311(c)(2)(A) Public Transportation on Indian Reservations Competitive</t>
  </si>
  <si>
    <t>Section 5311(c)(3) Appalachian Development Public Transportation Assistance Program</t>
  </si>
  <si>
    <t xml:space="preserve">Total Available for Allocation  </t>
  </si>
  <si>
    <t>Section 5312 Public Transportation Innovation--Transit Research</t>
  </si>
  <si>
    <t>Section 5312 (h) Public Transportation Innovation--Component and Low or No Emission Testing</t>
  </si>
  <si>
    <t>Section 5312 Public Transportation Innovation--Transit Cooperative Research</t>
  </si>
  <si>
    <t>Section 5314 Technical Assistance and Workforce Development</t>
  </si>
  <si>
    <t>National Transit Institute</t>
  </si>
  <si>
    <t>Section 5318 Bus Testing Facilities</t>
  </si>
  <si>
    <t xml:space="preserve">Section 5337 State of Good Repair </t>
  </si>
  <si>
    <t>Total FY 2025 Rail Replacement Competitive Grants</t>
  </si>
  <si>
    <t>Reapportioned Funds for Fixed Guideway</t>
  </si>
  <si>
    <t>Total FY 2025 Available High Intensity Fixed Guideway Formula</t>
  </si>
  <si>
    <t>Total FY 2025 Available High Intensity Motorbus Formula</t>
  </si>
  <si>
    <t>Section 5337 State of Good Repair Rail Replacement Competitive Grants</t>
  </si>
  <si>
    <t>Section 5339 Buses and Bus Facilities Formula</t>
  </si>
  <si>
    <t xml:space="preserve">Section 5339 Buses and Bus Facilities Competitive </t>
  </si>
  <si>
    <t>Less FY 2025 Low or No Emission</t>
  </si>
  <si>
    <t>Section 5339(c) Low or No Emission Grants (Competitive)</t>
  </si>
  <si>
    <t>Less FY 2025 Oversight and Admin</t>
  </si>
  <si>
    <t>Division J All Stations Accessibility Program</t>
  </si>
  <si>
    <t>Section 71102 Electric or Low-Emitting Ferry Program</t>
  </si>
  <si>
    <t>Section 71103 Ferry Service for Rural Communities</t>
  </si>
  <si>
    <t xml:space="preserve">Total FY 2025 Authorized </t>
  </si>
  <si>
    <t>Section 5309 Capital Investment Grants</t>
  </si>
  <si>
    <t>Washington Metropolitan Area Transit Authority (WMATA)</t>
  </si>
  <si>
    <t xml:space="preserve">TOTAL APPROPRIATION (Above Grant Programs) </t>
  </si>
  <si>
    <t xml:space="preserve">TOTAL APPORTIONMENT/ALLOCATION (Above Grant Programs) </t>
  </si>
  <si>
    <t>The amount apportioned in this notice includes funding enacted in the Infrastructure Investment and Jobs Act (Pub. L. 117-58), and is based on funding made available under the Full-Year Continuing Appropriations and Extensions Act, 2025 (H.R. 1968 / Public Law 119-4, March 15, 2025).</t>
  </si>
  <si>
    <t>TABLE 1</t>
  </si>
  <si>
    <t>Updated 05/01/2025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</si>
</sst>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i/>
      <sz val="11"/>
      <name val="Arial"/>
      <family val="2"/>
    </font>
    <font>
      <sz val="11"/>
      <name val="Calibri"/>
      <family val="2"/>
      <scheme val="minor"/>
    </font>
    <font>
      <sz val="16"/>
      <name val="Helvetica"/>
      <family val="2"/>
    </font>
    <font>
      <b/>
      <sz val="14"/>
      <color rgb="FFFF0000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u/>
      <sz val="11"/>
      <name val="Calibri"/>
      <family val="2"/>
      <scheme val="minor"/>
    </font>
    <font>
      <sz val="14"/>
      <color rgb="FF000000"/>
      <name val="Arial"/>
      <family val="2"/>
    </font>
    <font>
      <i/>
      <sz val="14"/>
      <name val="Arial"/>
      <family val="2"/>
    </font>
    <font>
      <u/>
      <sz val="14"/>
      <name val="Arial"/>
      <family val="2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3" fillId="0" borderId="1" xfId="0" applyFont="1" applyBorder="1" applyAlignment="1">
      <alignment vertical="center"/>
    </xf>
    <xf numFmtId="43" fontId="0" fillId="0" borderId="0" xfId="0" applyNumberFormat="1"/>
    <xf numFmtId="0" fontId="0" fillId="0" borderId="0" xfId="0" applyAlignment="1">
      <alignment wrapText="1"/>
    </xf>
    <xf numFmtId="0" fontId="11" fillId="0" borderId="5" xfId="0" applyFont="1" applyFill="1" applyBorder="1"/>
    <xf numFmtId="0" fontId="11" fillId="0" borderId="6" xfId="0" applyFont="1" applyFill="1" applyBorder="1"/>
    <xf numFmtId="0" fontId="14" fillId="0" borderId="5" xfId="0" applyFont="1" applyFill="1" applyBorder="1" applyAlignment="1">
      <alignment wrapText="1"/>
    </xf>
    <xf numFmtId="0" fontId="17" fillId="0" borderId="5" xfId="0" applyFont="1" applyFill="1" applyBorder="1"/>
    <xf numFmtId="0" fontId="9" fillId="0" borderId="5" xfId="0" applyFont="1" applyFill="1" applyBorder="1"/>
    <xf numFmtId="0" fontId="18" fillId="0" borderId="5" xfId="0" applyFont="1" applyFill="1" applyBorder="1"/>
    <xf numFmtId="0" fontId="11" fillId="0" borderId="8" xfId="0" applyFont="1" applyFill="1" applyBorder="1"/>
    <xf numFmtId="0" fontId="11" fillId="0" borderId="9" xfId="0" applyFont="1" applyFill="1" applyBorder="1"/>
    <xf numFmtId="0" fontId="19" fillId="0" borderId="5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1" fillId="0" borderId="12" xfId="0" applyFont="1" applyFill="1" applyBorder="1"/>
    <xf numFmtId="0" fontId="9" fillId="0" borderId="12" xfId="0" applyFont="1" applyFill="1" applyBorder="1"/>
    <xf numFmtId="0" fontId="11" fillId="0" borderId="13" xfId="0" applyFont="1" applyFill="1" applyBorder="1"/>
    <xf numFmtId="0" fontId="14" fillId="0" borderId="5" xfId="0" applyFont="1" applyFill="1" applyBorder="1"/>
    <xf numFmtId="0" fontId="9" fillId="0" borderId="17" xfId="0" applyFont="1" applyFill="1" applyBorder="1"/>
    <xf numFmtId="0" fontId="9" fillId="0" borderId="0" xfId="0" applyFont="1" applyFill="1" applyBorder="1"/>
    <xf numFmtId="164" fontId="9" fillId="0" borderId="0" xfId="0" applyNumberFormat="1" applyFont="1" applyFill="1" applyBorder="1"/>
    <xf numFmtId="37" fontId="10" fillId="0" borderId="17" xfId="0" applyNumberFormat="1" applyFont="1" applyFill="1" applyBorder="1"/>
    <xf numFmtId="0" fontId="11" fillId="0" borderId="0" xfId="0" applyFont="1" applyFill="1" applyBorder="1"/>
    <xf numFmtId="0" fontId="5" fillId="0" borderId="17" xfId="0" applyFont="1" applyFill="1" applyBorder="1"/>
    <xf numFmtId="0" fontId="11" fillId="0" borderId="17" xfId="0" applyFont="1" applyFill="1" applyBorder="1"/>
    <xf numFmtId="0" fontId="10" fillId="0" borderId="17" xfId="0" applyFont="1" applyFill="1" applyBorder="1"/>
    <xf numFmtId="0" fontId="5" fillId="0" borderId="0" xfId="0" applyFont="1" applyFill="1" applyBorder="1"/>
    <xf numFmtId="0" fontId="11" fillId="0" borderId="22" xfId="0" applyFont="1" applyFill="1" applyBorder="1"/>
    <xf numFmtId="0" fontId="10" fillId="0" borderId="22" xfId="0" applyFont="1" applyFill="1" applyBorder="1"/>
    <xf numFmtId="0" fontId="5" fillId="0" borderId="0" xfId="0" applyFont="1" applyFill="1" applyBorder="1" applyAlignment="1">
      <alignment wrapText="1"/>
    </xf>
    <xf numFmtId="0" fontId="16" fillId="0" borderId="0" xfId="0" applyFont="1" applyFill="1" applyBorder="1"/>
    <xf numFmtId="0" fontId="17" fillId="0" borderId="0" xfId="0" applyFont="1" applyFill="1" applyBorder="1"/>
    <xf numFmtId="0" fontId="0" fillId="0" borderId="0" xfId="0" applyFill="1" applyBorder="1"/>
    <xf numFmtId="0" fontId="9" fillId="0" borderId="22" xfId="0" applyFont="1" applyFill="1" applyBorder="1"/>
    <xf numFmtId="0" fontId="8" fillId="0" borderId="22" xfId="0" applyFont="1" applyFill="1" applyBorder="1"/>
    <xf numFmtId="0" fontId="11" fillId="0" borderId="31" xfId="0" applyFont="1" applyFill="1" applyBorder="1"/>
    <xf numFmtId="0" fontId="10" fillId="0" borderId="31" xfId="0" applyFont="1" applyFill="1" applyBorder="1"/>
    <xf numFmtId="0" fontId="11" fillId="0" borderId="34" xfId="0" applyFont="1" applyFill="1" applyBorder="1"/>
    <xf numFmtId="0" fontId="3" fillId="0" borderId="19" xfId="0" applyFont="1" applyBorder="1" applyAlignment="1">
      <alignment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7" fillId="0" borderId="18" xfId="1" applyNumberFormat="1" applyFont="1" applyFill="1" applyBorder="1" applyAlignment="1" applyProtection="1">
      <alignment horizontal="center" vertical="center"/>
    </xf>
    <xf numFmtId="165" fontId="9" fillId="0" borderId="18" xfId="1" applyNumberFormat="1" applyFont="1" applyFill="1" applyBorder="1" applyProtection="1"/>
    <xf numFmtId="165" fontId="9" fillId="0" borderId="21" xfId="1" applyNumberFormat="1" applyFont="1" applyFill="1" applyBorder="1"/>
    <xf numFmtId="165" fontId="9" fillId="0" borderId="18" xfId="1" applyNumberFormat="1" applyFont="1" applyFill="1" applyBorder="1" applyProtection="1">
      <protection locked="0"/>
    </xf>
    <xf numFmtId="165" fontId="9" fillId="0" borderId="21" xfId="1" applyNumberFormat="1" applyFont="1" applyFill="1" applyBorder="1" applyProtection="1"/>
    <xf numFmtId="165" fontId="12" fillId="0" borderId="18" xfId="1" applyNumberFormat="1" applyFont="1" applyFill="1" applyBorder="1" applyProtection="1"/>
    <xf numFmtId="165" fontId="9" fillId="0" borderId="16" xfId="1" applyNumberFormat="1" applyFont="1" applyFill="1" applyBorder="1" applyProtection="1"/>
    <xf numFmtId="165" fontId="13" fillId="0" borderId="18" xfId="1" applyNumberFormat="1" applyFont="1" applyFill="1" applyBorder="1" applyAlignment="1">
      <alignment wrapText="1"/>
    </xf>
    <xf numFmtId="165" fontId="9" fillId="0" borderId="23" xfId="1" applyNumberFormat="1" applyFont="1" applyFill="1" applyBorder="1" applyProtection="1"/>
    <xf numFmtId="165" fontId="9" fillId="0" borderId="24" xfId="1" applyNumberFormat="1" applyFont="1" applyFill="1" applyBorder="1" applyProtection="1"/>
    <xf numFmtId="165" fontId="9" fillId="0" borderId="25" xfId="1" applyNumberFormat="1" applyFont="1" applyFill="1" applyBorder="1" applyProtection="1"/>
    <xf numFmtId="165" fontId="12" fillId="0" borderId="23" xfId="1" applyNumberFormat="1" applyFont="1" applyFill="1" applyBorder="1" applyProtection="1"/>
    <xf numFmtId="165" fontId="15" fillId="0" borderId="18" xfId="1" applyNumberFormat="1" applyFont="1" applyFill="1" applyBorder="1" applyProtection="1"/>
    <xf numFmtId="165" fontId="12" fillId="0" borderId="18" xfId="1" applyNumberFormat="1" applyFont="1" applyFill="1" applyBorder="1"/>
    <xf numFmtId="165" fontId="11" fillId="0" borderId="18" xfId="1" applyNumberFormat="1" applyFont="1" applyFill="1" applyBorder="1" applyProtection="1"/>
    <xf numFmtId="165" fontId="11" fillId="0" borderId="18" xfId="1" applyNumberFormat="1" applyFont="1" applyFill="1" applyBorder="1"/>
    <xf numFmtId="165" fontId="9" fillId="0" borderId="26" xfId="1" applyNumberFormat="1" applyFont="1" applyFill="1" applyBorder="1" applyProtection="1"/>
    <xf numFmtId="165" fontId="9" fillId="0" borderId="18" xfId="1" applyNumberFormat="1" applyFont="1" applyFill="1" applyBorder="1"/>
    <xf numFmtId="165" fontId="9" fillId="0" borderId="27" xfId="1" applyNumberFormat="1" applyFont="1" applyFill="1" applyBorder="1" applyProtection="1"/>
    <xf numFmtId="165" fontId="12" fillId="0" borderId="28" xfId="1" applyNumberFormat="1" applyFont="1" applyFill="1" applyBorder="1" applyProtection="1"/>
    <xf numFmtId="165" fontId="9" fillId="0" borderId="29" xfId="1" applyNumberFormat="1" applyFont="1" applyFill="1" applyBorder="1" applyProtection="1"/>
    <xf numFmtId="165" fontId="9" fillId="0" borderId="28" xfId="1" applyNumberFormat="1" applyFont="1" applyFill="1" applyBorder="1" applyProtection="1"/>
    <xf numFmtId="165" fontId="2" fillId="0" borderId="30" xfId="1" applyNumberFormat="1" applyFont="1" applyFill="1" applyBorder="1"/>
    <xf numFmtId="165" fontId="12" fillId="0" borderId="23" xfId="1" applyNumberFormat="1" applyFont="1" applyFill="1" applyBorder="1"/>
    <xf numFmtId="165" fontId="1" fillId="0" borderId="32" xfId="1" applyNumberFormat="1" applyFont="1" applyFill="1" applyBorder="1"/>
    <xf numFmtId="165" fontId="9" fillId="0" borderId="33" xfId="1" applyNumberFormat="1" applyFont="1" applyFill="1" applyBorder="1"/>
    <xf numFmtId="165" fontId="11" fillId="0" borderId="35" xfId="1" applyNumberFormat="1" applyFont="1" applyFill="1" applyBorder="1"/>
    <xf numFmtId="165" fontId="11" fillId="0" borderId="29" xfId="1" applyNumberFormat="1" applyFont="1" applyFill="1" applyBorder="1"/>
    <xf numFmtId="165" fontId="11" fillId="0" borderId="36" xfId="1" applyNumberFormat="1" applyFont="1" applyFill="1" applyBorder="1"/>
    <xf numFmtId="165" fontId="11" fillId="0" borderId="18" xfId="1" applyNumberFormat="1" applyFont="1" applyFill="1" applyBorder="1" applyAlignment="1" applyProtection="1"/>
    <xf numFmtId="165" fontId="11" fillId="0" borderId="26" xfId="1" applyNumberFormat="1" applyFont="1" applyFill="1" applyBorder="1" applyProtection="1"/>
    <xf numFmtId="165" fontId="11" fillId="0" borderId="21" xfId="1" applyNumberFormat="1" applyFont="1" applyFill="1" applyBorder="1" applyProtection="1"/>
    <xf numFmtId="165" fontId="20" fillId="0" borderId="20" xfId="1" applyNumberFormat="1" applyFont="1" applyFill="1" applyBorder="1" applyAlignment="1" applyProtection="1">
      <alignment vertical="center"/>
    </xf>
    <xf numFmtId="165" fontId="20" fillId="0" borderId="21" xfId="1" applyNumberFormat="1" applyFont="1" applyFill="1" applyBorder="1" applyAlignment="1" applyProtection="1">
      <alignment vertical="center"/>
    </xf>
    <xf numFmtId="165" fontId="0" fillId="0" borderId="0" xfId="0" applyNumberFormat="1"/>
    <xf numFmtId="165" fontId="2" fillId="0" borderId="0" xfId="1" applyNumberFormat="1" applyFont="1" applyFill="1"/>
    <xf numFmtId="0" fontId="3" fillId="0" borderId="39" xfId="6" applyFont="1" applyBorder="1" applyAlignment="1">
      <alignment horizontal="center" vertical="center" wrapText="1"/>
    </xf>
    <xf numFmtId="0" fontId="1" fillId="0" borderId="40" xfId="6" applyBorder="1" applyAlignment="1">
      <alignment horizontal="center" vertical="center" wrapText="1"/>
    </xf>
    <xf numFmtId="0" fontId="1" fillId="0" borderId="41" xfId="6" applyBorder="1" applyAlignment="1">
      <alignment horizontal="center" vertical="center" wrapText="1"/>
    </xf>
    <xf numFmtId="0" fontId="3" fillId="0" borderId="14" xfId="6" applyFont="1" applyBorder="1" applyAlignment="1">
      <alignment horizontal="center" vertical="center" wrapText="1"/>
    </xf>
    <xf numFmtId="0" fontId="22" fillId="0" borderId="15" xfId="6" applyFont="1" applyBorder="1" applyAlignment="1">
      <alignment horizontal="center" vertical="center" wrapText="1"/>
    </xf>
    <xf numFmtId="0" fontId="22" fillId="0" borderId="16" xfId="6" applyFont="1" applyBorder="1" applyAlignment="1">
      <alignment horizontal="center" vertical="center" wrapText="1"/>
    </xf>
    <xf numFmtId="0" fontId="3" fillId="0" borderId="17" xfId="6" applyFont="1" applyBorder="1" applyAlignment="1">
      <alignment horizontal="center" vertical="center" wrapText="1"/>
    </xf>
    <xf numFmtId="0" fontId="22" fillId="0" borderId="0" xfId="6" applyFont="1" applyBorder="1" applyAlignment="1">
      <alignment horizontal="center" vertical="center" wrapText="1"/>
    </xf>
    <xf numFmtId="0" fontId="22" fillId="0" borderId="18" xfId="6" applyFont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4" xfId="6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3" fillId="0" borderId="39" xfId="6" applyFont="1" applyBorder="1" applyAlignment="1">
      <alignment horizontal="center" vertical="center" wrapText="1"/>
    </xf>
    <xf numFmtId="0" fontId="23" fillId="0" borderId="40" xfId="6" applyFont="1" applyBorder="1" applyAlignment="1">
      <alignment horizontal="center" vertical="center" wrapText="1"/>
    </xf>
    <xf numFmtId="0" fontId="23" fillId="0" borderId="41" xfId="6" applyFont="1" applyBorder="1" applyAlignment="1">
      <alignment horizontal="center" vertical="center" wrapText="1"/>
    </xf>
    <xf numFmtId="0" fontId="11" fillId="0" borderId="0" xfId="0" applyFont="1" applyFill="1" applyBorder="1"/>
    <xf numFmtId="0" fontId="0" fillId="0" borderId="0" xfId="0" applyFill="1" applyBorder="1"/>
    <xf numFmtId="0" fontId="11" fillId="0" borderId="7" xfId="0" applyFont="1" applyFill="1" applyBorder="1"/>
    <xf numFmtId="0" fontId="0" fillId="0" borderId="7" xfId="0" applyFill="1" applyBorder="1"/>
    <xf numFmtId="0" fontId="8" fillId="0" borderId="17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left"/>
    </xf>
    <xf numFmtId="0" fontId="5" fillId="0" borderId="0" xfId="0" applyFont="1" applyFill="1" applyBorder="1"/>
    <xf numFmtId="0" fontId="10" fillId="0" borderId="17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10" fillId="0" borderId="22" xfId="0" applyFont="1" applyFill="1" applyBorder="1"/>
    <xf numFmtId="0" fontId="14" fillId="0" borderId="5" xfId="0" applyFont="1" applyFill="1" applyBorder="1"/>
  </cellXfs>
  <cellStyles count="7">
    <cellStyle name="Comma" xfId="1" builtinId="3"/>
    <cellStyle name="Comma 2" xfId="4" xr:uid="{7046BBCD-1CA1-47F1-80AE-3F04BBF20A9D}"/>
    <cellStyle name="Currency 2" xfId="5" xr:uid="{7B4F6148-12BB-4245-A439-A77C3185A261}"/>
    <cellStyle name="Normal" xfId="0" builtinId="0"/>
    <cellStyle name="Normal 2" xfId="2" xr:uid="{0004A13D-D6E2-42FD-8895-5A81DE1C1762}"/>
    <cellStyle name="Normal 4" xfId="6" xr:uid="{6AC0CCD8-6A5E-4C33-BB7E-EFDCBF9DC35D}"/>
    <cellStyle name="Percent 2" xfId="3" xr:uid="{4A3B35CA-D59B-426D-94A7-132D8A73DD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CC036-1706-470D-8F30-5CA483333788}">
  <sheetPr>
    <pageSetUpPr fitToPage="1"/>
  </sheetPr>
  <dimension ref="A1:F170"/>
  <sheetViews>
    <sheetView tabSelected="1" zoomScaleNormal="100" workbookViewId="0">
      <selection activeCell="B9" sqref="B9"/>
    </sheetView>
  </sheetViews>
  <sheetFormatPr defaultColWidth="9.28515625" defaultRowHeight="15" x14ac:dyDescent="0.25"/>
  <cols>
    <col min="1" max="1" width="43.7109375" customWidth="1"/>
    <col min="2" max="2" width="41" customWidth="1"/>
    <col min="3" max="3" width="43.42578125" customWidth="1"/>
    <col min="4" max="4" width="34.42578125" style="81" customWidth="1"/>
    <col min="5" max="5" width="16" customWidth="1"/>
    <col min="6" max="6" width="14.28515625" bestFit="1" customWidth="1"/>
    <col min="7" max="7" width="26.28515625" bestFit="1" customWidth="1"/>
  </cols>
  <sheetData>
    <row r="1" spans="1:4" s="1" customFormat="1" ht="30" customHeight="1" x14ac:dyDescent="0.25">
      <c r="A1" s="85" t="s">
        <v>0</v>
      </c>
      <c r="B1" s="86"/>
      <c r="C1" s="86"/>
      <c r="D1" s="87"/>
    </row>
    <row r="2" spans="1:4" s="1" customFormat="1" ht="30" customHeight="1" thickBot="1" x14ac:dyDescent="0.3">
      <c r="A2" s="88" t="s">
        <v>60</v>
      </c>
      <c r="B2" s="89"/>
      <c r="C2" s="89"/>
      <c r="D2" s="90"/>
    </row>
    <row r="3" spans="1:4" ht="30" customHeight="1" thickBot="1" x14ac:dyDescent="0.3">
      <c r="A3" s="91" t="s">
        <v>1</v>
      </c>
      <c r="B3" s="92"/>
      <c r="C3" s="92"/>
      <c r="D3" s="93"/>
    </row>
    <row r="4" spans="1:4" s="2" customFormat="1" ht="54.75" customHeight="1" x14ac:dyDescent="0.3">
      <c r="A4" s="94" t="s">
        <v>59</v>
      </c>
      <c r="B4" s="95"/>
      <c r="C4" s="95" t="s">
        <v>2</v>
      </c>
      <c r="D4" s="96"/>
    </row>
    <row r="5" spans="1:4" x14ac:dyDescent="0.25">
      <c r="A5" s="97" t="s">
        <v>61</v>
      </c>
      <c r="B5" s="98"/>
      <c r="C5" s="98"/>
      <c r="D5" s="99"/>
    </row>
    <row r="6" spans="1:4" ht="30" customHeight="1" x14ac:dyDescent="0.25">
      <c r="A6" s="82" t="s">
        <v>3</v>
      </c>
      <c r="B6" s="83"/>
      <c r="C6" s="83"/>
      <c r="D6" s="84"/>
    </row>
    <row r="7" spans="1:4" ht="18" customHeight="1" x14ac:dyDescent="0.25">
      <c r="A7" s="44"/>
      <c r="B7" s="45"/>
      <c r="C7" s="45"/>
      <c r="D7" s="46"/>
    </row>
    <row r="8" spans="1:4" ht="18" customHeight="1" x14ac:dyDescent="0.25">
      <c r="A8" s="104" t="s">
        <v>4</v>
      </c>
      <c r="B8" s="105"/>
      <c r="C8" s="105"/>
      <c r="D8" s="106"/>
    </row>
    <row r="9" spans="1:4" ht="18" customHeight="1" x14ac:dyDescent="0.25">
      <c r="A9" s="21"/>
      <c r="B9" s="22" t="s">
        <v>5</v>
      </c>
      <c r="C9" s="22"/>
      <c r="D9" s="47">
        <f>162491471-D10</f>
        <v>163308011</v>
      </c>
    </row>
    <row r="10" spans="1:4" ht="18" customHeight="1" x14ac:dyDescent="0.25">
      <c r="A10" s="21"/>
      <c r="B10" s="22" t="s">
        <v>6</v>
      </c>
      <c r="C10" s="22"/>
      <c r="D10" s="48">
        <f>-ROUND(987113*0.8272,0)</f>
        <v>-816540</v>
      </c>
    </row>
    <row r="11" spans="1:4" ht="18" customHeight="1" x14ac:dyDescent="0.25">
      <c r="A11" s="21"/>
      <c r="B11" s="22" t="s">
        <v>8</v>
      </c>
      <c r="C11" s="22"/>
      <c r="D11" s="49">
        <v>162491471</v>
      </c>
    </row>
    <row r="12" spans="1:4" ht="18" customHeight="1" x14ac:dyDescent="0.25">
      <c r="A12" s="21"/>
      <c r="B12" s="22"/>
      <c r="C12" s="22"/>
      <c r="D12" s="47"/>
    </row>
    <row r="13" spans="1:4" ht="18" customHeight="1" x14ac:dyDescent="0.25">
      <c r="A13" s="107" t="s">
        <v>9</v>
      </c>
      <c r="B13" s="108"/>
      <c r="C13" s="108"/>
      <c r="D13" s="109"/>
    </row>
    <row r="14" spans="1:4" ht="18" customHeight="1" x14ac:dyDescent="0.25">
      <c r="A14" s="21"/>
      <c r="B14" s="22" t="s">
        <v>5</v>
      </c>
      <c r="C14" s="23"/>
      <c r="D14" s="47">
        <f>33944060-D15</f>
        <v>34114633</v>
      </c>
    </row>
    <row r="15" spans="1:4" ht="18" customHeight="1" x14ac:dyDescent="0.25">
      <c r="A15" s="21"/>
      <c r="B15" s="22" t="s">
        <v>10</v>
      </c>
      <c r="C15" s="22"/>
      <c r="D15" s="47">
        <f>-ROUND(987113*0.1728,0)</f>
        <v>-170573</v>
      </c>
    </row>
    <row r="16" spans="1:4" ht="18" customHeight="1" x14ac:dyDescent="0.25">
      <c r="A16" s="21"/>
      <c r="B16" s="22" t="s">
        <v>7</v>
      </c>
      <c r="C16" s="22"/>
      <c r="D16" s="50">
        <v>263369</v>
      </c>
    </row>
    <row r="17" spans="1:4" ht="18" customHeight="1" x14ac:dyDescent="0.25">
      <c r="A17" s="21"/>
      <c r="B17" s="22" t="s">
        <v>8</v>
      </c>
      <c r="C17" s="22"/>
      <c r="D17" s="47">
        <f>SUM(D14:D16)</f>
        <v>34207429</v>
      </c>
    </row>
    <row r="18" spans="1:4" ht="18" customHeight="1" x14ac:dyDescent="0.25">
      <c r="A18" s="21"/>
      <c r="B18" s="22"/>
      <c r="C18" s="22"/>
      <c r="D18" s="47"/>
    </row>
    <row r="19" spans="1:4" ht="18" customHeight="1" x14ac:dyDescent="0.25">
      <c r="A19" s="24" t="s">
        <v>11</v>
      </c>
      <c r="B19" s="25"/>
      <c r="C19" s="25"/>
      <c r="D19" s="47"/>
    </row>
    <row r="20" spans="1:4" ht="18" customHeight="1" x14ac:dyDescent="0.25">
      <c r="A20" s="26"/>
      <c r="B20" s="25" t="s">
        <v>5</v>
      </c>
      <c r="C20" s="25"/>
      <c r="D20" s="50">
        <v>14067497</v>
      </c>
    </row>
    <row r="21" spans="1:4" ht="18" customHeight="1" x14ac:dyDescent="0.25">
      <c r="A21" s="26"/>
      <c r="B21" s="25" t="s">
        <v>8</v>
      </c>
      <c r="C21" s="25"/>
      <c r="D21" s="47">
        <f>D20</f>
        <v>14067497</v>
      </c>
    </row>
    <row r="22" spans="1:4" ht="18" customHeight="1" x14ac:dyDescent="0.25">
      <c r="A22" s="27"/>
      <c r="B22" s="25"/>
      <c r="C22" s="25"/>
      <c r="D22" s="47"/>
    </row>
    <row r="23" spans="1:4" ht="18" customHeight="1" x14ac:dyDescent="0.25">
      <c r="A23" s="28" t="s">
        <v>12</v>
      </c>
      <c r="B23" s="25"/>
      <c r="C23" s="25"/>
      <c r="D23" s="51"/>
    </row>
    <row r="24" spans="1:4" ht="18" customHeight="1" x14ac:dyDescent="0.25">
      <c r="A24" s="27"/>
      <c r="B24" s="25" t="s">
        <v>5</v>
      </c>
      <c r="C24" s="25"/>
      <c r="D24" s="47">
        <v>6851662142</v>
      </c>
    </row>
    <row r="25" spans="1:4" ht="18" customHeight="1" x14ac:dyDescent="0.25">
      <c r="A25" s="27"/>
      <c r="B25" s="100" t="s">
        <v>10</v>
      </c>
      <c r="C25" s="110"/>
      <c r="D25" s="47">
        <f>-ROUND($D$24*0.0075,0)</f>
        <v>-51387466</v>
      </c>
    </row>
    <row r="26" spans="1:4" ht="18" customHeight="1" x14ac:dyDescent="0.25">
      <c r="A26" s="27"/>
      <c r="B26" s="100" t="s">
        <v>13</v>
      </c>
      <c r="C26" s="110"/>
      <c r="D26" s="47">
        <f>-ROUND($D$24*0.0075,0)</f>
        <v>-51387466</v>
      </c>
    </row>
    <row r="27" spans="1:4" ht="18" customHeight="1" x14ac:dyDescent="0.25">
      <c r="A27" s="27"/>
      <c r="B27" s="25" t="s">
        <v>14</v>
      </c>
      <c r="C27" s="29"/>
      <c r="D27" s="47">
        <f>-30000000</f>
        <v>-30000000</v>
      </c>
    </row>
    <row r="28" spans="1:4" ht="18" customHeight="1" x14ac:dyDescent="0.25">
      <c r="A28" s="27"/>
      <c r="B28" s="25" t="s">
        <v>15</v>
      </c>
      <c r="C28" s="25"/>
      <c r="D28" s="47">
        <v>372387459</v>
      </c>
    </row>
    <row r="29" spans="1:4" ht="18" customHeight="1" x14ac:dyDescent="0.25">
      <c r="A29" s="27"/>
      <c r="B29" s="25" t="s">
        <v>16</v>
      </c>
      <c r="C29" s="25"/>
      <c r="D29" s="47">
        <f>ROUND(419926283*0.717023,0)</f>
        <v>301096803</v>
      </c>
    </row>
    <row r="30" spans="1:4" ht="18" customHeight="1" x14ac:dyDescent="0.25">
      <c r="A30" s="27"/>
      <c r="B30" s="25" t="s">
        <v>7</v>
      </c>
      <c r="C30" s="25"/>
      <c r="D30" s="50">
        <v>2344574</v>
      </c>
    </row>
    <row r="31" spans="1:4" ht="18" customHeight="1" x14ac:dyDescent="0.25">
      <c r="A31" s="27"/>
      <c r="B31" s="25" t="s">
        <v>8</v>
      </c>
      <c r="C31" s="25"/>
      <c r="D31" s="47">
        <f>SUM(D24:D30)</f>
        <v>7394716046</v>
      </c>
    </row>
    <row r="32" spans="1:4" ht="18" customHeight="1" x14ac:dyDescent="0.25">
      <c r="A32" s="27"/>
      <c r="B32" s="25"/>
      <c r="C32" s="25"/>
      <c r="D32" s="47"/>
    </row>
    <row r="33" spans="1:5" ht="18" customHeight="1" x14ac:dyDescent="0.25">
      <c r="A33" s="28" t="s">
        <v>17</v>
      </c>
      <c r="B33" s="25"/>
      <c r="C33" s="25"/>
      <c r="D33" s="47"/>
    </row>
    <row r="34" spans="1:5" ht="18" customHeight="1" x14ac:dyDescent="0.25">
      <c r="A34" s="27"/>
      <c r="B34" s="25" t="s">
        <v>18</v>
      </c>
      <c r="C34" s="25"/>
      <c r="D34" s="47">
        <v>30000000</v>
      </c>
    </row>
    <row r="35" spans="1:5" ht="18" customHeight="1" x14ac:dyDescent="0.25">
      <c r="A35" s="27"/>
      <c r="B35" s="25" t="s">
        <v>19</v>
      </c>
      <c r="C35" s="25"/>
      <c r="D35" s="50">
        <v>20000000</v>
      </c>
      <c r="E35" s="5"/>
    </row>
    <row r="36" spans="1:5" ht="18" customHeight="1" x14ac:dyDescent="0.25">
      <c r="A36" s="27"/>
      <c r="B36" s="25" t="s">
        <v>8</v>
      </c>
      <c r="C36" s="25"/>
      <c r="D36" s="47">
        <f>SUM(D34:D35)</f>
        <v>50000000</v>
      </c>
    </row>
    <row r="37" spans="1:5" ht="18" customHeight="1" x14ac:dyDescent="0.25">
      <c r="A37" s="27"/>
      <c r="B37" s="25"/>
      <c r="C37" s="25"/>
      <c r="D37" s="47"/>
    </row>
    <row r="38" spans="1:5" ht="18" customHeight="1" x14ac:dyDescent="0.25">
      <c r="A38" s="28" t="s">
        <v>20</v>
      </c>
      <c r="B38" s="25"/>
      <c r="C38" s="25"/>
      <c r="D38" s="47"/>
    </row>
    <row r="39" spans="1:5" ht="18" customHeight="1" x14ac:dyDescent="0.25">
      <c r="A39" s="27"/>
      <c r="B39" s="25" t="s">
        <v>5</v>
      </c>
      <c r="C39" s="25"/>
      <c r="D39" s="47">
        <f>ROUND($D$24*0.0075,0)</f>
        <v>51387466</v>
      </c>
    </row>
    <row r="40" spans="1:5" ht="18" customHeight="1" x14ac:dyDescent="0.25">
      <c r="A40" s="27"/>
      <c r="B40" s="25" t="s">
        <v>7</v>
      </c>
      <c r="C40" s="25"/>
      <c r="D40" s="47">
        <v>163659</v>
      </c>
    </row>
    <row r="41" spans="1:5" ht="18" customHeight="1" x14ac:dyDescent="0.25">
      <c r="A41" s="27"/>
      <c r="B41" s="25" t="s">
        <v>8</v>
      </c>
      <c r="C41" s="25"/>
      <c r="D41" s="52">
        <f>SUM(D39:D40)</f>
        <v>51551125</v>
      </c>
    </row>
    <row r="42" spans="1:5" ht="18" customHeight="1" x14ac:dyDescent="0.25">
      <c r="A42" s="27"/>
      <c r="B42" s="25"/>
      <c r="C42" s="25"/>
      <c r="D42" s="47"/>
    </row>
    <row r="43" spans="1:5" ht="18" customHeight="1" x14ac:dyDescent="0.25">
      <c r="A43" s="111" t="s">
        <v>21</v>
      </c>
      <c r="B43" s="112"/>
      <c r="C43" s="112"/>
      <c r="D43" s="53"/>
    </row>
    <row r="44" spans="1:5" ht="18" customHeight="1" x14ac:dyDescent="0.25">
      <c r="A44" s="27"/>
      <c r="B44" s="25" t="s">
        <v>5</v>
      </c>
      <c r="C44" s="25"/>
      <c r="D44" s="47">
        <f>396932778+50000000</f>
        <v>446932778</v>
      </c>
    </row>
    <row r="45" spans="1:5" ht="18" customHeight="1" x14ac:dyDescent="0.25">
      <c r="A45" s="27"/>
      <c r="B45" s="25" t="s">
        <v>22</v>
      </c>
      <c r="C45" s="25"/>
      <c r="D45" s="47">
        <f>-(1984664+995000)</f>
        <v>-2979664</v>
      </c>
    </row>
    <row r="46" spans="1:5" ht="18" customHeight="1" x14ac:dyDescent="0.25">
      <c r="A46" s="27"/>
      <c r="B46" s="25" t="s">
        <v>23</v>
      </c>
      <c r="C46" s="25"/>
      <c r="D46" s="47">
        <f>-5000</f>
        <v>-5000</v>
      </c>
    </row>
    <row r="47" spans="1:5" ht="18" customHeight="1" x14ac:dyDescent="0.25">
      <c r="A47" s="27"/>
      <c r="B47" s="25" t="s">
        <v>8</v>
      </c>
      <c r="C47" s="25"/>
      <c r="D47" s="52">
        <f>SUM(D44:D46)</f>
        <v>443948114</v>
      </c>
    </row>
    <row r="48" spans="1:5" ht="18" customHeight="1" x14ac:dyDescent="0.25">
      <c r="A48" s="27"/>
      <c r="B48" s="25"/>
      <c r="C48" s="25"/>
      <c r="D48" s="47"/>
    </row>
    <row r="49" spans="1:5" ht="18" customHeight="1" x14ac:dyDescent="0.25">
      <c r="A49" s="113" t="s">
        <v>24</v>
      </c>
      <c r="B49" s="114"/>
      <c r="C49" s="114"/>
      <c r="D49" s="54"/>
    </row>
    <row r="50" spans="1:5" ht="18" customHeight="1" x14ac:dyDescent="0.25">
      <c r="A50" s="30"/>
      <c r="B50" s="6" t="s">
        <v>5</v>
      </c>
      <c r="C50" s="6"/>
      <c r="D50" s="55">
        <v>4923624</v>
      </c>
    </row>
    <row r="51" spans="1:5" ht="18" customHeight="1" x14ac:dyDescent="0.25">
      <c r="A51" s="30"/>
      <c r="B51" s="6" t="s">
        <v>8</v>
      </c>
      <c r="C51" s="6"/>
      <c r="D51" s="56">
        <f>D50</f>
        <v>4923624</v>
      </c>
    </row>
    <row r="52" spans="1:5" ht="18" customHeight="1" x14ac:dyDescent="0.25">
      <c r="A52" s="30"/>
      <c r="B52" s="6"/>
      <c r="C52" s="6"/>
      <c r="D52" s="54"/>
    </row>
    <row r="53" spans="1:5" ht="18" customHeight="1" x14ac:dyDescent="0.25">
      <c r="A53" s="31" t="s">
        <v>25</v>
      </c>
      <c r="B53" s="6"/>
      <c r="C53" s="6"/>
      <c r="D53" s="57"/>
    </row>
    <row r="54" spans="1:5" ht="18" customHeight="1" x14ac:dyDescent="0.25">
      <c r="A54" s="27"/>
      <c r="B54" s="25" t="s">
        <v>5</v>
      </c>
      <c r="C54" s="25"/>
      <c r="D54" s="47">
        <f>837584598+4679244</f>
        <v>842263842</v>
      </c>
    </row>
    <row r="55" spans="1:5" ht="18" customHeight="1" x14ac:dyDescent="0.25">
      <c r="A55" s="27"/>
      <c r="B55" s="25" t="s">
        <v>6</v>
      </c>
      <c r="C55" s="25"/>
      <c r="D55" s="47">
        <f>-4679244</f>
        <v>-4679244</v>
      </c>
    </row>
    <row r="56" spans="1:5" ht="18" customHeight="1" x14ac:dyDescent="0.25">
      <c r="A56" s="27"/>
      <c r="B56" s="25" t="s">
        <v>16</v>
      </c>
      <c r="C56" s="25"/>
      <c r="D56" s="58">
        <f>ROUND(419926283*0.282977,0)</f>
        <v>118829480</v>
      </c>
    </row>
    <row r="57" spans="1:5" ht="18" customHeight="1" x14ac:dyDescent="0.25">
      <c r="A57" s="27"/>
      <c r="B57" s="25" t="s">
        <v>7</v>
      </c>
      <c r="C57" s="25"/>
      <c r="D57" s="47">
        <v>229376</v>
      </c>
    </row>
    <row r="58" spans="1:5" ht="18" customHeight="1" x14ac:dyDescent="0.25">
      <c r="A58" s="27"/>
      <c r="B58" s="25" t="s">
        <v>8</v>
      </c>
      <c r="C58" s="25"/>
      <c r="D58" s="52">
        <f>SUM(D54:D57)</f>
        <v>956643454</v>
      </c>
    </row>
    <row r="59" spans="1:5" ht="18" customHeight="1" x14ac:dyDescent="0.25">
      <c r="A59" s="27"/>
      <c r="B59" s="25"/>
      <c r="C59" s="25"/>
      <c r="D59" s="51"/>
    </row>
    <row r="60" spans="1:5" ht="18" customHeight="1" x14ac:dyDescent="0.25">
      <c r="A60" s="28" t="s">
        <v>26</v>
      </c>
      <c r="B60" s="25"/>
      <c r="C60" s="25"/>
      <c r="D60" s="59"/>
    </row>
    <row r="61" spans="1:5" ht="18" customHeight="1" x14ac:dyDescent="0.25">
      <c r="A61" s="27"/>
      <c r="B61" s="25" t="s">
        <v>5</v>
      </c>
      <c r="C61" s="25"/>
      <c r="D61" s="60">
        <v>18716974</v>
      </c>
    </row>
    <row r="62" spans="1:5" ht="18" customHeight="1" x14ac:dyDescent="0.25">
      <c r="A62" s="27"/>
      <c r="B62" s="25" t="s">
        <v>27</v>
      </c>
      <c r="C62" s="25"/>
      <c r="D62" s="61">
        <f>-ROUND(18716974*0.15,0)</f>
        <v>-2807546</v>
      </c>
    </row>
    <row r="63" spans="1:5" ht="18" customHeight="1" x14ac:dyDescent="0.25">
      <c r="A63" s="27"/>
      <c r="B63" s="25" t="s">
        <v>28</v>
      </c>
      <c r="C63" s="25"/>
      <c r="D63" s="61">
        <v>500000</v>
      </c>
      <c r="E63" s="5"/>
    </row>
    <row r="64" spans="1:5" ht="18" customHeight="1" x14ac:dyDescent="0.25">
      <c r="A64" s="27"/>
      <c r="B64" s="25" t="s">
        <v>29</v>
      </c>
      <c r="C64" s="25"/>
      <c r="D64" s="61">
        <v>-500000</v>
      </c>
    </row>
    <row r="65" spans="1:4" ht="18" customHeight="1" x14ac:dyDescent="0.25">
      <c r="A65" s="27"/>
      <c r="B65" s="25" t="s">
        <v>7</v>
      </c>
      <c r="C65" s="25"/>
      <c r="D65" s="61">
        <v>71797</v>
      </c>
    </row>
    <row r="66" spans="1:4" ht="18" customHeight="1" x14ac:dyDescent="0.25">
      <c r="A66" s="27"/>
      <c r="B66" s="25" t="s">
        <v>8</v>
      </c>
      <c r="C66" s="25"/>
      <c r="D66" s="62">
        <f>SUM(D61:D65)</f>
        <v>15981225</v>
      </c>
    </row>
    <row r="67" spans="1:4" ht="18" customHeight="1" x14ac:dyDescent="0.25">
      <c r="A67" s="27"/>
      <c r="B67" s="25"/>
      <c r="C67" s="25"/>
      <c r="D67" s="51"/>
    </row>
    <row r="68" spans="1:4" ht="18" customHeight="1" x14ac:dyDescent="0.25">
      <c r="A68" s="28" t="s">
        <v>30</v>
      </c>
      <c r="B68" s="32"/>
      <c r="C68" s="32"/>
      <c r="D68" s="59"/>
    </row>
    <row r="69" spans="1:4" ht="18" customHeight="1" x14ac:dyDescent="0.25">
      <c r="A69" s="27"/>
      <c r="B69" s="25" t="s">
        <v>5</v>
      </c>
      <c r="C69" s="25"/>
      <c r="D69" s="47">
        <v>37433948</v>
      </c>
    </row>
    <row r="70" spans="1:4" ht="18" customHeight="1" x14ac:dyDescent="0.25">
      <c r="A70" s="27"/>
      <c r="B70" s="25" t="s">
        <v>7</v>
      </c>
      <c r="C70" s="25"/>
      <c r="D70" s="47">
        <v>121642</v>
      </c>
    </row>
    <row r="71" spans="1:4" ht="18" customHeight="1" x14ac:dyDescent="0.25">
      <c r="A71" s="27"/>
      <c r="B71" s="25" t="s">
        <v>8</v>
      </c>
      <c r="C71" s="25"/>
      <c r="D71" s="52">
        <f>SUM(D69:D70)</f>
        <v>37555590</v>
      </c>
    </row>
    <row r="72" spans="1:4" ht="18" customHeight="1" x14ac:dyDescent="0.25">
      <c r="A72" s="27"/>
      <c r="B72" s="25"/>
      <c r="C72" s="25"/>
      <c r="D72" s="47"/>
    </row>
    <row r="73" spans="1:4" ht="18" customHeight="1" x14ac:dyDescent="0.25">
      <c r="A73" s="28" t="s">
        <v>31</v>
      </c>
      <c r="B73" s="32"/>
      <c r="C73" s="32"/>
      <c r="D73" s="47"/>
    </row>
    <row r="74" spans="1:4" ht="18" customHeight="1" x14ac:dyDescent="0.25">
      <c r="A74" s="27"/>
      <c r="B74" s="25" t="s">
        <v>5</v>
      </c>
      <c r="C74" s="25"/>
      <c r="D74" s="50">
        <v>9358487</v>
      </c>
    </row>
    <row r="75" spans="1:4" ht="18" customHeight="1" x14ac:dyDescent="0.3">
      <c r="A75" s="27"/>
      <c r="B75" s="25" t="s">
        <v>8</v>
      </c>
      <c r="C75" s="33"/>
      <c r="D75" s="63">
        <f>D74</f>
        <v>9358487</v>
      </c>
    </row>
    <row r="76" spans="1:4" ht="18" customHeight="1" x14ac:dyDescent="0.25">
      <c r="A76" s="27"/>
      <c r="B76" s="25"/>
      <c r="C76" s="25"/>
      <c r="D76" s="47"/>
    </row>
    <row r="77" spans="1:4" ht="18" customHeight="1" x14ac:dyDescent="0.25">
      <c r="A77" s="28" t="s">
        <v>32</v>
      </c>
      <c r="B77" s="32"/>
      <c r="C77" s="32"/>
      <c r="D77" s="47"/>
    </row>
    <row r="78" spans="1:4" ht="18" customHeight="1" x14ac:dyDescent="0.25">
      <c r="A78" s="27"/>
      <c r="B78" s="25" t="s">
        <v>5</v>
      </c>
      <c r="C78" s="25"/>
      <c r="D78" s="47">
        <v>28075461</v>
      </c>
    </row>
    <row r="79" spans="1:4" ht="18" customHeight="1" x14ac:dyDescent="0.25">
      <c r="A79" s="27"/>
      <c r="B79" s="25" t="s">
        <v>33</v>
      </c>
      <c r="C79" s="25"/>
      <c r="D79" s="64">
        <f>SUM(D78:D78)</f>
        <v>28075461</v>
      </c>
    </row>
    <row r="80" spans="1:4" ht="18" customHeight="1" x14ac:dyDescent="0.25">
      <c r="A80" s="30"/>
      <c r="B80" s="6"/>
      <c r="C80" s="6"/>
      <c r="D80" s="54"/>
    </row>
    <row r="81" spans="1:5" ht="18" customHeight="1" x14ac:dyDescent="0.25">
      <c r="A81" s="31" t="s">
        <v>34</v>
      </c>
      <c r="B81" s="20"/>
      <c r="C81" s="20"/>
      <c r="D81" s="65"/>
    </row>
    <row r="82" spans="1:5" ht="18" customHeight="1" x14ac:dyDescent="0.25">
      <c r="A82" s="30"/>
      <c r="B82" s="6" t="s">
        <v>5</v>
      </c>
      <c r="C82" s="7"/>
      <c r="D82" s="47">
        <v>27009306</v>
      </c>
    </row>
    <row r="83" spans="1:5" ht="18" customHeight="1" x14ac:dyDescent="0.25">
      <c r="A83" s="30"/>
      <c r="B83" s="25" t="s">
        <v>19</v>
      </c>
      <c r="C83" s="6"/>
      <c r="D83" s="66">
        <v>3568868</v>
      </c>
      <c r="E83" s="5"/>
    </row>
    <row r="84" spans="1:5" ht="18" customHeight="1" x14ac:dyDescent="0.25">
      <c r="A84" s="30"/>
      <c r="B84" s="6" t="s">
        <v>33</v>
      </c>
      <c r="C84" s="6"/>
      <c r="D84" s="56">
        <f>SUM(D82:D83)</f>
        <v>30578174</v>
      </c>
    </row>
    <row r="85" spans="1:5" ht="18" customHeight="1" x14ac:dyDescent="0.25">
      <c r="A85" s="30"/>
      <c r="B85" s="6"/>
      <c r="C85" s="6"/>
      <c r="D85" s="56"/>
    </row>
    <row r="86" spans="1:5" ht="18" customHeight="1" x14ac:dyDescent="0.25">
      <c r="A86" s="31" t="s">
        <v>35</v>
      </c>
      <c r="B86" s="8"/>
      <c r="C86" s="8"/>
      <c r="D86" s="54"/>
    </row>
    <row r="87" spans="1:5" ht="18" customHeight="1" x14ac:dyDescent="0.25">
      <c r="A87" s="31"/>
      <c r="B87" s="25" t="s">
        <v>5</v>
      </c>
      <c r="C87" s="20"/>
      <c r="D87" s="55">
        <v>5345938</v>
      </c>
    </row>
    <row r="88" spans="1:5" ht="18" customHeight="1" x14ac:dyDescent="0.25">
      <c r="A88" s="30"/>
      <c r="B88" s="25" t="s">
        <v>33</v>
      </c>
      <c r="C88" s="6"/>
      <c r="D88" s="56">
        <f>SUM(D87:D87)</f>
        <v>5345938</v>
      </c>
    </row>
    <row r="89" spans="1:5" ht="18" customHeight="1" x14ac:dyDescent="0.25">
      <c r="A89" s="30"/>
      <c r="B89" s="6"/>
      <c r="C89" s="6"/>
      <c r="D89" s="54"/>
    </row>
    <row r="90" spans="1:5" ht="18" customHeight="1" x14ac:dyDescent="0.25">
      <c r="A90" s="31" t="s">
        <v>36</v>
      </c>
      <c r="B90" s="8"/>
      <c r="C90" s="8"/>
      <c r="D90" s="54"/>
    </row>
    <row r="91" spans="1:5" ht="18" customHeight="1" x14ac:dyDescent="0.25">
      <c r="A91" s="31"/>
      <c r="B91" s="25" t="s">
        <v>5</v>
      </c>
      <c r="C91" s="20"/>
      <c r="D91" s="55">
        <v>7033749</v>
      </c>
    </row>
    <row r="92" spans="1:5" ht="18" customHeight="1" x14ac:dyDescent="0.25">
      <c r="A92" s="30"/>
      <c r="B92" s="25" t="s">
        <v>33</v>
      </c>
      <c r="C92" s="6"/>
      <c r="D92" s="56">
        <f>SUM(D91:D91)</f>
        <v>7033749</v>
      </c>
    </row>
    <row r="93" spans="1:5" ht="18" customHeight="1" x14ac:dyDescent="0.25">
      <c r="A93" s="30"/>
      <c r="B93" s="6"/>
      <c r="C93" s="6"/>
      <c r="D93" s="54"/>
    </row>
    <row r="94" spans="1:5" ht="18" customHeight="1" x14ac:dyDescent="0.25">
      <c r="A94" s="31" t="s">
        <v>37</v>
      </c>
      <c r="B94" s="20"/>
      <c r="C94" s="20"/>
      <c r="D94" s="67"/>
    </row>
    <row r="95" spans="1:5" ht="18" customHeight="1" x14ac:dyDescent="0.25">
      <c r="A95" s="30"/>
      <c r="B95" s="6" t="s">
        <v>5</v>
      </c>
      <c r="C95" s="7"/>
      <c r="D95" s="47">
        <f>5626999+7033749</f>
        <v>12660748</v>
      </c>
    </row>
    <row r="96" spans="1:5" ht="18" customHeight="1" x14ac:dyDescent="0.25">
      <c r="A96" s="30"/>
      <c r="B96" s="6" t="s">
        <v>38</v>
      </c>
      <c r="C96" s="6"/>
      <c r="D96" s="47">
        <v>-7033749</v>
      </c>
    </row>
    <row r="97" spans="1:5" ht="18" customHeight="1" x14ac:dyDescent="0.25">
      <c r="A97" s="30"/>
      <c r="B97" s="25" t="s">
        <v>19</v>
      </c>
      <c r="C97" s="6"/>
      <c r="D97" s="66">
        <v>7500000</v>
      </c>
    </row>
    <row r="98" spans="1:5" ht="18" customHeight="1" x14ac:dyDescent="0.25">
      <c r="A98" s="30"/>
      <c r="B98" s="6" t="s">
        <v>33</v>
      </c>
      <c r="C98" s="6"/>
      <c r="D98" s="56">
        <f>SUM(D95:D97)</f>
        <v>13126999</v>
      </c>
    </row>
    <row r="99" spans="1:5" ht="18" customHeight="1" x14ac:dyDescent="0.25">
      <c r="A99" s="30"/>
      <c r="B99" s="6"/>
      <c r="C99" s="6"/>
      <c r="D99" s="54"/>
    </row>
    <row r="100" spans="1:5" ht="18" customHeight="1" x14ac:dyDescent="0.25">
      <c r="A100" s="28" t="s">
        <v>39</v>
      </c>
      <c r="B100" s="32"/>
      <c r="C100" s="32"/>
      <c r="D100" s="68"/>
    </row>
    <row r="101" spans="1:5" ht="18" customHeight="1" x14ac:dyDescent="0.25">
      <c r="A101" s="30"/>
      <c r="B101" s="25" t="s">
        <v>18</v>
      </c>
      <c r="C101" s="6"/>
      <c r="D101" s="47">
        <v>5345938</v>
      </c>
    </row>
    <row r="102" spans="1:5" ht="18" customHeight="1" x14ac:dyDescent="0.25">
      <c r="A102" s="30"/>
      <c r="B102" s="25" t="s">
        <v>19</v>
      </c>
      <c r="C102" s="6"/>
      <c r="D102" s="66">
        <v>1500000</v>
      </c>
      <c r="E102" s="5"/>
    </row>
    <row r="103" spans="1:5" ht="18" customHeight="1" x14ac:dyDescent="0.25">
      <c r="A103" s="30"/>
      <c r="B103" s="6" t="s">
        <v>33</v>
      </c>
      <c r="C103" s="6"/>
      <c r="D103" s="56">
        <f>SUM(D101:D102)</f>
        <v>6845938</v>
      </c>
    </row>
    <row r="104" spans="1:5" ht="18" customHeight="1" x14ac:dyDescent="0.25">
      <c r="A104" s="30"/>
      <c r="B104" s="6"/>
      <c r="C104" s="6"/>
      <c r="D104" s="54"/>
    </row>
    <row r="105" spans="1:5" ht="18" customHeight="1" x14ac:dyDescent="0.25">
      <c r="A105" s="31" t="s">
        <v>40</v>
      </c>
      <c r="B105" s="9"/>
      <c r="C105" s="9"/>
      <c r="D105" s="69"/>
    </row>
    <row r="106" spans="1:5" ht="18" customHeight="1" x14ac:dyDescent="0.25">
      <c r="A106" s="28"/>
      <c r="B106" s="25" t="s">
        <v>5</v>
      </c>
      <c r="C106" s="34"/>
      <c r="D106" s="47">
        <f>37556754+3418118663+300000000+950000000</f>
        <v>4705675417</v>
      </c>
    </row>
    <row r="107" spans="1:5" ht="18" customHeight="1" x14ac:dyDescent="0.25">
      <c r="A107" s="27"/>
      <c r="B107" s="25" t="s">
        <v>22</v>
      </c>
      <c r="C107" s="25"/>
      <c r="D107" s="47">
        <f>-(37556754+18905000)</f>
        <v>-56461754</v>
      </c>
    </row>
    <row r="108" spans="1:5" ht="18" customHeight="1" x14ac:dyDescent="0.25">
      <c r="A108" s="27"/>
      <c r="B108" s="25" t="s">
        <v>23</v>
      </c>
      <c r="C108" s="25"/>
      <c r="D108" s="47">
        <f>-95000</f>
        <v>-95000</v>
      </c>
    </row>
    <row r="109" spans="1:5" ht="18" customHeight="1" x14ac:dyDescent="0.25">
      <c r="A109" s="27"/>
      <c r="B109" s="25" t="s">
        <v>41</v>
      </c>
      <c r="C109" s="25"/>
      <c r="D109" s="47">
        <v>-300000000</v>
      </c>
    </row>
    <row r="110" spans="1:5" ht="18" customHeight="1" x14ac:dyDescent="0.25">
      <c r="A110" s="27"/>
      <c r="B110" s="25" t="s">
        <v>42</v>
      </c>
      <c r="C110" s="25"/>
      <c r="D110" s="47">
        <f>43585+715891</f>
        <v>759476</v>
      </c>
    </row>
    <row r="111" spans="1:5" ht="18" customHeight="1" x14ac:dyDescent="0.25">
      <c r="A111" s="27"/>
      <c r="B111" s="25" t="s">
        <v>8</v>
      </c>
      <c r="C111" s="25"/>
      <c r="D111" s="50">
        <f>D106+D107+D108+D109+D110</f>
        <v>4349878139</v>
      </c>
    </row>
    <row r="112" spans="1:5" ht="18" customHeight="1" x14ac:dyDescent="0.25">
      <c r="A112" s="27"/>
      <c r="B112" s="25" t="s">
        <v>43</v>
      </c>
      <c r="C112" s="25"/>
      <c r="D112" s="47">
        <f>3320702281+904466500+D110</f>
        <v>4225928257</v>
      </c>
    </row>
    <row r="113" spans="1:6" ht="18" customHeight="1" x14ac:dyDescent="0.25">
      <c r="A113" s="27"/>
      <c r="B113" s="25" t="s">
        <v>44</v>
      </c>
      <c r="C113" s="25"/>
      <c r="D113" s="47">
        <f>97416382+26533500</f>
        <v>123949882</v>
      </c>
    </row>
    <row r="114" spans="1:6" ht="18" customHeight="1" x14ac:dyDescent="0.25">
      <c r="A114" s="27"/>
      <c r="B114" s="25"/>
      <c r="C114" s="25"/>
      <c r="D114" s="47"/>
    </row>
    <row r="115" spans="1:6" ht="18" customHeight="1" x14ac:dyDescent="0.25">
      <c r="A115" s="31" t="s">
        <v>45</v>
      </c>
      <c r="B115" s="25"/>
      <c r="C115" s="25"/>
      <c r="D115" s="47"/>
    </row>
    <row r="116" spans="1:6" ht="18" customHeight="1" x14ac:dyDescent="0.25">
      <c r="A116" s="27"/>
      <c r="B116" s="6" t="s">
        <v>5</v>
      </c>
      <c r="C116" s="6"/>
      <c r="D116" s="55">
        <v>300000000</v>
      </c>
    </row>
    <row r="117" spans="1:6" ht="18" customHeight="1" x14ac:dyDescent="0.25">
      <c r="A117" s="27"/>
      <c r="B117" s="6" t="s">
        <v>33</v>
      </c>
      <c r="C117" s="6"/>
      <c r="D117" s="56">
        <f>SUM(D116:D116)</f>
        <v>300000000</v>
      </c>
    </row>
    <row r="118" spans="1:6" ht="18" customHeight="1" x14ac:dyDescent="0.25">
      <c r="A118" s="27"/>
      <c r="B118" s="25"/>
      <c r="C118" s="25"/>
      <c r="D118" s="47"/>
    </row>
    <row r="119" spans="1:6" ht="18" customHeight="1" x14ac:dyDescent="0.25">
      <c r="A119" s="28" t="s">
        <v>46</v>
      </c>
      <c r="B119" s="25"/>
      <c r="C119" s="25"/>
      <c r="D119" s="51"/>
    </row>
    <row r="120" spans="1:6" ht="18" customHeight="1" x14ac:dyDescent="0.25">
      <c r="A120" s="27"/>
      <c r="B120" s="25" t="s">
        <v>5</v>
      </c>
      <c r="C120" s="25"/>
      <c r="D120" s="47">
        <v>645781441</v>
      </c>
    </row>
    <row r="121" spans="1:6" ht="18" customHeight="1" x14ac:dyDescent="0.25">
      <c r="A121" s="27"/>
      <c r="B121" s="100" t="s">
        <v>6</v>
      </c>
      <c r="C121" s="101"/>
      <c r="D121" s="47">
        <f>-ROUND($D$120*0.0075,0)</f>
        <v>-4843361</v>
      </c>
    </row>
    <row r="122" spans="1:6" ht="18" customHeight="1" x14ac:dyDescent="0.25">
      <c r="A122" s="27"/>
      <c r="B122" s="25" t="s">
        <v>7</v>
      </c>
      <c r="C122" s="35"/>
      <c r="D122" s="55">
        <f>492248+2492981</f>
        <v>2985229</v>
      </c>
      <c r="F122" s="4"/>
    </row>
    <row r="123" spans="1:6" ht="18" customHeight="1" x14ac:dyDescent="0.25">
      <c r="A123" s="27"/>
      <c r="B123" s="102" t="s">
        <v>8</v>
      </c>
      <c r="C123" s="103"/>
      <c r="D123" s="47">
        <f>SUM(D120:D122)</f>
        <v>643923309</v>
      </c>
    </row>
    <row r="124" spans="1:6" ht="18" customHeight="1" x14ac:dyDescent="0.25">
      <c r="A124" s="36"/>
      <c r="B124" s="10"/>
      <c r="C124" s="10"/>
      <c r="D124" s="57"/>
    </row>
    <row r="125" spans="1:6" ht="18" customHeight="1" x14ac:dyDescent="0.25">
      <c r="A125" s="37" t="s">
        <v>47</v>
      </c>
      <c r="B125" s="11"/>
      <c r="C125" s="11"/>
      <c r="D125" s="65"/>
    </row>
    <row r="126" spans="1:6" ht="18" customHeight="1" x14ac:dyDescent="0.25">
      <c r="A126" s="37"/>
      <c r="B126" s="6" t="s">
        <v>5</v>
      </c>
      <c r="C126" s="7"/>
      <c r="D126" s="47">
        <v>478202088</v>
      </c>
    </row>
    <row r="127" spans="1:6" ht="18" customHeight="1" x14ac:dyDescent="0.25">
      <c r="A127" s="37"/>
      <c r="B127" s="100" t="s">
        <v>6</v>
      </c>
      <c r="C127" s="101"/>
      <c r="D127" s="47">
        <f>-ROUND($D$126*0.0075,0)+1</f>
        <v>-3586515</v>
      </c>
    </row>
    <row r="128" spans="1:6" ht="18" customHeight="1" x14ac:dyDescent="0.25">
      <c r="A128" s="37"/>
      <c r="B128" s="100" t="s">
        <v>48</v>
      </c>
      <c r="C128" s="101"/>
      <c r="D128" s="55">
        <v>-76512334</v>
      </c>
    </row>
    <row r="129" spans="1:4" ht="18" customHeight="1" x14ac:dyDescent="0.25">
      <c r="A129" s="30"/>
      <c r="B129" s="6" t="s">
        <v>8</v>
      </c>
      <c r="C129" s="7"/>
      <c r="D129" s="47">
        <f>SUM(D126:D128)</f>
        <v>398103239</v>
      </c>
    </row>
    <row r="130" spans="1:4" ht="18" customHeight="1" x14ac:dyDescent="0.25">
      <c r="A130" s="38"/>
      <c r="B130" s="12"/>
      <c r="C130" s="13"/>
      <c r="D130" s="70"/>
    </row>
    <row r="131" spans="1:4" ht="18" customHeight="1" x14ac:dyDescent="0.25">
      <c r="A131" s="31" t="s">
        <v>49</v>
      </c>
      <c r="B131" s="14"/>
      <c r="C131" s="14"/>
      <c r="D131" s="70"/>
    </row>
    <row r="132" spans="1:4" ht="18" customHeight="1" x14ac:dyDescent="0.25">
      <c r="A132" s="39"/>
      <c r="B132" s="6" t="s">
        <v>5</v>
      </c>
      <c r="C132" s="12"/>
      <c r="D132" s="47">
        <f>20895000+105000+1029000000+76512334</f>
        <v>1126512334</v>
      </c>
    </row>
    <row r="133" spans="1:4" ht="18" customHeight="1" x14ac:dyDescent="0.25">
      <c r="A133" s="39"/>
      <c r="B133" s="25" t="s">
        <v>50</v>
      </c>
      <c r="C133" s="25"/>
      <c r="D133" s="47">
        <v>-20895000</v>
      </c>
    </row>
    <row r="134" spans="1:4" ht="18" customHeight="1" x14ac:dyDescent="0.25">
      <c r="A134" s="39"/>
      <c r="B134" s="25" t="s">
        <v>23</v>
      </c>
      <c r="C134" s="35"/>
      <c r="D134" s="50">
        <v>-105000</v>
      </c>
    </row>
    <row r="135" spans="1:4" ht="18" customHeight="1" x14ac:dyDescent="0.25">
      <c r="A135" s="38"/>
      <c r="B135" s="6" t="s">
        <v>33</v>
      </c>
      <c r="C135" s="12"/>
      <c r="D135" s="71">
        <f>SUM(D132:D134)</f>
        <v>1105512334</v>
      </c>
    </row>
    <row r="136" spans="1:4" ht="18" customHeight="1" x14ac:dyDescent="0.25">
      <c r="A136" s="38"/>
      <c r="B136" s="12"/>
      <c r="C136" s="12"/>
      <c r="D136" s="63"/>
    </row>
    <row r="137" spans="1:4" ht="18" customHeight="1" x14ac:dyDescent="0.25">
      <c r="A137" s="28" t="s">
        <v>51</v>
      </c>
      <c r="B137" s="15"/>
      <c r="C137" s="16"/>
      <c r="D137" s="61"/>
    </row>
    <row r="138" spans="1:4" ht="18" customHeight="1" x14ac:dyDescent="0.25">
      <c r="A138" s="40"/>
      <c r="B138" s="17" t="s">
        <v>5</v>
      </c>
      <c r="C138" s="17"/>
      <c r="D138" s="72">
        <f>6965000+35000+343000000</f>
        <v>350000000</v>
      </c>
    </row>
    <row r="139" spans="1:4" ht="18" customHeight="1" x14ac:dyDescent="0.25">
      <c r="A139" s="40"/>
      <c r="B139" s="17" t="s">
        <v>10</v>
      </c>
      <c r="C139" s="17"/>
      <c r="D139" s="61">
        <v>-6965000</v>
      </c>
    </row>
    <row r="140" spans="1:4" ht="18" customHeight="1" x14ac:dyDescent="0.25">
      <c r="A140" s="40"/>
      <c r="B140" s="17" t="s">
        <v>23</v>
      </c>
      <c r="C140" s="17"/>
      <c r="D140" s="73">
        <v>-35000</v>
      </c>
    </row>
    <row r="141" spans="1:4" ht="18" customHeight="1" x14ac:dyDescent="0.25">
      <c r="A141" s="40"/>
      <c r="B141" s="17" t="s">
        <v>8</v>
      </c>
      <c r="C141" s="17"/>
      <c r="D141" s="61">
        <f>SUM(D138:D140)</f>
        <v>343000000</v>
      </c>
    </row>
    <row r="142" spans="1:4" ht="18" customHeight="1" x14ac:dyDescent="0.25">
      <c r="A142" s="40"/>
      <c r="B142" s="17"/>
      <c r="C142" s="17"/>
      <c r="D142" s="61"/>
    </row>
    <row r="143" spans="1:4" ht="18" customHeight="1" x14ac:dyDescent="0.25">
      <c r="A143" s="28" t="s">
        <v>52</v>
      </c>
      <c r="B143" s="15"/>
      <c r="C143" s="16"/>
      <c r="D143" s="61"/>
    </row>
    <row r="144" spans="1:4" ht="18" customHeight="1" x14ac:dyDescent="0.25">
      <c r="A144" s="40"/>
      <c r="B144" s="17" t="s">
        <v>5</v>
      </c>
      <c r="C144" s="17"/>
      <c r="D144" s="72">
        <f>995000+5000+49000000</f>
        <v>50000000</v>
      </c>
    </row>
    <row r="145" spans="1:5" ht="18" customHeight="1" x14ac:dyDescent="0.25">
      <c r="A145" s="40"/>
      <c r="B145" s="17" t="s">
        <v>10</v>
      </c>
      <c r="C145" s="17"/>
      <c r="D145" s="61">
        <v>-995000</v>
      </c>
    </row>
    <row r="146" spans="1:5" ht="18" customHeight="1" x14ac:dyDescent="0.25">
      <c r="A146" s="40"/>
      <c r="B146" s="17" t="s">
        <v>23</v>
      </c>
      <c r="C146" s="17"/>
      <c r="D146" s="73">
        <v>-5000</v>
      </c>
    </row>
    <row r="147" spans="1:5" ht="18" customHeight="1" x14ac:dyDescent="0.25">
      <c r="A147" s="40"/>
      <c r="B147" s="17" t="s">
        <v>8</v>
      </c>
      <c r="C147" s="17"/>
      <c r="D147" s="61">
        <f>SUM(D144:D146)</f>
        <v>49000000</v>
      </c>
    </row>
    <row r="148" spans="1:5" ht="18" customHeight="1" x14ac:dyDescent="0.25">
      <c r="A148" s="40"/>
      <c r="B148" s="17"/>
      <c r="C148" s="17"/>
      <c r="D148" s="61"/>
    </row>
    <row r="149" spans="1:5" ht="18" customHeight="1" x14ac:dyDescent="0.25">
      <c r="A149" s="28" t="s">
        <v>53</v>
      </c>
      <c r="B149" s="15"/>
      <c r="C149" s="16"/>
      <c r="D149" s="61"/>
    </row>
    <row r="150" spans="1:5" ht="18" customHeight="1" x14ac:dyDescent="0.25">
      <c r="A150" s="40"/>
      <c r="B150" s="17" t="s">
        <v>54</v>
      </c>
      <c r="C150" s="17"/>
      <c r="D150" s="74">
        <f>3980000+20000+196000000</f>
        <v>200000000</v>
      </c>
    </row>
    <row r="151" spans="1:5" ht="18" customHeight="1" x14ac:dyDescent="0.25">
      <c r="A151" s="40"/>
      <c r="B151" s="18" t="s">
        <v>19</v>
      </c>
      <c r="C151" s="19"/>
      <c r="D151" s="74">
        <v>20000000</v>
      </c>
      <c r="E151" s="5"/>
    </row>
    <row r="152" spans="1:5" ht="18" customHeight="1" x14ac:dyDescent="0.25">
      <c r="A152" s="40"/>
      <c r="B152" s="17" t="s">
        <v>10</v>
      </c>
      <c r="C152" s="17"/>
      <c r="D152" s="61">
        <v>-3980000</v>
      </c>
    </row>
    <row r="153" spans="1:5" ht="18" customHeight="1" x14ac:dyDescent="0.25">
      <c r="A153" s="40"/>
      <c r="B153" s="17" t="s">
        <v>23</v>
      </c>
      <c r="C153" s="17"/>
      <c r="D153" s="73">
        <v>-20000</v>
      </c>
    </row>
    <row r="154" spans="1:5" ht="18" customHeight="1" x14ac:dyDescent="0.25">
      <c r="A154" s="40"/>
      <c r="B154" s="17" t="s">
        <v>8</v>
      </c>
      <c r="C154" s="17"/>
      <c r="D154" s="61">
        <f>SUM(D150:D153)</f>
        <v>216000000</v>
      </c>
    </row>
    <row r="155" spans="1:5" ht="18" customHeight="1" x14ac:dyDescent="0.25">
      <c r="A155" s="40"/>
      <c r="B155" s="17"/>
      <c r="C155" s="17"/>
      <c r="D155" s="61"/>
    </row>
    <row r="156" spans="1:5" ht="18" customHeight="1" x14ac:dyDescent="0.25">
      <c r="A156" s="28" t="s">
        <v>55</v>
      </c>
      <c r="B156" s="25"/>
      <c r="C156" s="25"/>
      <c r="D156" s="51"/>
    </row>
    <row r="157" spans="1:5" ht="18" customHeight="1" x14ac:dyDescent="0.25">
      <c r="A157" s="27"/>
      <c r="B157" s="25" t="s">
        <v>5</v>
      </c>
      <c r="C157" s="25"/>
      <c r="D157" s="75">
        <f>2130950000+52000000+22050000+16000000+1584000000</f>
        <v>3805000000</v>
      </c>
    </row>
    <row r="158" spans="1:5" ht="18" customHeight="1" x14ac:dyDescent="0.25">
      <c r="A158" s="27"/>
      <c r="B158" s="25" t="s">
        <v>6</v>
      </c>
      <c r="C158" s="25"/>
      <c r="D158" s="75">
        <f>-22050000-16000000</f>
        <v>-38050000</v>
      </c>
    </row>
    <row r="159" spans="1:5" ht="18" customHeight="1" x14ac:dyDescent="0.25">
      <c r="A159" s="27"/>
      <c r="B159" s="25" t="s">
        <v>8</v>
      </c>
      <c r="C159" s="25"/>
      <c r="D159" s="76">
        <f>D157+D158</f>
        <v>3766950000</v>
      </c>
    </row>
    <row r="160" spans="1:5" ht="18" customHeight="1" x14ac:dyDescent="0.25">
      <c r="A160" s="27"/>
      <c r="B160" s="25"/>
      <c r="C160" s="25"/>
      <c r="D160" s="60"/>
    </row>
    <row r="161" spans="1:4" ht="18" customHeight="1" x14ac:dyDescent="0.25">
      <c r="A161" s="24" t="s">
        <v>56</v>
      </c>
      <c r="B161" s="25"/>
      <c r="C161" s="25"/>
      <c r="D161" s="51"/>
    </row>
    <row r="162" spans="1:4" ht="18" customHeight="1" x14ac:dyDescent="0.25">
      <c r="A162" s="26"/>
      <c r="B162" s="25" t="s">
        <v>5</v>
      </c>
      <c r="C162" s="25"/>
      <c r="D162" s="60">
        <f>1500000+148500000</f>
        <v>150000000</v>
      </c>
    </row>
    <row r="163" spans="1:4" ht="18" customHeight="1" x14ac:dyDescent="0.25">
      <c r="A163" s="26"/>
      <c r="B163" s="25" t="s">
        <v>10</v>
      </c>
      <c r="C163" s="25"/>
      <c r="D163" s="77">
        <f>-1500000</f>
        <v>-1500000</v>
      </c>
    </row>
    <row r="164" spans="1:4" ht="18" customHeight="1" x14ac:dyDescent="0.25">
      <c r="A164" s="26"/>
      <c r="B164" s="25" t="s">
        <v>8</v>
      </c>
      <c r="C164" s="25"/>
      <c r="D164" s="60">
        <f>SUM(D162:D163)</f>
        <v>148500000</v>
      </c>
    </row>
    <row r="165" spans="1:4" ht="18" customHeight="1" thickBot="1" x14ac:dyDescent="0.3">
      <c r="A165" s="26"/>
      <c r="B165" s="25"/>
      <c r="C165" s="25"/>
      <c r="D165" s="51"/>
    </row>
    <row r="166" spans="1:4" ht="18" customHeight="1" x14ac:dyDescent="0.25">
      <c r="A166" s="41" t="s">
        <v>57</v>
      </c>
      <c r="B166" s="3"/>
      <c r="C166" s="3"/>
      <c r="D166" s="78">
        <f>D9+D14+D20+D24+D28+D29+D35+D44+D50+D54+D56+D61+D63+D69+D74+D78+D82+D83+D87+D91+D95+D97+D101+D102+D106+D120+D126+D128+D132+D138+D144+D150+D151+D157+D162</f>
        <v>20788294632</v>
      </c>
    </row>
    <row r="167" spans="1:4" ht="18" customHeight="1" x14ac:dyDescent="0.25">
      <c r="A167" s="42" t="s">
        <v>58</v>
      </c>
      <c r="B167" s="43"/>
      <c r="C167" s="43"/>
      <c r="D167" s="79">
        <f>D11+D17+D21+D31+D36+D41+D47+D51+D58+D66+D71+D75+D79+D84+D88+D92+D98+D103+D111+D117+D123+D129+D135+D141+D147+D154+D159+D164</f>
        <v>20587317342</v>
      </c>
    </row>
    <row r="169" spans="1:4" x14ac:dyDescent="0.25">
      <c r="D169" s="80"/>
    </row>
    <row r="170" spans="1:4" x14ac:dyDescent="0.25">
      <c r="D170" s="80"/>
    </row>
  </sheetData>
  <mergeCells count="16">
    <mergeCell ref="B121:C121"/>
    <mergeCell ref="B123:C123"/>
    <mergeCell ref="B127:C127"/>
    <mergeCell ref="B128:C128"/>
    <mergeCell ref="A8:D8"/>
    <mergeCell ref="A13:D13"/>
    <mergeCell ref="B25:C25"/>
    <mergeCell ref="B26:C26"/>
    <mergeCell ref="A43:C43"/>
    <mergeCell ref="A49:C49"/>
    <mergeCell ref="A6:D6"/>
    <mergeCell ref="A1:D1"/>
    <mergeCell ref="A2:D2"/>
    <mergeCell ref="A3:D3"/>
    <mergeCell ref="A4:D4"/>
    <mergeCell ref="A5:D5"/>
  </mergeCells>
  <printOptions horizontalCentered="1" verticalCentered="1"/>
  <pageMargins left="0.45" right="0.45" top="0.5" bottom="0.5" header="0.3" footer="0.3"/>
  <pageSetup scale="61" fitToHeight="3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2025 Full Year Table 1</vt:lpstr>
      <vt:lpstr>'FY 2025 Full Year Table 1'!Print_Area</vt:lpstr>
    </vt:vector>
  </TitlesOfParts>
  <Company>US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1: FY 2025 FULL YEAR APPROPRIATIONS AND APPORTIONMENTS FOR GRANT PROGRAMS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lastModifiedBy>Djoumanov, Aziza (FTA)</cp:lastModifiedBy>
  <dcterms:created xsi:type="dcterms:W3CDTF">2025-02-10T19:22:27Z</dcterms:created>
  <dcterms:modified xsi:type="dcterms:W3CDTF">2025-05-05T16:55:27Z</dcterms:modified>
</cp:coreProperties>
</file>