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anas.ad.dot.gov\share\Openarea\TPE\TPE-22\New Starts Reports\FY2027 Annual Report\CIG Website Documents\Remediated Documents\"/>
    </mc:Choice>
  </mc:AlternateContent>
  <xr:revisionPtr revIDLastSave="0" documentId="13_ncr:1_{3517CB61-D16F-4A46-9662-9F69009728F5}" xr6:coauthVersionLast="47" xr6:coauthVersionMax="47" xr10:uidLastSave="{00000000-0000-0000-0000-000000000000}"/>
  <workbookProtection workbookAlgorithmName="SHA-512" workbookHashValue="aMEDERtcMbwb4s2kZo+9dwlGQ5OG+ST8kVH+gk3F2IYSnbAP1dC4pfm1GhUAJy5o3MYjoLPMiKDOqlcGZSFK5A==" workbookSaltValue="0CmIY/XdMvWqVI8u6f6lHA==" workbookSpinCount="100000" lockStructure="1"/>
  <bookViews>
    <workbookView xWindow="-28920" yWindow="-120" windowWidth="29040" windowHeight="15840" tabRatio="869" xr2:uid="{00000000-000D-0000-FFFF-FFFF00000000}"/>
  </bookViews>
  <sheets>
    <sheet name="Project Description" sheetId="1" r:id="rId1"/>
    <sheet name="Travel Forecasts" sheetId="18" r:id="rId2"/>
    <sheet name="Mobility Cost Eff &amp; Cong Relief" sheetId="2" r:id="rId3"/>
    <sheet name="Land Use" sheetId="19" r:id="rId4"/>
    <sheet name="Environmental Benefits" sheetId="11" r:id="rId5"/>
    <sheet name="Finance" sheetId="6" r:id="rId6"/>
    <sheet name="Rating Estimation" sheetId="17" r:id="rId7"/>
    <sheet name="Lookups" sheetId="15" state="hidden" r:id="rId8"/>
  </sheets>
  <externalReferences>
    <externalReference r:id="rId9"/>
  </externalReferences>
  <definedNames>
    <definedName name="doesntMeetThresholds" localSheetId="3">[1]Lookups!$L$22</definedName>
    <definedName name="doesntMeetThresholds">Lookups!$L$22</definedName>
    <definedName name="_xlnm.Print_Area" localSheetId="4">'Environmental Benefits'!$A$1:$Q$168</definedName>
    <definedName name="_xlnm.Print_Area" localSheetId="5">Finance!$A$1:$F$163</definedName>
    <definedName name="_xlnm.Print_Area" localSheetId="3">'Land Use'!$A$1:$F$290</definedName>
    <definedName name="_xlnm.Print_Area" localSheetId="7">Lookups!$A$1:$C$32</definedName>
    <definedName name="_xlnm.Print_Area" localSheetId="2">'Mobility Cost Eff &amp; Cong Relief'!$A$1:$E$29</definedName>
    <definedName name="_xlnm.Print_Area" localSheetId="0">'Project Description'!$A$1:$D$194</definedName>
    <definedName name="_xlnm.Print_Area" localSheetId="1">'Travel Forecasts'!$A$1:$N$42</definedName>
    <definedName name="warrantedMedium" localSheetId="3">[1]Lookups!$L$21</definedName>
    <definedName name="warrantedMedium">Lookups!$L$21</definedName>
    <definedName name="Z_AB5399CE_BEB7_40AA_A66C_46449E135DF8_.wvu.PrintArea" localSheetId="5" hidden="1">Finance!$A$1:$F$163</definedName>
    <definedName name="Z_AB5399CE_BEB7_40AA_A66C_46449E135DF8_.wvu.PrintArea" localSheetId="3" hidden="1">'Land Use'!$B$1:$F$290</definedName>
    <definedName name="Z_AB5399CE_BEB7_40AA_A66C_46449E135DF8_.wvu.PrintArea" localSheetId="2" hidden="1">'Mobility Cost Eff &amp; Cong Relief'!$A$1:$E$23</definedName>
    <definedName name="Z_AB5399CE_BEB7_40AA_A66C_46449E135DF8_.wvu.PrintArea" localSheetId="0" hidden="1">'Project Description'!$A$1:$D$194</definedName>
  </definedNames>
  <calcPr calcId="191028"/>
  <customWorkbookViews>
    <customWorkbookView name="benjamin.owen - Personal View" guid="{AB5399CE-BEB7-40AA-A66C-46449E135DF8}" mergeInterval="0" personalView="1" maximized="1" windowWidth="1280" windowHeight="809"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9" i="11" l="1"/>
  <c r="P57" i="11"/>
  <c r="D11" i="17" l="1"/>
  <c r="C11" i="17"/>
  <c r="D6" i="19"/>
  <c r="D244" i="19" s="1"/>
  <c r="G2" i="17"/>
  <c r="F2" i="11"/>
  <c r="B2" i="6"/>
  <c r="G47" i="19"/>
  <c r="G50" i="19"/>
  <c r="G49" i="19"/>
  <c r="G48" i="19"/>
  <c r="G46" i="19"/>
  <c r="D43" i="19"/>
  <c r="D37" i="19"/>
  <c r="D30" i="19"/>
  <c r="D28" i="19"/>
  <c r="D16" i="19"/>
  <c r="D10" i="19"/>
  <c r="B50" i="19"/>
  <c r="B49" i="19"/>
  <c r="B48" i="19"/>
  <c r="B47" i="19"/>
  <c r="B46" i="19"/>
  <c r="D40" i="19"/>
  <c r="D42" i="19" s="1"/>
  <c r="D36" i="19"/>
  <c r="D35" i="19"/>
  <c r="D34" i="19"/>
  <c r="D25" i="19"/>
  <c r="D24" i="19"/>
  <c r="D26" i="19" s="1"/>
  <c r="D21" i="19"/>
  <c r="D20" i="19"/>
  <c r="D22" i="19" s="1"/>
  <c r="D13" i="19"/>
  <c r="D15" i="19" s="1"/>
  <c r="D8" i="19"/>
  <c r="D9" i="19" s="1"/>
  <c r="D7" i="19"/>
  <c r="C2" i="19" l="1"/>
  <c r="C2" i="2"/>
  <c r="D2" i="18"/>
  <c r="D49" i="19"/>
  <c r="D29" i="19"/>
  <c r="D27" i="19"/>
  <c r="D50" i="19"/>
  <c r="D46" i="19"/>
  <c r="D47" i="19"/>
  <c r="D12" i="19"/>
  <c r="D32" i="19"/>
  <c r="D18" i="19"/>
  <c r="D55" i="19"/>
  <c r="D78" i="19"/>
  <c r="D151" i="19"/>
  <c r="D39" i="19"/>
  <c r="G45" i="19" l="1"/>
  <c r="D45" i="19" s="1"/>
  <c r="D48" i="19"/>
  <c r="D9" i="2" l="1"/>
  <c r="M84" i="11"/>
  <c r="M83" i="11"/>
  <c r="M82" i="11"/>
  <c r="M81" i="11"/>
  <c r="M80" i="11"/>
  <c r="M79" i="11"/>
  <c r="M78" i="11"/>
  <c r="M77" i="11"/>
  <c r="M76" i="11"/>
  <c r="M75" i="11"/>
  <c r="M41" i="11"/>
  <c r="D27" i="2"/>
  <c r="H28" i="11" l="1"/>
  <c r="J28" i="11"/>
  <c r="C27" i="2" l="1"/>
  <c r="C9" i="2"/>
  <c r="D8" i="2" l="1"/>
  <c r="C8" i="2"/>
  <c r="D18" i="2" l="1"/>
  <c r="C18" i="2"/>
  <c r="M158" i="11"/>
  <c r="M159" i="11"/>
  <c r="M160" i="11"/>
  <c r="M161" i="11"/>
  <c r="M162" i="11"/>
  <c r="M163" i="11"/>
  <c r="M164" i="11"/>
  <c r="M165" i="11"/>
  <c r="M157" i="11"/>
  <c r="M156" i="11"/>
  <c r="H158" i="11"/>
  <c r="H159" i="11"/>
  <c r="H160" i="11"/>
  <c r="H161" i="11"/>
  <c r="H162" i="11"/>
  <c r="H163" i="11"/>
  <c r="H164" i="11"/>
  <c r="H165" i="11"/>
  <c r="H157" i="11"/>
  <c r="H156" i="11"/>
  <c r="C158" i="11"/>
  <c r="C159" i="11"/>
  <c r="C160" i="11"/>
  <c r="C161" i="11"/>
  <c r="C162" i="11"/>
  <c r="C163" i="11"/>
  <c r="C164" i="11"/>
  <c r="C165" i="11"/>
  <c r="C157" i="11"/>
  <c r="C156" i="11"/>
  <c r="M143" i="11"/>
  <c r="M144" i="11"/>
  <c r="M145" i="11"/>
  <c r="M146" i="11"/>
  <c r="M147" i="11"/>
  <c r="M148" i="11"/>
  <c r="M149" i="11"/>
  <c r="M150" i="11"/>
  <c r="M142" i="11"/>
  <c r="M141" i="11"/>
  <c r="H143" i="11"/>
  <c r="H144" i="11"/>
  <c r="H145" i="11"/>
  <c r="H146" i="11"/>
  <c r="H147" i="11"/>
  <c r="H148" i="11"/>
  <c r="H149" i="11"/>
  <c r="H150" i="11"/>
  <c r="H142" i="11"/>
  <c r="H141" i="11"/>
  <c r="C143" i="11"/>
  <c r="C144" i="11"/>
  <c r="C145" i="11"/>
  <c r="C146" i="11"/>
  <c r="C147" i="11"/>
  <c r="C148" i="11"/>
  <c r="C149" i="11"/>
  <c r="C150" i="11"/>
  <c r="C142" i="11"/>
  <c r="C141" i="11"/>
  <c r="M132" i="11"/>
  <c r="M131" i="11"/>
  <c r="M126" i="11"/>
  <c r="M125" i="11"/>
  <c r="M124" i="11"/>
  <c r="H132" i="11"/>
  <c r="H131" i="11"/>
  <c r="H126" i="11"/>
  <c r="H125" i="11"/>
  <c r="H124" i="11"/>
  <c r="C132" i="11"/>
  <c r="C126" i="11"/>
  <c r="C131" i="11"/>
  <c r="C125" i="11"/>
  <c r="C124" i="11"/>
  <c r="M110" i="11"/>
  <c r="M111" i="11"/>
  <c r="M112" i="11"/>
  <c r="M113" i="11"/>
  <c r="M114" i="11"/>
  <c r="M115" i="11"/>
  <c r="M116" i="11"/>
  <c r="M117" i="11"/>
  <c r="M109" i="11"/>
  <c r="M108" i="11"/>
  <c r="H110" i="11"/>
  <c r="H111" i="11"/>
  <c r="H112" i="11"/>
  <c r="H113" i="11"/>
  <c r="H114" i="11"/>
  <c r="H115" i="11"/>
  <c r="H116" i="11"/>
  <c r="H117" i="11"/>
  <c r="H109" i="11"/>
  <c r="H108" i="11"/>
  <c r="C110" i="11"/>
  <c r="C111" i="11"/>
  <c r="C112" i="11"/>
  <c r="C113" i="11"/>
  <c r="C114" i="11"/>
  <c r="C115" i="11"/>
  <c r="C116" i="11"/>
  <c r="C117" i="11"/>
  <c r="C109" i="11"/>
  <c r="C108" i="11"/>
  <c r="M93" i="11"/>
  <c r="M94" i="11"/>
  <c r="M95" i="11"/>
  <c r="M96" i="11"/>
  <c r="M97" i="11"/>
  <c r="M98" i="11"/>
  <c r="M99" i="11"/>
  <c r="M100" i="11"/>
  <c r="M92" i="11"/>
  <c r="M91" i="11"/>
  <c r="C93" i="11"/>
  <c r="C94" i="11"/>
  <c r="C95" i="11"/>
  <c r="C96" i="11"/>
  <c r="C97" i="11"/>
  <c r="C98" i="11"/>
  <c r="C99" i="11"/>
  <c r="C100" i="11"/>
  <c r="H93" i="11"/>
  <c r="H94" i="11"/>
  <c r="H95" i="11"/>
  <c r="H96" i="11"/>
  <c r="H97" i="11"/>
  <c r="H98" i="11"/>
  <c r="H99" i="11"/>
  <c r="H100" i="11"/>
  <c r="H92" i="11"/>
  <c r="H91" i="11"/>
  <c r="C92" i="11"/>
  <c r="C91" i="11"/>
  <c r="M43" i="11"/>
  <c r="M44" i="11"/>
  <c r="M45" i="11"/>
  <c r="M46" i="11"/>
  <c r="M47" i="11"/>
  <c r="M48" i="11"/>
  <c r="M49" i="11"/>
  <c r="M50" i="11"/>
  <c r="M42" i="11"/>
  <c r="H43" i="11"/>
  <c r="H44" i="11"/>
  <c r="H45" i="11"/>
  <c r="H46" i="11"/>
  <c r="H47" i="11"/>
  <c r="H48" i="11"/>
  <c r="H49" i="11"/>
  <c r="H50" i="11"/>
  <c r="H42" i="11"/>
  <c r="H41" i="11"/>
  <c r="C43" i="11"/>
  <c r="C44" i="11"/>
  <c r="C45" i="11"/>
  <c r="C46" i="11"/>
  <c r="C47" i="11"/>
  <c r="C48" i="11"/>
  <c r="C49" i="11"/>
  <c r="C50" i="11"/>
  <c r="C42" i="11"/>
  <c r="C41" i="11"/>
  <c r="H77" i="11"/>
  <c r="H78" i="11"/>
  <c r="H79" i="11"/>
  <c r="H80" i="11"/>
  <c r="H81" i="11"/>
  <c r="H82" i="11"/>
  <c r="H83" i="11"/>
  <c r="H84" i="11"/>
  <c r="H76" i="11"/>
  <c r="H75" i="11"/>
  <c r="C77" i="11"/>
  <c r="C78" i="11"/>
  <c r="C79" i="11"/>
  <c r="C80" i="11"/>
  <c r="C81" i="11"/>
  <c r="C82" i="11"/>
  <c r="C83" i="11"/>
  <c r="C84" i="11"/>
  <c r="C76" i="11"/>
  <c r="C75" i="11"/>
  <c r="M59" i="11"/>
  <c r="M60" i="11"/>
  <c r="M61" i="11"/>
  <c r="M62" i="11"/>
  <c r="M63" i="11"/>
  <c r="M64" i="11"/>
  <c r="M65" i="11"/>
  <c r="M66" i="11"/>
  <c r="M58" i="11"/>
  <c r="M57" i="11"/>
  <c r="H59" i="11"/>
  <c r="H60" i="11"/>
  <c r="H61" i="11"/>
  <c r="H62" i="11"/>
  <c r="H63" i="11"/>
  <c r="H64" i="11"/>
  <c r="H65" i="11"/>
  <c r="H66" i="11"/>
  <c r="H58" i="11" l="1"/>
  <c r="H57" i="11"/>
  <c r="C59" i="11"/>
  <c r="C60" i="11"/>
  <c r="C61" i="11"/>
  <c r="C62" i="11"/>
  <c r="C63" i="11"/>
  <c r="C64" i="11"/>
  <c r="C65" i="11"/>
  <c r="C66" i="11"/>
  <c r="C58" i="11"/>
  <c r="C57" i="11"/>
  <c r="O158" i="11" l="1"/>
  <c r="O159" i="11"/>
  <c r="O160" i="11"/>
  <c r="O161" i="11"/>
  <c r="O162" i="11"/>
  <c r="O163" i="11"/>
  <c r="O164" i="11"/>
  <c r="O165" i="11"/>
  <c r="O157" i="11"/>
  <c r="O156" i="11"/>
  <c r="J158" i="11"/>
  <c r="J159" i="11"/>
  <c r="J160" i="11"/>
  <c r="J161" i="11"/>
  <c r="J162" i="11"/>
  <c r="J163" i="11"/>
  <c r="J164" i="11"/>
  <c r="J165" i="11"/>
  <c r="J157" i="11"/>
  <c r="J156" i="11"/>
  <c r="E165" i="11"/>
  <c r="E164" i="11"/>
  <c r="E163" i="11"/>
  <c r="E162" i="11"/>
  <c r="E161" i="11"/>
  <c r="E160" i="11"/>
  <c r="E159" i="11"/>
  <c r="E158" i="11"/>
  <c r="E157" i="11"/>
  <c r="E156" i="11"/>
  <c r="O143" i="11"/>
  <c r="O144" i="11"/>
  <c r="O145" i="11"/>
  <c r="O146" i="11"/>
  <c r="O147" i="11"/>
  <c r="O148" i="11"/>
  <c r="O149" i="11"/>
  <c r="O150" i="11"/>
  <c r="O142" i="11"/>
  <c r="O141" i="11"/>
  <c r="J143" i="11"/>
  <c r="J144" i="11"/>
  <c r="J145" i="11"/>
  <c r="J146" i="11"/>
  <c r="J147" i="11"/>
  <c r="J148" i="11"/>
  <c r="J149" i="11"/>
  <c r="J150" i="11"/>
  <c r="J142" i="11"/>
  <c r="J141" i="11"/>
  <c r="E150" i="11"/>
  <c r="E149" i="11"/>
  <c r="E148" i="11"/>
  <c r="E147" i="11"/>
  <c r="E146" i="11"/>
  <c r="E145" i="11"/>
  <c r="E144" i="11"/>
  <c r="E143" i="11"/>
  <c r="E142" i="11"/>
  <c r="E141" i="11"/>
  <c r="O126" i="11"/>
  <c r="O131" i="11"/>
  <c r="O132" i="11"/>
  <c r="O125" i="11"/>
  <c r="O124" i="11"/>
  <c r="J126" i="11"/>
  <c r="J131" i="11"/>
  <c r="J132" i="11"/>
  <c r="J125" i="11"/>
  <c r="J124" i="11"/>
  <c r="E132" i="11"/>
  <c r="E131" i="11"/>
  <c r="E126" i="11"/>
  <c r="E125" i="11"/>
  <c r="E124" i="11"/>
  <c r="O110" i="11"/>
  <c r="O111" i="11"/>
  <c r="O112" i="11"/>
  <c r="O113" i="11"/>
  <c r="O114" i="11"/>
  <c r="O115" i="11"/>
  <c r="O116" i="11"/>
  <c r="O117" i="11"/>
  <c r="O109" i="11"/>
  <c r="O108" i="11"/>
  <c r="J110" i="11"/>
  <c r="J111" i="11"/>
  <c r="J112" i="11"/>
  <c r="J113" i="11"/>
  <c r="J114" i="11"/>
  <c r="J115" i="11"/>
  <c r="J116" i="11"/>
  <c r="J117" i="11"/>
  <c r="J109" i="11"/>
  <c r="J108" i="11"/>
  <c r="E117" i="11"/>
  <c r="E116" i="11"/>
  <c r="E115" i="11"/>
  <c r="E114" i="11"/>
  <c r="E113" i="11"/>
  <c r="E112" i="11"/>
  <c r="E111" i="11"/>
  <c r="E110" i="11"/>
  <c r="E109" i="11"/>
  <c r="E108" i="11"/>
  <c r="O93" i="11"/>
  <c r="O94" i="11"/>
  <c r="O95" i="11"/>
  <c r="O96" i="11"/>
  <c r="O97" i="11"/>
  <c r="O98" i="11"/>
  <c r="O99" i="11"/>
  <c r="O100" i="11"/>
  <c r="O92" i="11"/>
  <c r="O91" i="11"/>
  <c r="P100" i="11"/>
  <c r="P99" i="11"/>
  <c r="P98" i="11"/>
  <c r="P97" i="11"/>
  <c r="P96" i="11"/>
  <c r="P95" i="11"/>
  <c r="P94" i="11"/>
  <c r="P93" i="11"/>
  <c r="P92" i="11"/>
  <c r="P91" i="11"/>
  <c r="J93" i="11"/>
  <c r="J94" i="11"/>
  <c r="J95" i="11"/>
  <c r="J96" i="11"/>
  <c r="J97" i="11"/>
  <c r="J98" i="11"/>
  <c r="J99" i="11"/>
  <c r="J100" i="11"/>
  <c r="J92" i="11"/>
  <c r="J91" i="11"/>
  <c r="K100" i="11"/>
  <c r="K99" i="11"/>
  <c r="K98" i="11"/>
  <c r="K97" i="11"/>
  <c r="K96" i="11"/>
  <c r="K95" i="11"/>
  <c r="K94" i="11"/>
  <c r="K93" i="11"/>
  <c r="K92" i="11"/>
  <c r="K91" i="11"/>
  <c r="F100" i="11"/>
  <c r="E100" i="11"/>
  <c r="F99" i="11"/>
  <c r="E99" i="11"/>
  <c r="F98" i="11"/>
  <c r="E98" i="11"/>
  <c r="F97" i="11"/>
  <c r="E97" i="11"/>
  <c r="F96" i="11"/>
  <c r="E96" i="11"/>
  <c r="F95" i="11"/>
  <c r="E95" i="11"/>
  <c r="F94" i="11"/>
  <c r="E94" i="11"/>
  <c r="F93" i="11"/>
  <c r="E93" i="11"/>
  <c r="F92" i="11"/>
  <c r="E92" i="11"/>
  <c r="F91" i="11"/>
  <c r="E91" i="11"/>
  <c r="P80" i="11"/>
  <c r="O77" i="11"/>
  <c r="O78" i="11"/>
  <c r="O79" i="11"/>
  <c r="O80" i="11"/>
  <c r="O81" i="11"/>
  <c r="O82" i="11"/>
  <c r="O83" i="11"/>
  <c r="O84" i="11"/>
  <c r="O76" i="11"/>
  <c r="O75" i="11"/>
  <c r="J77" i="11"/>
  <c r="J78" i="11"/>
  <c r="J79" i="11"/>
  <c r="J80" i="11"/>
  <c r="J81" i="11"/>
  <c r="J82" i="11"/>
  <c r="J83" i="11"/>
  <c r="J84" i="11"/>
  <c r="J76" i="11"/>
  <c r="J75" i="11"/>
  <c r="P84" i="11"/>
  <c r="K84" i="11"/>
  <c r="G84" i="11"/>
  <c r="F84" i="11"/>
  <c r="E84" i="11"/>
  <c r="P83" i="11"/>
  <c r="K83" i="11"/>
  <c r="G83" i="11"/>
  <c r="F83" i="11"/>
  <c r="E83" i="11"/>
  <c r="P82" i="11"/>
  <c r="K82" i="11"/>
  <c r="G82" i="11"/>
  <c r="F82" i="11"/>
  <c r="E82" i="11"/>
  <c r="P81" i="11"/>
  <c r="K81" i="11"/>
  <c r="G81" i="11"/>
  <c r="F81" i="11"/>
  <c r="E81" i="11"/>
  <c r="K80" i="11"/>
  <c r="G80" i="11"/>
  <c r="F80" i="11"/>
  <c r="E80" i="11"/>
  <c r="K79" i="11"/>
  <c r="G79" i="11"/>
  <c r="F79" i="11"/>
  <c r="E79" i="11"/>
  <c r="P78" i="11"/>
  <c r="K78" i="11"/>
  <c r="G78" i="11"/>
  <c r="F78" i="11"/>
  <c r="E78" i="11"/>
  <c r="P77" i="11"/>
  <c r="K77" i="11"/>
  <c r="G77" i="11"/>
  <c r="F77" i="11"/>
  <c r="E77" i="11"/>
  <c r="P76" i="11"/>
  <c r="K76" i="11"/>
  <c r="G76" i="11"/>
  <c r="F76" i="11"/>
  <c r="E76" i="11"/>
  <c r="P75" i="11"/>
  <c r="K75" i="11"/>
  <c r="G75" i="11"/>
  <c r="F75" i="11"/>
  <c r="E75" i="11"/>
  <c r="J59" i="11"/>
  <c r="J60" i="11"/>
  <c r="J61" i="11"/>
  <c r="J62" i="11"/>
  <c r="J63" i="11"/>
  <c r="J64" i="11"/>
  <c r="J65" i="11"/>
  <c r="J66" i="11"/>
  <c r="J58" i="11"/>
  <c r="J57" i="11"/>
  <c r="O59" i="11"/>
  <c r="O60" i="11"/>
  <c r="O61" i="11"/>
  <c r="O62" i="11"/>
  <c r="O63" i="11"/>
  <c r="O64" i="11"/>
  <c r="O65" i="11"/>
  <c r="O66" i="11"/>
  <c r="O58" i="11"/>
  <c r="O57" i="11"/>
  <c r="P66" i="11"/>
  <c r="P65" i="11"/>
  <c r="P64" i="11"/>
  <c r="P63" i="11"/>
  <c r="P62" i="11"/>
  <c r="P61" i="11"/>
  <c r="P60" i="11"/>
  <c r="P59" i="11"/>
  <c r="P58" i="11"/>
  <c r="K66" i="11"/>
  <c r="K65" i="11"/>
  <c r="K64" i="11"/>
  <c r="K63" i="11"/>
  <c r="K62" i="11"/>
  <c r="K61" i="11"/>
  <c r="K60" i="11"/>
  <c r="K59" i="11"/>
  <c r="K58" i="11"/>
  <c r="K57" i="11"/>
  <c r="F66" i="11"/>
  <c r="E66" i="11"/>
  <c r="F65" i="11"/>
  <c r="E65" i="11"/>
  <c r="F64" i="11"/>
  <c r="E64" i="11"/>
  <c r="F63" i="11"/>
  <c r="E63" i="11"/>
  <c r="F62" i="11"/>
  <c r="E62" i="11"/>
  <c r="F61" i="11"/>
  <c r="E61" i="11"/>
  <c r="F60" i="11"/>
  <c r="E60" i="11"/>
  <c r="F59" i="11"/>
  <c r="E59" i="11"/>
  <c r="F58" i="11"/>
  <c r="E58" i="11"/>
  <c r="F57" i="11"/>
  <c r="E57" i="11"/>
  <c r="O43" i="11"/>
  <c r="O44" i="11"/>
  <c r="O45" i="11"/>
  <c r="O46" i="11"/>
  <c r="O47" i="11"/>
  <c r="O48" i="11"/>
  <c r="O49" i="11"/>
  <c r="O50" i="11"/>
  <c r="O42" i="11"/>
  <c r="O41" i="11"/>
  <c r="P50" i="11"/>
  <c r="P49" i="11"/>
  <c r="P48" i="11"/>
  <c r="P47" i="11"/>
  <c r="P46" i="11"/>
  <c r="P45" i="11"/>
  <c r="P44" i="11"/>
  <c r="P43" i="11"/>
  <c r="P42" i="11"/>
  <c r="P41" i="11"/>
  <c r="K50" i="11"/>
  <c r="K49" i="11"/>
  <c r="K48" i="11"/>
  <c r="K47" i="11"/>
  <c r="K46" i="11"/>
  <c r="K45" i="11"/>
  <c r="K44" i="11"/>
  <c r="K43" i="11"/>
  <c r="K42" i="11"/>
  <c r="K41" i="11"/>
  <c r="J46" i="11"/>
  <c r="J47" i="11"/>
  <c r="J48" i="11"/>
  <c r="J49" i="11"/>
  <c r="J50" i="11"/>
  <c r="J45" i="11"/>
  <c r="J44" i="11"/>
  <c r="J43" i="11"/>
  <c r="J42" i="11"/>
  <c r="J41" i="11"/>
  <c r="F50" i="11"/>
  <c r="F49" i="11"/>
  <c r="F48" i="11"/>
  <c r="F47" i="11"/>
  <c r="F46" i="11"/>
  <c r="F45" i="11"/>
  <c r="F44" i="11"/>
  <c r="F43" i="11"/>
  <c r="F42" i="11"/>
  <c r="F41" i="11"/>
  <c r="M32" i="18" l="1"/>
  <c r="E24" i="18" l="1"/>
  <c r="A93" i="1" l="1"/>
  <c r="M40" i="18" l="1"/>
  <c r="M39" i="18"/>
  <c r="M38" i="18"/>
  <c r="M37" i="18"/>
  <c r="M36" i="18"/>
  <c r="M35" i="18"/>
  <c r="M34" i="18"/>
  <c r="M33" i="18"/>
  <c r="H31" i="18"/>
  <c r="D24" i="18"/>
  <c r="G20" i="18"/>
  <c r="G19" i="18"/>
  <c r="G18" i="18"/>
  <c r="G17" i="18"/>
  <c r="G16" i="18"/>
  <c r="G15" i="18"/>
  <c r="G14" i="18"/>
  <c r="G13" i="18"/>
  <c r="I11" i="18"/>
  <c r="F11" i="18"/>
  <c r="G11" i="18" s="1"/>
  <c r="G10" i="18"/>
  <c r="I9" i="18"/>
  <c r="H9" i="18"/>
  <c r="G9" i="18"/>
  <c r="E8" i="18"/>
  <c r="N29" i="18" s="1"/>
  <c r="D8" i="18"/>
  <c r="M29" i="18" s="1"/>
  <c r="A4" i="18"/>
  <c r="D95" i="1"/>
  <c r="N34" i="18" l="1"/>
  <c r="N39" i="18"/>
  <c r="N33" i="18"/>
  <c r="N35" i="18"/>
  <c r="N38" i="18"/>
  <c r="N36" i="18"/>
  <c r="N37" i="18"/>
  <c r="N40" i="18"/>
  <c r="J31" i="18"/>
  <c r="N32" i="18"/>
  <c r="K31" i="18"/>
  <c r="L31" i="18"/>
  <c r="I31" i="18"/>
  <c r="G12" i="18"/>
  <c r="G21" i="18"/>
  <c r="H20" i="18"/>
  <c r="H12" i="18"/>
  <c r="H16" i="18"/>
  <c r="I29" i="18"/>
  <c r="D29" i="18"/>
  <c r="H10" i="18"/>
  <c r="H17" i="18"/>
  <c r="F29" i="18"/>
  <c r="H18" i="18"/>
  <c r="K29" i="18"/>
  <c r="H13" i="18"/>
  <c r="G8" i="18"/>
  <c r="H14" i="18"/>
  <c r="H8" i="18"/>
  <c r="H11" i="18"/>
  <c r="H15" i="18"/>
  <c r="H19" i="18"/>
  <c r="M31" i="18" l="1"/>
  <c r="G22" i="18"/>
  <c r="G23" i="18" s="1"/>
  <c r="H21" i="18"/>
  <c r="N31" i="18"/>
  <c r="H22" i="18"/>
  <c r="B151" i="6"/>
  <c r="A122" i="6"/>
  <c r="A121" i="6"/>
  <c r="A120" i="6"/>
  <c r="A119" i="6"/>
  <c r="A118" i="6"/>
  <c r="A115" i="6"/>
  <c r="A114" i="6"/>
  <c r="A113" i="6"/>
  <c r="A112" i="6"/>
  <c r="A111" i="6"/>
  <c r="A110" i="6"/>
  <c r="A109" i="6"/>
  <c r="A108" i="6"/>
  <c r="A107" i="6"/>
  <c r="A106" i="6"/>
  <c r="A105" i="6"/>
  <c r="A104" i="6"/>
  <c r="A101" i="6"/>
  <c r="A100" i="6"/>
  <c r="A99" i="6"/>
  <c r="A98" i="6"/>
  <c r="A97" i="6"/>
  <c r="A96" i="6"/>
  <c r="A93" i="6"/>
  <c r="A92" i="6"/>
  <c r="A91" i="6"/>
  <c r="A90" i="6"/>
  <c r="E5" i="6"/>
  <c r="G12" i="17" s="1"/>
  <c r="A81" i="6"/>
  <c r="A82" i="6"/>
  <c r="A83" i="6"/>
  <c r="A84" i="6"/>
  <c r="A68" i="6"/>
  <c r="A69" i="6"/>
  <c r="A70" i="6"/>
  <c r="A71" i="6"/>
  <c r="A72" i="6"/>
  <c r="A73" i="6"/>
  <c r="A74" i="6"/>
  <c r="A75" i="6"/>
  <c r="A76" i="6"/>
  <c r="A77" i="6"/>
  <c r="A60" i="6"/>
  <c r="A61" i="6"/>
  <c r="F42" i="6"/>
  <c r="F41" i="6"/>
  <c r="F40" i="6"/>
  <c r="F19" i="6"/>
  <c r="F20" i="6"/>
  <c r="F27" i="6"/>
  <c r="F28" i="6"/>
  <c r="F29" i="6"/>
  <c r="F30" i="6"/>
  <c r="F31" i="6"/>
  <c r="F32" i="6"/>
  <c r="F33" i="6"/>
  <c r="F34" i="6"/>
  <c r="F35" i="6"/>
  <c r="F36" i="6"/>
  <c r="H23" i="18" l="1"/>
  <c r="I5" i="15"/>
  <c r="H15" i="15" s="1"/>
  <c r="H24" i="15"/>
  <c r="J9" i="17" s="1"/>
  <c r="J11" i="17"/>
  <c r="A4" i="11"/>
  <c r="A4" i="2"/>
  <c r="H23" i="11"/>
  <c r="H25" i="11" s="1"/>
  <c r="A108" i="1"/>
  <c r="A107" i="1"/>
  <c r="C95" i="1"/>
  <c r="E48" i="1"/>
  <c r="H18" i="11"/>
  <c r="H20" i="11" s="1"/>
  <c r="H22" i="11" s="1"/>
  <c r="A9" i="11"/>
  <c r="A10" i="11"/>
  <c r="A11" i="11" s="1"/>
  <c r="A29" i="11" s="1"/>
  <c r="A30" i="11" s="1"/>
  <c r="A31" i="11" s="1"/>
  <c r="A32" i="11" s="1"/>
  <c r="A41" i="11" s="1"/>
  <c r="A42" i="11" s="1"/>
  <c r="A43" i="11" s="1"/>
  <c r="A44" i="11" s="1"/>
  <c r="A45" i="11" s="1"/>
  <c r="A46" i="11" s="1"/>
  <c r="A47" i="11" s="1"/>
  <c r="A48" i="11" s="1"/>
  <c r="A49" i="11" s="1"/>
  <c r="A50" i="11" s="1"/>
  <c r="A51" i="11" s="1"/>
  <c r="A57" i="11" s="1"/>
  <c r="A58" i="11" s="1"/>
  <c r="A59" i="11" s="1"/>
  <c r="A60" i="11" s="1"/>
  <c r="A61" i="11" s="1"/>
  <c r="A62" i="11" s="1"/>
  <c r="A63" i="11" s="1"/>
  <c r="A64" i="11" s="1"/>
  <c r="A65" i="11" s="1"/>
  <c r="A66" i="11" s="1"/>
  <c r="A67" i="11" s="1"/>
  <c r="A75" i="11" s="1"/>
  <c r="A76" i="11" s="1"/>
  <c r="A77" i="11" s="1"/>
  <c r="A78" i="11" s="1"/>
  <c r="A79" i="11" s="1"/>
  <c r="A80" i="11" s="1"/>
  <c r="A81" i="11" s="1"/>
  <c r="A82" i="11" s="1"/>
  <c r="A83" i="11" s="1"/>
  <c r="A84" i="11" s="1"/>
  <c r="A85" i="11" s="1"/>
  <c r="A91" i="11" s="1"/>
  <c r="A92" i="11" s="1"/>
  <c r="A93" i="11" s="1"/>
  <c r="A94" i="11" s="1"/>
  <c r="A95" i="11" s="1"/>
  <c r="A96" i="11" s="1"/>
  <c r="A97" i="11" s="1"/>
  <c r="A98" i="11" s="1"/>
  <c r="A99" i="11" s="1"/>
  <c r="A100" i="11" s="1"/>
  <c r="A101" i="11" s="1"/>
  <c r="A108" i="11" s="1"/>
  <c r="A109" i="11" s="1"/>
  <c r="A110" i="11" s="1"/>
  <c r="A111" i="11" s="1"/>
  <c r="A112" i="11" s="1"/>
  <c r="A113" i="11" s="1"/>
  <c r="A114" i="11" s="1"/>
  <c r="A115" i="11" s="1"/>
  <c r="A116" i="11" s="1"/>
  <c r="A117" i="11" s="1"/>
  <c r="A118" i="11" s="1"/>
  <c r="A124" i="11" s="1"/>
  <c r="A125" i="11" s="1"/>
  <c r="A126" i="11" s="1"/>
  <c r="A127" i="11" s="1"/>
  <c r="A128" i="11" s="1"/>
  <c r="A129" i="11" s="1"/>
  <c r="A130" i="11" s="1"/>
  <c r="A131" i="11" s="1"/>
  <c r="A132" i="11" s="1"/>
  <c r="A133" i="11" s="1"/>
  <c r="A134" i="11" s="1"/>
  <c r="A141" i="11" s="1"/>
  <c r="A142" i="11" s="1"/>
  <c r="A143" i="11" s="1"/>
  <c r="A144" i="11" s="1"/>
  <c r="A145" i="11" s="1"/>
  <c r="A146" i="11" s="1"/>
  <c r="A147" i="11" s="1"/>
  <c r="A148" i="11" s="1"/>
  <c r="A149" i="11" s="1"/>
  <c r="A150" i="11" s="1"/>
  <c r="A151" i="11" s="1"/>
  <c r="A156" i="11" s="1"/>
  <c r="A157" i="11" s="1"/>
  <c r="A158" i="11" s="1"/>
  <c r="A159" i="11" s="1"/>
  <c r="A160" i="11" s="1"/>
  <c r="A161" i="11" s="1"/>
  <c r="A162" i="11" s="1"/>
  <c r="A163" i="11" s="1"/>
  <c r="A164" i="11" s="1"/>
  <c r="A165" i="11" s="1"/>
  <c r="A166" i="11" s="1"/>
  <c r="G100" i="11"/>
  <c r="G145" i="11"/>
  <c r="E47" i="11"/>
  <c r="G164" i="11"/>
  <c r="G59" i="11"/>
  <c r="C19" i="2"/>
  <c r="B117" i="1"/>
  <c r="B116" i="1"/>
  <c r="B115" i="1"/>
  <c r="B114" i="1"/>
  <c r="D45" i="6"/>
  <c r="D46" i="6" s="1"/>
  <c r="F45" i="6"/>
  <c r="F43" i="6"/>
  <c r="F39" i="6"/>
  <c r="F26" i="6"/>
  <c r="F25" i="6"/>
  <c r="F22" i="6"/>
  <c r="F21" i="6"/>
  <c r="F18" i="6"/>
  <c r="F17" i="6"/>
  <c r="F14" i="6"/>
  <c r="F13" i="6"/>
  <c r="F12" i="6"/>
  <c r="F11" i="6"/>
  <c r="C98" i="1"/>
  <c r="C97" i="1"/>
  <c r="A80" i="6"/>
  <c r="A67" i="6"/>
  <c r="A66" i="6"/>
  <c r="A63" i="6"/>
  <c r="A62" i="6"/>
  <c r="A59" i="6"/>
  <c r="A58" i="6"/>
  <c r="A55" i="6"/>
  <c r="A54" i="6"/>
  <c r="A53" i="6"/>
  <c r="A52" i="6"/>
  <c r="G60" i="11" l="1"/>
  <c r="G141" i="11"/>
  <c r="G62" i="11"/>
  <c r="G146" i="11"/>
  <c r="G113" i="11"/>
  <c r="E50" i="11"/>
  <c r="G50" i="11" s="1"/>
  <c r="G96" i="11"/>
  <c r="G47" i="11"/>
  <c r="E46" i="11"/>
  <c r="G46" i="11" s="1"/>
  <c r="G161" i="11"/>
  <c r="G117" i="11"/>
  <c r="G132" i="11"/>
  <c r="G165" i="11"/>
  <c r="G114" i="11"/>
  <c r="G150" i="11"/>
  <c r="G63" i="11"/>
  <c r="G99" i="11"/>
  <c r="Q66" i="11"/>
  <c r="G57" i="11"/>
  <c r="Q163" i="11"/>
  <c r="L47" i="11"/>
  <c r="L146" i="11"/>
  <c r="K15" i="15"/>
  <c r="P15" i="15"/>
  <c r="G93" i="11"/>
  <c r="G126" i="11"/>
  <c r="C26" i="2"/>
  <c r="E45" i="11"/>
  <c r="G45" i="11" s="1"/>
  <c r="G112" i="11"/>
  <c r="E49" i="11"/>
  <c r="G49" i="11" s="1"/>
  <c r="G149" i="11"/>
  <c r="G143" i="11"/>
  <c r="E43" i="11"/>
  <c r="G43" i="11" s="1"/>
  <c r="G110" i="11"/>
  <c r="G95" i="11"/>
  <c r="G160" i="11"/>
  <c r="G116" i="11"/>
  <c r="G158" i="11"/>
  <c r="G147" i="11"/>
  <c r="G144" i="11"/>
  <c r="G111" i="11"/>
  <c r="G159" i="11"/>
  <c r="E44" i="11"/>
  <c r="G44" i="11" s="1"/>
  <c r="G98" i="11"/>
  <c r="G148" i="11"/>
  <c r="G64" i="11"/>
  <c r="G163" i="11"/>
  <c r="E48" i="11"/>
  <c r="G48" i="11" s="1"/>
  <c r="G115" i="11"/>
  <c r="G131" i="11"/>
  <c r="E41" i="11"/>
  <c r="G41" i="11" s="1"/>
  <c r="G108" i="11"/>
  <c r="G91" i="11"/>
  <c r="G156" i="11"/>
  <c r="G94" i="11"/>
  <c r="G124" i="11"/>
  <c r="G66" i="11"/>
  <c r="G97" i="11"/>
  <c r="G162" i="11"/>
  <c r="D12" i="17"/>
  <c r="J10" i="17"/>
  <c r="G61" i="11"/>
  <c r="G65" i="11"/>
  <c r="G109" i="11"/>
  <c r="L111" i="11"/>
  <c r="E42" i="11"/>
  <c r="G42" i="11" s="1"/>
  <c r="I12" i="17" l="1"/>
  <c r="J12" i="17" s="1"/>
  <c r="G118" i="11"/>
  <c r="G51" i="11"/>
  <c r="K20" i="15"/>
  <c r="L165" i="11"/>
  <c r="L150" i="11"/>
  <c r="L66" i="11"/>
  <c r="L50" i="11"/>
  <c r="L100" i="11"/>
  <c r="Q50" i="11"/>
  <c r="Q100" i="11"/>
  <c r="Q165" i="11"/>
  <c r="Q117" i="11"/>
  <c r="L117" i="11"/>
  <c r="Q150" i="11"/>
  <c r="C15" i="2"/>
  <c r="E118" i="11"/>
  <c r="Q115" i="11"/>
  <c r="Q148" i="11"/>
  <c r="Q48" i="11"/>
  <c r="Q98" i="11"/>
  <c r="Q64" i="11"/>
  <c r="Q131" i="11"/>
  <c r="L163" i="11"/>
  <c r="L64" i="11"/>
  <c r="L97" i="11"/>
  <c r="L115" i="11"/>
  <c r="L131" i="11"/>
  <c r="L98" i="11"/>
  <c r="L63" i="11"/>
  <c r="L148" i="11"/>
  <c r="L48" i="11"/>
  <c r="Q164" i="11"/>
  <c r="Q65" i="11"/>
  <c r="Q149" i="11"/>
  <c r="Q132" i="11"/>
  <c r="Q116" i="11"/>
  <c r="Q49" i="11"/>
  <c r="Q99" i="11"/>
  <c r="L142" i="11"/>
  <c r="Q157" i="11"/>
  <c r="Q109" i="11"/>
  <c r="Q42" i="11"/>
  <c r="Q142" i="11"/>
  <c r="Q92" i="11"/>
  <c r="Q58" i="11"/>
  <c r="Q125" i="11"/>
  <c r="L44" i="11"/>
  <c r="Q144" i="11"/>
  <c r="Q60" i="11"/>
  <c r="Q111" i="11"/>
  <c r="Q44" i="11"/>
  <c r="Q159" i="11"/>
  <c r="Q94" i="11"/>
  <c r="Q62" i="11"/>
  <c r="Q161" i="11"/>
  <c r="Q113" i="11"/>
  <c r="Q96" i="11"/>
  <c r="Q46" i="11"/>
  <c r="Q146" i="11"/>
  <c r="L95" i="11"/>
  <c r="Q145" i="11"/>
  <c r="Q61" i="11"/>
  <c r="Q95" i="11"/>
  <c r="Q160" i="11"/>
  <c r="Q112" i="11"/>
  <c r="Q45" i="11"/>
  <c r="L43" i="11"/>
  <c r="Q93" i="11"/>
  <c r="Q43" i="11"/>
  <c r="Q110" i="11"/>
  <c r="Q59" i="11"/>
  <c r="Q143" i="11"/>
  <c r="Q158" i="11"/>
  <c r="Q126" i="11"/>
  <c r="L147" i="11"/>
  <c r="Q63" i="11"/>
  <c r="Q114" i="11"/>
  <c r="Q147" i="11"/>
  <c r="Q162" i="11"/>
  <c r="Q47" i="11"/>
  <c r="Q97" i="11"/>
  <c r="L114" i="11"/>
  <c r="L156" i="11"/>
  <c r="L162" i="11"/>
  <c r="L42" i="11"/>
  <c r="L143" i="11"/>
  <c r="L62" i="11"/>
  <c r="L113" i="11"/>
  <c r="L164" i="11"/>
  <c r="L65" i="11"/>
  <c r="L149" i="11"/>
  <c r="L132" i="11"/>
  <c r="L116" i="11"/>
  <c r="L99" i="11"/>
  <c r="L49" i="11"/>
  <c r="L109" i="11"/>
  <c r="L125" i="11"/>
  <c r="L161" i="11"/>
  <c r="L92" i="11"/>
  <c r="L96" i="11"/>
  <c r="L110" i="11"/>
  <c r="L93" i="11"/>
  <c r="L59" i="11"/>
  <c r="L126" i="11"/>
  <c r="L58" i="11"/>
  <c r="L46" i="11"/>
  <c r="L158" i="11"/>
  <c r="E51" i="11"/>
  <c r="C118" i="11"/>
  <c r="C51" i="11"/>
  <c r="J13" i="17"/>
  <c r="I13" i="17" s="1"/>
  <c r="L160" i="11"/>
  <c r="L61" i="11"/>
  <c r="L112" i="11"/>
  <c r="L145" i="11"/>
  <c r="L45" i="11"/>
  <c r="L144" i="11"/>
  <c r="L94" i="11"/>
  <c r="L60" i="11"/>
  <c r="L159" i="11"/>
  <c r="D26" i="2"/>
  <c r="D15" i="2"/>
  <c r="L157" i="11"/>
  <c r="C85" i="11"/>
  <c r="C166" i="11"/>
  <c r="C67" i="11"/>
  <c r="C151" i="11"/>
  <c r="C101" i="11"/>
  <c r="C134" i="11"/>
  <c r="C20" i="2" l="1"/>
  <c r="E166" i="11"/>
  <c r="G157" i="11"/>
  <c r="G166" i="11" s="1"/>
  <c r="E101" i="11"/>
  <c r="G92" i="11"/>
  <c r="G101" i="11" s="1"/>
  <c r="E134" i="11"/>
  <c r="G125" i="11"/>
  <c r="G134" i="11" s="1"/>
  <c r="E151" i="11"/>
  <c r="G142" i="11"/>
  <c r="G151" i="11" s="1"/>
  <c r="E85" i="11"/>
  <c r="G85" i="11"/>
  <c r="E67" i="11"/>
  <c r="G58" i="11"/>
  <c r="G67" i="11" s="1"/>
  <c r="L166" i="11"/>
  <c r="C28" i="2"/>
  <c r="C29" i="2" s="1"/>
  <c r="C9" i="17" s="1"/>
  <c r="D9" i="17" s="1"/>
  <c r="C10" i="2"/>
  <c r="C11" i="2" s="1"/>
  <c r="C7" i="17" s="1"/>
  <c r="D7" i="17" s="1"/>
  <c r="H166" i="11"/>
  <c r="J166" i="11"/>
  <c r="D19" i="2" l="1"/>
  <c r="D20" i="2" s="1"/>
  <c r="C21" i="2" s="1"/>
  <c r="C22" i="2" s="1"/>
  <c r="C8" i="17" s="1"/>
  <c r="D8" i="17" s="1"/>
  <c r="H29" i="11"/>
  <c r="H30" i="11" s="1"/>
  <c r="H31" i="11" s="1"/>
  <c r="J118" i="11"/>
  <c r="L108" i="11"/>
  <c r="L118" i="11" s="1"/>
  <c r="J101" i="11"/>
  <c r="L91" i="11"/>
  <c r="L101" i="11" s="1"/>
  <c r="J51" i="11"/>
  <c r="L41" i="11"/>
  <c r="L51" i="11" s="1"/>
  <c r="H118" i="11"/>
  <c r="J151" i="11"/>
  <c r="L141" i="11"/>
  <c r="L151" i="11" s="1"/>
  <c r="J67" i="11"/>
  <c r="L57" i="11"/>
  <c r="L67" i="11" s="1"/>
  <c r="H67" i="11"/>
  <c r="H101" i="11"/>
  <c r="H51" i="11"/>
  <c r="H151" i="11"/>
  <c r="M151" i="11"/>
  <c r="M67" i="11"/>
  <c r="M134" i="11"/>
  <c r="M166" i="11"/>
  <c r="M101" i="11"/>
  <c r="M118" i="11"/>
  <c r="M51" i="11"/>
  <c r="M85" i="11"/>
  <c r="H85" i="11"/>
  <c r="H134" i="11"/>
  <c r="J30" i="11" l="1"/>
  <c r="O166" i="11"/>
  <c r="Q156" i="11"/>
  <c r="Q166" i="11" s="1"/>
  <c r="O85" i="11"/>
  <c r="Q85" i="11"/>
  <c r="O67" i="11"/>
  <c r="Q57" i="11"/>
  <c r="Q67" i="11" s="1"/>
  <c r="O51" i="11"/>
  <c r="Q41" i="11"/>
  <c r="Q51" i="11" s="1"/>
  <c r="O118" i="11"/>
  <c r="Q108" i="11"/>
  <c r="Q118" i="11" s="1"/>
  <c r="O134" i="11"/>
  <c r="Q124" i="11"/>
  <c r="Q134" i="11" s="1"/>
  <c r="O101" i="11"/>
  <c r="Q91" i="11"/>
  <c r="Q101" i="11" s="1"/>
  <c r="O151" i="11"/>
  <c r="Q141" i="11"/>
  <c r="Q151" i="11" s="1"/>
  <c r="J134" i="11"/>
  <c r="L124" i="11"/>
  <c r="L134" i="11" s="1"/>
  <c r="J85" i="11"/>
  <c r="L85" i="11"/>
  <c r="J29" i="11" l="1"/>
  <c r="J31" i="11" l="1"/>
  <c r="H32" i="11" s="1"/>
  <c r="H33" i="11" s="1"/>
  <c r="C10" i="17" s="1"/>
  <c r="D10" i="17" s="1"/>
  <c r="D13" i="17" s="1"/>
  <c r="D15" i="17" l="1"/>
  <c r="G15" i="17" s="1"/>
  <c r="C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Eddy, Susan (FTA)</author>
  </authors>
  <commentList>
    <comment ref="B2" authorId="0" shapeId="0" xr:uid="{00000000-0006-0000-0000-000001000000}">
      <text>
        <r>
          <rPr>
            <sz val="10"/>
            <color indexed="81"/>
            <rFont val="Arial"/>
            <family val="2"/>
          </rPr>
          <t xml:space="preserve">Enter your official name for the project as you would like it reflected in the Annual Report on Funding Recommendations </t>
        </r>
      </text>
    </comment>
    <comment ref="C50" authorId="1" shapeId="0" xr:uid="{00000000-0006-0000-0000-000002000000}">
      <text>
        <r>
          <rPr>
            <sz val="10"/>
            <color indexed="81"/>
            <rFont val="Arial"/>
            <family val="2"/>
          </rPr>
          <t>Count paired inbound/outbound boarding platforms as one station (do not report the total number of boarding platforms)</t>
        </r>
      </text>
    </comment>
    <comment ref="B51" authorId="2" shapeId="0" xr:uid="{EB5C84D6-CCDD-412F-9A28-A688B222A8AC}">
      <text>
        <r>
          <rPr>
            <sz val="10"/>
            <color indexed="81"/>
            <rFont val="Arial"/>
            <family val="2"/>
          </rPr>
          <t>Include park and ride spaces that are part of this project. Do not include existing park and ride spaces.</t>
        </r>
      </text>
    </comment>
    <comment ref="C54" authorId="0" shapeId="0" xr:uid="{00000000-0006-0000-0000-000003000000}">
      <text>
        <r>
          <rPr>
            <sz val="10"/>
            <color indexed="81"/>
            <rFont val="Arial"/>
            <family val="2"/>
          </rPr>
          <t>Insert additional rows if necessary</t>
        </r>
      </text>
    </comment>
    <comment ref="C74" authorId="0" shapeId="0" xr:uid="{00000000-0006-0000-0000-000004000000}">
      <text>
        <r>
          <rPr>
            <sz val="10"/>
            <color indexed="81"/>
            <rFont val="Arial"/>
            <family val="2"/>
          </rPr>
          <t>Insert additional rows if necessary</t>
        </r>
      </text>
    </comment>
    <comment ref="A95" authorId="1" shapeId="0" xr:uid="{00000000-0006-0000-0000-000005000000}">
      <text>
        <r>
          <rPr>
            <sz val="10"/>
            <color indexed="81"/>
            <rFont val="Arial"/>
            <family val="2"/>
          </rPr>
          <t>The "current year" is the most recent year for which data on demographics and the existing transit system are available.</t>
        </r>
      </text>
    </comment>
    <comment ref="C97" authorId="0" shapeId="0" xr:uid="{00000000-0006-0000-0000-000006000000}">
      <text>
        <r>
          <rPr>
            <sz val="10"/>
            <color indexed="81"/>
            <rFont val="Arial"/>
            <family val="2"/>
          </rPr>
          <t>Value linked from Finance Template</t>
        </r>
      </text>
    </comment>
    <comment ref="C98" authorId="0" shapeId="0" xr:uid="{00000000-0006-0000-0000-000007000000}">
      <text>
        <r>
          <rPr>
            <sz val="10"/>
            <color indexed="81"/>
            <rFont val="Arial"/>
            <family val="2"/>
          </rPr>
          <t>Value linked from Finance Template</t>
        </r>
      </text>
    </comment>
    <comment ref="B104" authorId="2" shapeId="0" xr:uid="{06AFE979-4A5F-4F53-9A63-D693F41B948B}">
      <text>
        <r>
          <rPr>
            <sz val="10"/>
            <color indexed="81"/>
            <rFont val="Arial"/>
            <family val="2"/>
          </rPr>
          <t>Example: 6:00 am - 9:00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benjamin.owen</author>
    <author>daye</author>
  </authors>
  <commentList>
    <comment ref="B76" authorId="0" shapeId="0" xr:uid="{05B99DEC-9C4B-4A0D-92B5-94339C248795}">
      <text>
        <r>
          <rPr>
            <sz val="10"/>
            <color indexed="81"/>
            <rFont val="Arial"/>
            <family val="2"/>
          </rPr>
          <t>Add additional counties as necessary.  Please update formulas in Lines 10 and 11 if additional counties are added.</t>
        </r>
      </text>
    </comment>
    <comment ref="B285" authorId="1" shapeId="0" xr:uid="{2DD3D945-D9B4-4A7D-9900-003BBEE2B355}">
      <text>
        <r>
          <rPr>
            <sz val="10"/>
            <color indexed="81"/>
            <rFont val="Arial"/>
            <family val="2"/>
          </rPr>
          <t>Add additional station areas as necessary.  Please update formulas on Lines, 1, 2, 4, 7, 8, 17, 18, and 20 if additional station areas are added.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elizabeth.day</author>
  </authors>
  <commentList>
    <comment ref="H25" authorId="0" shapeId="0" xr:uid="{00000000-0006-0000-0400-000001000000}">
      <text>
        <r>
          <rPr>
            <sz val="9"/>
            <color indexed="81"/>
            <rFont val="Tahoma"/>
            <family val="2"/>
          </rPr>
          <t xml:space="preserve">Becomes input to tables below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daye</author>
    <author>FChowdhury</author>
  </authors>
  <commentList>
    <comment ref="B4" authorId="0" shapeId="0" xr:uid="{00000000-0006-0000-0500-000001000000}">
      <text>
        <r>
          <rPr>
            <sz val="10"/>
            <color indexed="81"/>
            <rFont val="Arial"/>
            <family val="2"/>
          </rPr>
          <t>Please enter entire numbers in the cells in this worksheet.  Do not abbreviate or round.  For example, enter $1,000,105 rather than $1.0 or $1,000,000.  Otherwise calculations will not work correctly.</t>
        </r>
      </text>
    </comment>
    <comment ref="B140" authorId="1" shapeId="0" xr:uid="{00000000-0006-0000-0500-000002000000}">
      <text>
        <r>
          <rPr>
            <sz val="9"/>
            <color indexed="81"/>
            <rFont val="Tahoma"/>
            <family val="2"/>
          </rPr>
          <t xml:space="preserve">For both the project and the transit system, provide the costs for the first full year of service (even if this period extends into the next fiscal or calendar year).
</t>
        </r>
      </text>
    </comment>
  </commentList>
</comments>
</file>

<file path=xl/sharedStrings.xml><?xml version="1.0" encoding="utf-8"?>
<sst xmlns="http://schemas.openxmlformats.org/spreadsheetml/2006/main" count="1542" uniqueCount="524">
  <si>
    <t>PROJECT NAME:</t>
  </si>
  <si>
    <t>Participating Agencies</t>
  </si>
  <si>
    <t>Lead Agency</t>
  </si>
  <si>
    <t>Name</t>
  </si>
  <si>
    <t>Contact Person</t>
  </si>
  <si>
    <t>Address</t>
  </si>
  <si>
    <t>Telephone Number</t>
  </si>
  <si>
    <t>Fax Number</t>
  </si>
  <si>
    <t>Email</t>
  </si>
  <si>
    <t>Metropolitan Planning Organization</t>
  </si>
  <si>
    <t>Transit Agency</t>
  </si>
  <si>
    <t>State Department of Transportation</t>
  </si>
  <si>
    <t>Other Relevant Agencies</t>
  </si>
  <si>
    <t>NEW STARTS PROJECT DESCRIPTION TEMPLATE (Page 2)</t>
  </si>
  <si>
    <t>Project Definition</t>
  </si>
  <si>
    <t>Length (miles)</t>
  </si>
  <si>
    <t>Mode/Technology</t>
  </si>
  <si>
    <t>Number of Stations</t>
  </si>
  <si>
    <r>
      <t>List each station separately, including the number of park and ride spaces</t>
    </r>
    <r>
      <rPr>
        <b/>
        <sz val="10"/>
        <color rgb="FFFF0000"/>
        <rFont val="Arial"/>
        <family val="2"/>
      </rPr>
      <t xml:space="preserve"> </t>
    </r>
    <r>
      <rPr>
        <b/>
        <sz val="10"/>
        <rFont val="Arial"/>
        <family val="2"/>
      </rPr>
      <t>at each and whether structured or surface parking</t>
    </r>
  </si>
  <si>
    <t>List each station with major transfer facilities to other modes</t>
  </si>
  <si>
    <t>Number of vehicles/rolling stock</t>
  </si>
  <si>
    <t>Type of Alignment by Segment (Number of Miles)</t>
  </si>
  <si>
    <t>Above grade</t>
  </si>
  <si>
    <t>Below grade</t>
  </si>
  <si>
    <t>At grade</t>
  </si>
  <si>
    <t>Exclusive</t>
  </si>
  <si>
    <t>Mixed Traffic</t>
  </si>
  <si>
    <t>Status of Existing Right of Way</t>
  </si>
  <si>
    <t>Ownership – who owns the right of way?</t>
  </si>
  <si>
    <t>Current Use: active freight or passenger service?</t>
  </si>
  <si>
    <t>NEW STARTS PROJECT DESCRIPTION TEMPLATE (Page 3)</t>
  </si>
  <si>
    <t>Seeking Use of Project Justification Warrants?</t>
  </si>
  <si>
    <t>Project Planning Dates</t>
  </si>
  <si>
    <t>Current Year</t>
  </si>
  <si>
    <t>Opening Year</t>
  </si>
  <si>
    <t>Capital Cost Estimate</t>
  </si>
  <si>
    <t>Year of Expenditure</t>
  </si>
  <si>
    <t>Levels of Service</t>
  </si>
  <si>
    <t>Headways</t>
  </si>
  <si>
    <t>Horizon Year</t>
  </si>
  <si>
    <t>Weekday Peak</t>
  </si>
  <si>
    <t>Weekday Off-peak</t>
  </si>
  <si>
    <t>Weekday Evening</t>
  </si>
  <si>
    <t>Weekend</t>
  </si>
  <si>
    <t>Hours of Service</t>
  </si>
  <si>
    <t>Weekday</t>
  </si>
  <si>
    <t>(Select...)</t>
  </si>
  <si>
    <t>Estimated Number of U.S. Jobs Related to Design, Construction, Operation and Maintenance of the Project</t>
  </si>
  <si>
    <t>Project Planning and Development Schedule</t>
  </si>
  <si>
    <t>Project Schedule</t>
  </si>
  <si>
    <t>Insert anticipated or actual date</t>
  </si>
  <si>
    <t>Anticipated NEPA Class of Action</t>
  </si>
  <si>
    <t>(Select…)</t>
  </si>
  <si>
    <t>Entry into Project Development</t>
  </si>
  <si>
    <t>LPA selected</t>
  </si>
  <si>
    <t>LPA included in the financially constrained long range plan</t>
  </si>
  <si>
    <t>Approval into Engineering</t>
  </si>
  <si>
    <t>Anticipated FFGA Award</t>
  </si>
  <si>
    <t>Construction Duration (enter start and end dates)</t>
  </si>
  <si>
    <t>Initiation of Revenue Service</t>
  </si>
  <si>
    <t>Project Management</t>
  </si>
  <si>
    <t>Project Manager</t>
  </si>
  <si>
    <t>Phone</t>
  </si>
  <si>
    <t>Fax</t>
  </si>
  <si>
    <t>Agency CEO</t>
  </si>
  <si>
    <t>Key Agency Staff:                  Overall New Starts Criteria</t>
  </si>
  <si>
    <t>[1] Please provide a narrative summarizing fare policy assumptions used for all regional transit services.  Include this summary as an attachment.</t>
  </si>
  <si>
    <t>NEW STARTS PROJECT DESCRIPTION TEMPLATE (Page 4)</t>
  </si>
  <si>
    <t>Key Agency Staff: 
Ridership Forecasts</t>
  </si>
  <si>
    <t xml:space="preserve">Key Agency Staff: </t>
  </si>
  <si>
    <t>Cost Estimates</t>
  </si>
  <si>
    <t>Key Agency Staff:</t>
  </si>
  <si>
    <t>Environmental</t>
  </si>
  <si>
    <t>Documentation</t>
  </si>
  <si>
    <t>Land Use Assessment</t>
  </si>
  <si>
    <t>Financial Assessment</t>
  </si>
  <si>
    <t>Project Maps</t>
  </si>
  <si>
    <t>Contractors</t>
  </si>
  <si>
    <t>Current Prime Contractor</t>
  </si>
  <si>
    <t>Prime Contractor: Project Manager</t>
  </si>
  <si>
    <t>Contractor Responsible for Travel Forecasts</t>
  </si>
  <si>
    <t>Contractor Responsible for Capital Cost Estimates</t>
  </si>
  <si>
    <t>Trips on the Project</t>
  </si>
  <si>
    <t>Line</t>
  </si>
  <si>
    <t>Transit market</t>
  </si>
  <si>
    <t>Trips made by:</t>
  </si>
  <si>
    <t>Daily linked trips</t>
  </si>
  <si>
    <t>Annuali-zation factor</t>
  </si>
  <si>
    <r>
      <t xml:space="preserve">Annual linked trips
</t>
    </r>
    <r>
      <rPr>
        <sz val="10"/>
        <color theme="1"/>
        <rFont val="Arial"/>
        <family val="2"/>
      </rPr>
      <t>(daily trips * annualization factor)</t>
    </r>
  </si>
  <si>
    <t>Brief description of the process used to develop travel forecasts (e.g., local model, FTA simplified national model, incremental data-driven method, direct demand model)</t>
  </si>
  <si>
    <t>1a</t>
  </si>
  <si>
    <t>Modeled trips: home-based work (HBW)</t>
  </si>
  <si>
    <t>Non-transit dependents</t>
  </si>
  <si>
    <t>1b</t>
  </si>
  <si>
    <t>Transit dependents</t>
  </si>
  <si>
    <t>2a</t>
  </si>
  <si>
    <t>Modeled trips: all other trip purposes</t>
  </si>
  <si>
    <t>2b</t>
  </si>
  <si>
    <t>3a</t>
  </si>
  <si>
    <t>Special market 1 (specify)</t>
  </si>
  <si>
    <t>3b</t>
  </si>
  <si>
    <t>4a</t>
  </si>
  <si>
    <t>Special market 2 (specify)</t>
  </si>
  <si>
    <t>4b</t>
  </si>
  <si>
    <t>5a</t>
  </si>
  <si>
    <t>Special market 3 (specify)</t>
  </si>
  <si>
    <t>5b</t>
  </si>
  <si>
    <t>6a</t>
  </si>
  <si>
    <t>Special market 4 (specify)</t>
  </si>
  <si>
    <t>6b</t>
  </si>
  <si>
    <t>7a</t>
  </si>
  <si>
    <t>Subtotal (lines 1 through 6)</t>
  </si>
  <si>
    <t>---</t>
  </si>
  <si>
    <t>7b</t>
  </si>
  <si>
    <t>8a</t>
  </si>
  <si>
    <t>Total annual linked trips with special markets (lines 7a through 7b)</t>
  </si>
  <si>
    <t>8b</t>
  </si>
  <si>
    <t>Total daily linked trips without special markets (lines 1a through 2b)</t>
  </si>
  <si>
    <t>New transit trips</t>
  </si>
  <si>
    <t>Vehicle-Miles of Travel (VMT)</t>
  </si>
  <si>
    <t>Mode / Technology</t>
  </si>
  <si>
    <t>Daily VMT</t>
  </si>
  <si>
    <r>
      <t xml:space="preserve">Annual VMT
</t>
    </r>
    <r>
      <rPr>
        <sz val="10"/>
        <color theme="1"/>
        <rFont val="Arial"/>
        <family val="2"/>
      </rPr>
      <t>(for automobile, calculation is daily VMT * annualization factor;
for transit, source is service plans for each mode/technology)</t>
    </r>
  </si>
  <si>
    <r>
      <t xml:space="preserve">VMT change
</t>
    </r>
    <r>
      <rPr>
        <sz val="10"/>
        <color theme="1"/>
        <rFont val="Arial"/>
        <family val="2"/>
      </rPr>
      <t>(Build minus No-build VMT)</t>
    </r>
  </si>
  <si>
    <t>No-build</t>
  </si>
  <si>
    <t>Build</t>
  </si>
  <si>
    <t>Automobile</t>
  </si>
  <si>
    <t>Diesel bus</t>
  </si>
  <si>
    <t>Hybrid bus</t>
  </si>
  <si>
    <t>CNG bus</t>
  </si>
  <si>
    <t>Electric bus</t>
  </si>
  <si>
    <t>Heavy rail [1]</t>
  </si>
  <si>
    <t>Light rail / streetcar [1]</t>
  </si>
  <si>
    <t>Commuter rail (new diesel locomotive or DMU) [1]</t>
  </si>
  <si>
    <t>Commuter rail (used diesel locomotive) [1]</t>
  </si>
  <si>
    <t>Commuter rail (electric or EMU) [1]</t>
  </si>
  <si>
    <t>[1] For rail transit modes, report VMT in terms of total rail passenger car mileage, not train mileage.  (As an illustration of the difference, the rail passenger car mileage for a commuter rail or heavy rail train with six passenger cars would be six times the train mileage.)</t>
  </si>
  <si>
    <t>Rating Lookup Tables</t>
  </si>
  <si>
    <t>Description</t>
  </si>
  <si>
    <t>Low-end of Range</t>
  </si>
  <si>
    <t>Score</t>
  </si>
  <si>
    <t>Warrant Validation</t>
  </si>
  <si>
    <t>Cost Effectiveness (Cost per Trip) - New Starts: Numeric Rating</t>
  </si>
  <si>
    <t>N/A</t>
  </si>
  <si>
    <t>HIGH</t>
  </si>
  <si>
    <t>Requesting warrant?</t>
  </si>
  <si>
    <t>MEDIUM-HIGH</t>
  </si>
  <si>
    <t>MEDIUM</t>
  </si>
  <si>
    <t>Ridership bands</t>
  </si>
  <si>
    <t>Cost bands</t>
  </si>
  <si>
    <t>CIG share/amount</t>
  </si>
  <si>
    <t>MEDIUM-LOW</t>
  </si>
  <si>
    <t>5309 share 50% or less</t>
  </si>
  <si>
    <t>LOW</t>
  </si>
  <si>
    <t>5309 amount $100m or less</t>
  </si>
  <si>
    <t>Cost Effectiveness (Cost per Trip) - Small Starts: Numeric Rating</t>
  </si>
  <si>
    <t>Neither</t>
  </si>
  <si>
    <t>This project:</t>
  </si>
  <si>
    <t>Standard Five-point Scale</t>
  </si>
  <si>
    <t>NOT RATED</t>
  </si>
  <si>
    <t>Can't be warranted if doesn't meet at least one of the CIG share/amount criteria</t>
  </si>
  <si>
    <t>Can't be warranted if ridership or cost is in band 0 (ridership &lt; 3000, cost &gt; 500m)</t>
  </si>
  <si>
    <t>Otherwise, number of cost band cannot exceed number of ridership band</t>
  </si>
  <si>
    <t>Does project qualify for warrants?</t>
  </si>
  <si>
    <t>If project is warranted, rating appears as</t>
  </si>
  <si>
    <t>MEDIUM (Warranted)</t>
  </si>
  <si>
    <t>If project does not meet thresholds, rating appears as</t>
  </si>
  <si>
    <t>Project does not meet thresholds for warrants</t>
  </si>
  <si>
    <t>Mobility: Weighted Estimated Annual Trips</t>
  </si>
  <si>
    <t>List of possible ratings for rating estimation tab</t>
  </si>
  <si>
    <t>-</t>
  </si>
  <si>
    <t>Environmental Benefits</t>
  </si>
  <si>
    <t>Congestion Relief</t>
  </si>
  <si>
    <t>NEW STARTS MOBILITY, COST-EFFECTIVENESS, AND CONGESTION RELIEF TEMPLATE</t>
  </si>
  <si>
    <t>Mobility Improvements</t>
  </si>
  <si>
    <t>Item</t>
  </si>
  <si>
    <t>Values</t>
  </si>
  <si>
    <t>Source/Calculation</t>
  </si>
  <si>
    <t>Value used in rating</t>
  </si>
  <si>
    <t>If a 10- or 20-year horizon is used: 50 percent * Line 1 current year value + 50 percent * Line 1 horizon year value
If no horizon year is used: Line 1 current year value</t>
  </si>
  <si>
    <t>Cost Effectiveness</t>
  </si>
  <si>
    <t>Source: SCC Build Annualized worksheets</t>
  </si>
  <si>
    <t>Source: O &amp; M cost models (attach documentation)</t>
  </si>
  <si>
    <t>Annual linked trips on the project</t>
  </si>
  <si>
    <t>Line 3 + Line 4</t>
  </si>
  <si>
    <t>Annualized cost per annual linked trip on the project</t>
  </si>
  <si>
    <t>Line 6 / Line 5</t>
  </si>
  <si>
    <t>If a 10- or 20-year horizon is used: 50 percent * Line 7 current year value + 50 percent * Line 7 horizon year value
If no horizon year is used: Line 7 current year value</t>
  </si>
  <si>
    <t>New Weekday Linked Transit Trips</t>
  </si>
  <si>
    <t>Housing Units - All Types</t>
  </si>
  <si>
    <t>Housing Units - Legally Binding Affordability Restricted</t>
  </si>
  <si>
    <t>Population</t>
  </si>
  <si>
    <t>Employment at New Project Stations</t>
  </si>
  <si>
    <t>Land Area (square miles)</t>
  </si>
  <si>
    <t>Proportion in All Station Areas</t>
  </si>
  <si>
    <t>Proportion in All Counties in which Project Stations are Located</t>
  </si>
  <si>
    <t>County Name:</t>
  </si>
  <si>
    <t>County 2</t>
  </si>
  <si>
    <t>County 3</t>
  </si>
  <si>
    <t>County 4</t>
  </si>
  <si>
    <t>County 5</t>
  </si>
  <si>
    <t>NEW STARTS LAND USE TEMPLATE (QUANTITATIVE DATA) page 2</t>
  </si>
  <si>
    <t>Station Name:</t>
  </si>
  <si>
    <t>Employment</t>
  </si>
  <si>
    <t xml:space="preserve">Land Area (square miles) </t>
  </si>
  <si>
    <t>Station Area 2</t>
  </si>
  <si>
    <t>Station Area 3</t>
  </si>
  <si>
    <t>Station Area 4</t>
  </si>
  <si>
    <t>Station Area 5</t>
  </si>
  <si>
    <t>Station Area 6</t>
  </si>
  <si>
    <t>Station Area 7</t>
  </si>
  <si>
    <t>NEW STARTS LAND USE TEMPLATE (QUANTITATIVE DATA) page 3</t>
  </si>
  <si>
    <t>Station Area 8</t>
  </si>
  <si>
    <t>Station Area 9</t>
  </si>
  <si>
    <t>Station Area 10</t>
  </si>
  <si>
    <t>Station Area 11</t>
  </si>
  <si>
    <t>Station Area 12</t>
  </si>
  <si>
    <t>Station Area 13</t>
  </si>
  <si>
    <t>Station Area 14</t>
  </si>
  <si>
    <t>NEW STARTS LAND USE TEMPLATE (QUANTITATIVE DATA) page 4</t>
  </si>
  <si>
    <t>Station Area 15</t>
  </si>
  <si>
    <t>Station Area 16</t>
  </si>
  <si>
    <t>Station Area 17</t>
  </si>
  <si>
    <t>Station Area 18</t>
  </si>
  <si>
    <t>Station Area 19</t>
  </si>
  <si>
    <t>Station Area 20</t>
  </si>
  <si>
    <t>[4] Countywide housing unit totals are available from the U.S. Census Bureau's American Community Survey website (http://www.census.gov/acs/).</t>
  </si>
  <si>
    <t>NEW STARTS ENVIRONMENTAL BENEFITS TEMPLATE</t>
  </si>
  <si>
    <t>Attainment Status</t>
  </si>
  <si>
    <t>Regional air quality attainment status, carbon monoxide (CO)</t>
  </si>
  <si>
    <t>Source: EPA Green Book</t>
  </si>
  <si>
    <r>
      <t>Regional air quality attainment status, nitrogen dioxide (NO</t>
    </r>
    <r>
      <rPr>
        <b/>
        <vertAlign val="subscript"/>
        <sz val="11"/>
        <rFont val="Arial"/>
        <family val="2"/>
        <scheme val="minor"/>
      </rPr>
      <t>2</t>
    </r>
    <r>
      <rPr>
        <b/>
        <sz val="11"/>
        <rFont val="Arial"/>
        <family val="2"/>
        <scheme val="minor"/>
      </rPr>
      <t>)</t>
    </r>
  </si>
  <si>
    <r>
      <t>Regional air quality attainment status, ozone (O</t>
    </r>
    <r>
      <rPr>
        <b/>
        <vertAlign val="subscript"/>
        <sz val="11"/>
        <rFont val="Arial"/>
        <family val="2"/>
        <scheme val="minor"/>
      </rPr>
      <t>3</t>
    </r>
    <r>
      <rPr>
        <b/>
        <sz val="11"/>
        <rFont val="Arial"/>
        <family val="2"/>
        <scheme val="minor"/>
      </rPr>
      <t>) (2008 8-hour standard)</t>
    </r>
  </si>
  <si>
    <r>
      <t>Regional air quality attainment status, particulate matter (PM</t>
    </r>
    <r>
      <rPr>
        <b/>
        <vertAlign val="subscript"/>
        <sz val="11"/>
        <rFont val="Arial"/>
        <family val="2"/>
        <scheme val="minor"/>
      </rPr>
      <t>2.5</t>
    </r>
    <r>
      <rPr>
        <b/>
        <sz val="11"/>
        <rFont val="Arial"/>
        <family val="2"/>
        <scheme val="minor"/>
      </rPr>
      <t>) (2006 standard)</t>
    </r>
  </si>
  <si>
    <t>ADDITIONAL ENVIRONMENTAL BENEFITS INPUTS REQUIRED FOR WARRANTED NEW STARTS PROJECTS ONLY</t>
  </si>
  <si>
    <t>A</t>
  </si>
  <si>
    <t>Existing Annual Transit Ridership in the Corridor Today</t>
  </si>
  <si>
    <t>Input by project sponsor</t>
  </si>
  <si>
    <t>B</t>
  </si>
  <si>
    <t>Percentage Change in Corridor Annual Transit Vehicle Hours That Would Result from Implementation of the Proposed Project</t>
  </si>
  <si>
    <t>C</t>
  </si>
  <si>
    <t>Elasticity Factor</t>
  </si>
  <si>
    <t>TCRP Report 95, Traveler Response to Transportation System Changes: Transit Scheduling and Frequency (2004)</t>
  </si>
  <si>
    <t>D</t>
  </si>
  <si>
    <t>Estimated Increase in Annual Project Ridership</t>
  </si>
  <si>
    <t>Line A * Line B * Line C</t>
  </si>
  <si>
    <t>E</t>
  </si>
  <si>
    <t>Average share of transit users that previously drove</t>
  </si>
  <si>
    <t>Factor based on data from past projects in the CIG program</t>
  </si>
  <si>
    <t>F</t>
  </si>
  <si>
    <t>Estimated new transit ridership coming from autos</t>
  </si>
  <si>
    <t>Line D * Line E</t>
  </si>
  <si>
    <t>G</t>
  </si>
  <si>
    <t>Average auto occupany factor</t>
  </si>
  <si>
    <t xml:space="preserve">Nation-wide average for work trips from the 2009 National Household Travel Survey </t>
  </si>
  <si>
    <t>H</t>
  </si>
  <si>
    <t>Estimated decrease (increase) in auto trips</t>
  </si>
  <si>
    <t>Line F / Line G</t>
  </si>
  <si>
    <t>I</t>
  </si>
  <si>
    <t>Project Length</t>
  </si>
  <si>
    <t>From Project Description Template</t>
  </si>
  <si>
    <t>J</t>
  </si>
  <si>
    <t>Average trip length factor</t>
  </si>
  <si>
    <t>K</t>
  </si>
  <si>
    <t>Estimated decrease (increase) in Annual Auto Vehicle Miles Travelled</t>
  </si>
  <si>
    <t>Line H * Line I * Line J</t>
  </si>
  <si>
    <t>Summary Results</t>
  </si>
  <si>
    <t>Value of environmental benefits</t>
  </si>
  <si>
    <t>Sum of lines 19, 30, 41, 52, 63, 74, 85 and 96 for current and applicable (if any) horizon year</t>
  </si>
  <si>
    <t>Annualized capital and operating cost of project</t>
  </si>
  <si>
    <t>Mobility and Cost Effectiveness Template, Line 6</t>
  </si>
  <si>
    <t>Ratio of environmental benefits to annualized cost</t>
  </si>
  <si>
    <t>Line 5 / Line 6</t>
  </si>
  <si>
    <t>If a 10- or 20-year horizon is being used: 50 percent * Line 7 current year value + 50 percent * Line 7 horizon year value
If no horizon year is being used: Line 7 current year value</t>
  </si>
  <si>
    <t>NEW STARTS ENVIRONMENTAL BENEFITS TEMPLATE (page 2)</t>
  </si>
  <si>
    <t>VALUE OF BENEFITS BY FACTOR</t>
  </si>
  <si>
    <t>Air Quality: Carbon Monoxide (CO)</t>
  </si>
  <si>
    <t>Mode</t>
  </si>
  <si>
    <t>Horizon - 10 Years</t>
  </si>
  <si>
    <t>Horizon - 20 Years</t>
  </si>
  <si>
    <t>VMT Decrease
(Increase)</t>
  </si>
  <si>
    <t>Conversion Factor: Emissions (kg) / VMT</t>
  </si>
  <si>
    <t>Emissions Decrease (Increase)
(kg)</t>
  </si>
  <si>
    <t>Monetization Factor ($ / kg)</t>
  </si>
  <si>
    <t>Value of Improvement [1]</t>
  </si>
  <si>
    <t>Diesel Bus</t>
  </si>
  <si>
    <t>Hybrid Bus</t>
  </si>
  <si>
    <t>CNG Bus</t>
  </si>
  <si>
    <t>Electric Bus</t>
  </si>
  <si>
    <t>Heavy Rail</t>
  </si>
  <si>
    <t>Light Rail / Streetcar</t>
  </si>
  <si>
    <t>Commuter Rail - New diesel locomotive or DMU</t>
  </si>
  <si>
    <t>Commuter Rail - Used diesel locomotive</t>
  </si>
  <si>
    <t>Commuter Rail - Electric or EMU</t>
  </si>
  <si>
    <t>TOTAL CHANGE</t>
  </si>
  <si>
    <r>
      <t>Air Quality: Mono-Nitrogen Oxides (NO</t>
    </r>
    <r>
      <rPr>
        <b/>
        <vertAlign val="subscript"/>
        <sz val="12"/>
        <rFont val="Arial"/>
        <family val="2"/>
      </rPr>
      <t>x</t>
    </r>
    <r>
      <rPr>
        <b/>
        <sz val="12"/>
        <rFont val="Arial"/>
        <family val="2"/>
      </rPr>
      <t>)</t>
    </r>
  </si>
  <si>
    <t>NEW STARTS ENVIRONMENTAL BENEFITS TEMPLATE (page 3)</t>
  </si>
  <si>
    <t>Air Quality: Volatile Organic Compounds (VOCs)</t>
  </si>
  <si>
    <r>
      <t>Air Quality: Particulate Matter (PM</t>
    </r>
    <r>
      <rPr>
        <b/>
        <vertAlign val="subscript"/>
        <sz val="12"/>
        <rFont val="Arial"/>
        <family val="2"/>
      </rPr>
      <t>2.5</t>
    </r>
    <r>
      <rPr>
        <b/>
        <sz val="12"/>
        <rFont val="Arial"/>
        <family val="2"/>
      </rPr>
      <t>)</t>
    </r>
  </si>
  <si>
    <t>NEW STARTS ENVIRONMENTAL BENEFITS TEMPLATE (page 4)</t>
  </si>
  <si>
    <r>
      <t>Greenhouse Gases (Carbon Dioxide Equivalent [CO</t>
    </r>
    <r>
      <rPr>
        <b/>
        <vertAlign val="subscript"/>
        <sz val="12"/>
        <rFont val="Arial"/>
        <family val="2"/>
      </rPr>
      <t>2</t>
    </r>
    <r>
      <rPr>
        <b/>
        <sz val="12"/>
        <rFont val="Arial"/>
        <family val="2"/>
      </rPr>
      <t>e])</t>
    </r>
  </si>
  <si>
    <t>Conversion Factor: Emissions (ton) / VMT</t>
  </si>
  <si>
    <t>Emissions Decrease (Increase)
(tons)</t>
  </si>
  <si>
    <t>Monetization Factor
($ / ton)</t>
  </si>
  <si>
    <t>Energy Use (British Thermal Units [Btu])</t>
  </si>
  <si>
    <t>Conversion Factor: Energy Use (million Btu) / VMT</t>
  </si>
  <si>
    <t>Energy Use Decrease (Increase)
(million Btu)</t>
  </si>
  <si>
    <t>Monetization Factor
($ / million Btu)</t>
  </si>
  <si>
    <t>NEW STARTS ENVIRONMENTAL BENEFITS TEMPLATE (page 5)</t>
  </si>
  <si>
    <t>Safety: Fatalities</t>
  </si>
  <si>
    <t>Conversion Factor: Fatalities / VMT</t>
  </si>
  <si>
    <t>Fatality Decrease (Increase)</t>
  </si>
  <si>
    <t>Monetization Factor
($ / fatality)</t>
  </si>
  <si>
    <t>Safety: Injuries</t>
  </si>
  <si>
    <t>Conversion Factor: Injuries / VMT</t>
  </si>
  <si>
    <t>Injury Decrease (Increase)</t>
  </si>
  <si>
    <t>Monetization Factor
($ / injury)</t>
  </si>
  <si>
    <t>[1] Value will be positive for decreases and negative for increases.</t>
  </si>
  <si>
    <t>NEW STARTS FINANCE TEMPLATE</t>
  </si>
  <si>
    <r>
      <t xml:space="preserve">Total Capital Cost of Project in YOE dollars
(including finance charges, costs of Project Development and Engineering, and construction): </t>
    </r>
    <r>
      <rPr>
        <sz val="10"/>
        <rFont val="Arial"/>
        <family val="2"/>
      </rPr>
      <t>(from SCC Main Worksheet)</t>
    </r>
  </si>
  <si>
    <t>FTA CIG Funding Anticipated (YOE $):</t>
  </si>
  <si>
    <t>FTA CIG Share of Project Cost:</t>
  </si>
  <si>
    <t>Estimated Cost of Project Development (YOE $):</t>
  </si>
  <si>
    <t>Estimated Cost of Engineering (YOE $):</t>
  </si>
  <si>
    <r>
      <t xml:space="preserve">Total Finance Charges Included in Capital Cost (include finance charges that are expected prior to either the revenue operations date or the fulfillment of the CIG funding commitment, whichever is later in time): </t>
    </r>
    <r>
      <rPr>
        <sz val="10"/>
        <rFont val="Arial"/>
        <family val="2"/>
      </rPr>
      <t>(from SCC Main Worksheet)</t>
    </r>
  </si>
  <si>
    <t>Other Federal Capital Funding Sources</t>
  </si>
  <si>
    <t>Type of Funds</t>
  </si>
  <si>
    <t>Dollar Amount
(YOE)</t>
  </si>
  <si>
    <t>% of Total Capital Cost</t>
  </si>
  <si>
    <t xml:space="preserve">(Non-CIG Funds such as FTA Section 5307, Surface Transportation Program (STP), Congestion Mitigation and Air Quality (CMAQ), etc.) </t>
  </si>
  <si>
    <t>1. (Example: CMAQ)</t>
  </si>
  <si>
    <t>2.</t>
  </si>
  <si>
    <t>3.</t>
  </si>
  <si>
    <t>4.</t>
  </si>
  <si>
    <t xml:space="preserve">State Capital Funding Sources </t>
  </si>
  <si>
    <t>(Funds provided by state agencies or legislatures such as bonds, dedicated sales tax, annual legislative appropriation, transportation trust funds, etc.)</t>
  </si>
  <si>
    <t>1. (Example: State Transportation Fund)</t>
  </si>
  <si>
    <t>5.</t>
  </si>
  <si>
    <t>6.</t>
  </si>
  <si>
    <t>Local Capital Funding Sources</t>
  </si>
  <si>
    <t>(Municipal, City, County, Township, or Regional funding such as bonds, sales tax, legislative appropriation, transportation trust funds, etc.)</t>
  </si>
  <si>
    <t>1.</t>
  </si>
  <si>
    <t>7.</t>
  </si>
  <si>
    <t>8.</t>
  </si>
  <si>
    <t>9.</t>
  </si>
  <si>
    <t>10.</t>
  </si>
  <si>
    <t>11.</t>
  </si>
  <si>
    <t>12.</t>
  </si>
  <si>
    <t xml:space="preserve">Private Sector/In-kind match/Other </t>
  </si>
  <si>
    <t>(Donations of right-of-way, construction of stations or parking, or funding for the project from a non-governmental entity, business, or business assoc.)</t>
  </si>
  <si>
    <t>TOTAL NON-CIG FUNDING (YOE dollars)</t>
  </si>
  <si>
    <r>
      <t>QA/QC CHECK: TOTAL CAPITAL COSTS LESS CIG FUNDING LESS NON-CIG FUNDING</t>
    </r>
    <r>
      <rPr>
        <b/>
        <sz val="8"/>
        <rFont val="Arial"/>
        <family val="2"/>
      </rPr>
      <t xml:space="preserve"> (SHOULD EQUAL $0)</t>
    </r>
  </si>
  <si>
    <t>NEW STARTS FINANCE TEMPLATE (Section 2)</t>
  </si>
  <si>
    <t>New Starts Project Financial Commitment</t>
  </si>
  <si>
    <t xml:space="preserve">Other Federal Sources </t>
  </si>
  <si>
    <t>Are the funds obligated in an existing grant?</t>
  </si>
  <si>
    <t>Are the funds programmed in the current TIP/STIP?</t>
  </si>
  <si>
    <t>If funds are beyond the current TIP/STIP period, are they programmed to the project via MPO Board resolution or other official action?</t>
  </si>
  <si>
    <t>For discretionary or competitive grant funds, has the selection been announced or funds allocated?</t>
  </si>
  <si>
    <t>(Linked from section 1)</t>
  </si>
  <si>
    <t xml:space="preserve">State Sources </t>
  </si>
  <si>
    <t>Are the funds authorized by existing state law?</t>
  </si>
  <si>
    <t>Do the funds require annual/biennial appropriation by state legislature?</t>
  </si>
  <si>
    <t>Do the funds require approval via competitive or discretionary state grant process?</t>
  </si>
  <si>
    <t>Are the funds allocated by formula?</t>
  </si>
  <si>
    <t>(Select….)</t>
  </si>
  <si>
    <t>Local Sources</t>
  </si>
  <si>
    <t>Are the funds authorized by existing state/local law?</t>
  </si>
  <si>
    <t>Are the funds approved for the project in a Board-approved Capital Improvement Program, budget, or resolution?</t>
  </si>
  <si>
    <t>Are the funds committed to the project by a signed, final and completed third-party agreement?</t>
  </si>
  <si>
    <t>Are the funds contingent on a voter referendum?</t>
  </si>
  <si>
    <t>Private Sector/In-kind Match/Other</t>
  </si>
  <si>
    <t>Are the funds committed to the project by a signed, final, and completed third-party agreement?</t>
  </si>
  <si>
    <t>If in-kind contribution, has the value been approved by FTA per requirements of FTA Circular 5010?</t>
  </si>
  <si>
    <t>NEW STARTS FINANCE TEMPLATE (Section 3)</t>
  </si>
  <si>
    <t>Name of entity with ultimate programming authority for source of funds</t>
  </si>
  <si>
    <t>Describe all remaining actions needed to make the funds available to the project</t>
  </si>
  <si>
    <t>Identify and Describe Supporting Documentation Submitted to Verify Commitment Status of Funding Source</t>
  </si>
  <si>
    <t>(Example: Relevant pages from TIP/STIP)</t>
  </si>
  <si>
    <t>(Example: Relevant pages of authorizing legislation with applicable sections identified, official allocation notice from State agency)</t>
  </si>
  <si>
    <t>(Example: Relevant pages from Board-approved CIP; official Board resolution; final, complete third-party agreement with relevant sections/clauses identified)</t>
  </si>
  <si>
    <t xml:space="preserve">Name of entity with ultimate programming authority for source of funds </t>
  </si>
  <si>
    <t xml:space="preserve">Identify and Describe Supporting Documentation Submitted to Verify Commitment Status of Funding Source </t>
  </si>
  <si>
    <t>(Example: Final, complete third-party agreement with relevant sections/clauses identified)</t>
  </si>
  <si>
    <t>Reference Notes:  The following categories and definitions are applied to funding sources:</t>
  </si>
  <si>
    <r>
      <t>Committed:</t>
    </r>
    <r>
      <rPr>
        <sz val="10"/>
        <rFont val="Arial"/>
        <family val="2"/>
      </rPr>
      <t xml:space="preserve"> Committed sources are programmed capital funds that </t>
    </r>
    <r>
      <rPr>
        <b/>
        <u/>
        <sz val="10"/>
        <rFont val="Arial"/>
        <family val="2"/>
      </rPr>
      <t>have all the necessary approvals</t>
    </r>
    <r>
      <rPr>
        <sz val="10"/>
        <rFont val="Arial"/>
        <family val="2"/>
      </rPr>
      <t xml:space="preserve"> to be used to fund the proposed project </t>
    </r>
    <r>
      <rPr>
        <b/>
        <u/>
        <sz val="10"/>
        <rFont val="Arial"/>
        <family val="2"/>
      </rPr>
      <t>without any additional action</t>
    </r>
    <r>
      <rPr>
        <sz val="10"/>
        <rFont val="Arial"/>
        <family val="2"/>
      </rPr>
      <t>.  These funds have all legislative and/or voter approvals needed, and been formally programmed in the MPO’s TIP and/or any related local, regional, or state documents such as an approved annual budget or multi-year CIP.  Examples include dedicated or approved tax revenues, state capital grants that have been approved by all required legislative bodies, cash reserves that have been dedicated to the proposed project, and debt capacity that requires no further approvals and has been dedicated to the proposed project.</t>
    </r>
  </si>
  <si>
    <r>
      <t>Budgeted:</t>
    </r>
    <r>
      <rPr>
        <sz val="10"/>
        <rFont val="Arial"/>
        <family val="2"/>
      </rPr>
      <t xml:space="preserve"> This category is for funds that have been budgeted and/or programmed for use on the proposed project but are not yet fully committed, i.e., the funds have not yet received statutory approval.  Examples include debt financing in an agency-adopted CIP that has yet to receive final legislative approval, or state capital grants that have been included in the state budget, but are still awaiting final legislative appropriations.  These funds are almost certain to be committed in the near future.  Funds will be classified as budgeted where available funding cannot be committed until the FFGA is executed, or due to local practices outside of the project sponsor’s control (e.g., the project development schedule extends beyond the TIP or CIP period).</t>
    </r>
  </si>
  <si>
    <r>
      <t>Planned:</t>
    </r>
    <r>
      <rPr>
        <sz val="10"/>
        <rFont val="Arial"/>
        <family val="2"/>
      </rPr>
      <t xml:space="preserve"> This category is for funds that are identified and have a reasonable chance of being committed, but are neither committed nor budgeted.  Examples include proposed sources that require a scheduled referendum, reasonable requests for state/local capital grants that are not yet approved, and proposed debt financing that has not yet been fully approved.</t>
    </r>
  </si>
  <si>
    <r>
      <rPr>
        <b/>
        <sz val="10"/>
        <rFont val="Arial"/>
        <family val="2"/>
      </rPr>
      <t>Uncertain:</t>
    </r>
    <r>
      <rPr>
        <sz val="10"/>
        <rFont val="Arial"/>
        <family val="2"/>
      </rPr>
      <t xml:space="preserve"> This category is applied when it is unclear from the agency’s submission whether or not a funding source is committed, budgeted, or unavailable.  Instances where the plan to secure committed funds is deemed to be unreasonable may be classified as uncertain.  This category applies to funding sources that the project sponsor may describe as committed or budgeted but for which no supporting documentation is provided to FTA.  Also, funding proposals that have repeatedly failed (more than once), such as failed local referendums or repeated denial of state grants, will be classified as uncertain.</t>
    </r>
  </si>
  <si>
    <r>
      <t xml:space="preserve">Unspecified: </t>
    </r>
    <r>
      <rPr>
        <sz val="10"/>
        <rFont val="Arial"/>
        <family val="2"/>
      </rPr>
      <t xml:space="preserve"> This category is applied when the proposed non-CIG funding sources are not sufficient or have not been clearly identified.</t>
    </r>
  </si>
  <si>
    <t>NEW STARTS FINANCE TEMPLATE (Section 4)</t>
  </si>
  <si>
    <t>Innovative Financing Methods</t>
  </si>
  <si>
    <t>(Unconventional funding/financing arrangements such as USDOT credit instruments (RRIF/TIFIA loans, PABs), State Infrastructure Banks, Public/Private partnerships, Toll Credits, Joint Development revenues, etc.)</t>
  </si>
  <si>
    <t xml:space="preserve">Innovative Funding Source </t>
  </si>
  <si>
    <t>Anticipated Funding Amount ($)</t>
  </si>
  <si>
    <t>Name of entity with final approving authority</t>
  </si>
  <si>
    <t>Describe all actions needed to make the funds available to the project</t>
  </si>
  <si>
    <t>Identify and Describe Supporting Documentation Submitted</t>
  </si>
  <si>
    <t>Summary Information from the Operating Finance Plan</t>
  </si>
  <si>
    <t>New Starts Project Annual Operating Cost in the Opening Year (YOE$):</t>
  </si>
  <si>
    <t>Total Transit System (including New Starts Project) Annual Operating Cost in the Opening Year (YOE$)</t>
  </si>
  <si>
    <r>
      <t xml:space="preserve">Proposed Sources of Operating Funds </t>
    </r>
    <r>
      <rPr>
        <sz val="10"/>
        <rFont val="Arial"/>
        <family val="2"/>
      </rPr>
      <t>(Proposed sources of operating funds that are anticipated to support operating expenses of the transit system including the New Starts project in the opening year.)</t>
    </r>
  </si>
  <si>
    <t>Dollar Amount ($)</t>
  </si>
  <si>
    <t>Type of Funding Source</t>
  </si>
  <si>
    <t>Committed, Budgeted or Planned</t>
  </si>
  <si>
    <t>Specify Whether New or Existing Funding Source</t>
  </si>
  <si>
    <t>Farebox Revenues</t>
  </si>
  <si>
    <t>(Example: State Revenue Source A)</t>
  </si>
  <si>
    <t>(Example: State Revenue Source B)</t>
  </si>
  <si>
    <t>(Example: State Revenue Source C)</t>
  </si>
  <si>
    <t>(Example: Local Revenue Source A)</t>
  </si>
  <si>
    <t>(Example: Local Revenue Source B)</t>
  </si>
  <si>
    <t>(Example: Local Revenue Source C)</t>
  </si>
  <si>
    <t>(Example: Private/Value Capture Funding Source)</t>
  </si>
  <si>
    <t>Other</t>
  </si>
  <si>
    <t>Total</t>
  </si>
  <si>
    <t>Transit System Operating Characteristics</t>
  </si>
  <si>
    <t xml:space="preserve">Current Systemwide Characteristics </t>
  </si>
  <si>
    <t xml:space="preserve"> Number/Value</t>
  </si>
  <si>
    <r>
      <t xml:space="preserve">Future Transit System with New Starts Project </t>
    </r>
    <r>
      <rPr>
        <sz val="10"/>
        <rFont val="Arial"/>
        <family val="2"/>
      </rPr>
      <t>(Systemwide characteristics at completion of the New Starts Project)</t>
    </r>
  </si>
  <si>
    <t>Number/Value</t>
  </si>
  <si>
    <t>(Can be the same data as reported to the FTA for the National Transit Database)</t>
  </si>
  <si>
    <t>Farebox Recovery Percent</t>
  </si>
  <si>
    <t>Number of Buses</t>
  </si>
  <si>
    <t xml:space="preserve">Number of Rail Vehicles </t>
  </si>
  <si>
    <t>Number of Rail Vehicles</t>
  </si>
  <si>
    <t>Average Fare</t>
  </si>
  <si>
    <t>Average Age of Buses</t>
  </si>
  <si>
    <t>Average Age of Rail Vehicles</t>
  </si>
  <si>
    <t>Revenue Miles of Service Provided</t>
  </si>
  <si>
    <t xml:space="preserve">Revenue Miles of Service </t>
  </si>
  <si>
    <t>Revenue Hours of Service Provided</t>
  </si>
  <si>
    <t xml:space="preserve">Revenue Hours of Service </t>
  </si>
  <si>
    <t>NEW STARTS RATING ESTIMATION</t>
  </si>
  <si>
    <t>Use this tool to calculate your New Starts project's potential overall rating.  Enter a value from the drop down menu in each of the yellow cells based on the ratings you anticipate. *</t>
  </si>
  <si>
    <t>Project Justification</t>
  </si>
  <si>
    <t>Local Financial Commitment</t>
  </si>
  <si>
    <t>Criterion</t>
  </si>
  <si>
    <t>Weight</t>
  </si>
  <si>
    <t>Estimated Rating</t>
  </si>
  <si>
    <t>numeric</t>
  </si>
  <si>
    <t>Mobility, Cost-Effectiveness, and Congestion Relief Templates</t>
  </si>
  <si>
    <t>Current Financial Condition</t>
  </si>
  <si>
    <t>Commitment of Capital and Operating Funds</t>
  </si>
  <si>
    <t>Reasonableness of Financial Plan</t>
  </si>
  <si>
    <t>Environmental Benefits Template</t>
  </si>
  <si>
    <t>Finance Template</t>
  </si>
  <si>
    <t>Land Use</t>
  </si>
  <si>
    <t>Summary Rating</t>
  </si>
  <si>
    <t>Ratings are assigned to each subfactor on a five-point scale, with Low = 1, Medium-Low = 2, Medium = 3, Medium-High = 4, and High = 5.  Individual subfactor ratings are then weighted as shown to develop the summary Local Financial Commitment rating.  If the summary rating is at least Medium and the CIG share is less than 50%, the summary rating is increased one level.</t>
  </si>
  <si>
    <t>Economic Development</t>
  </si>
  <si>
    <t>Ratings are assigned to each criterion on a five-point scale, with Low = 1, Medium-Low =2, Medium = 3, Medium-High = 4, and High = 5.  Individual criterion ratings are then weighted 16.66% each to develop the summary Project Justification rating.</t>
  </si>
  <si>
    <r>
      <t xml:space="preserve">Estimated Overall Project Rating:
</t>
    </r>
    <r>
      <rPr>
        <b/>
        <sz val="11"/>
        <rFont val="Arial"/>
        <family val="2"/>
      </rPr>
      <t>(The Project Justification and Local Financial Commitment summary ratings are each weighted equally at 50%.  However, both must be at least Medium to obtain a Medium or better overall rating.)</t>
    </r>
  </si>
  <si>
    <t>Link to CIG Program Guidance on the FTA Website</t>
  </si>
  <si>
    <t>None</t>
  </si>
  <si>
    <t>NEW STARTS PROJECT DESCRIPTION TEMPLATE</t>
  </si>
  <si>
    <t>NEW STARTS TRAVEL FORECASTS TEMPLATE</t>
  </si>
  <si>
    <t>2025 constant dollars</t>
  </si>
  <si>
    <t>Annualized project capital cost excluding enrichments (constant 2025 dollars)</t>
  </si>
  <si>
    <t>Annual project operating and maintenance costs (constant 2025 dollars)</t>
  </si>
  <si>
    <t>Annualized project capital and operating cost excluding enrichments (constant 2025 dollars)</t>
  </si>
  <si>
    <r>
      <t xml:space="preserve">Total Capital Cost of Project in Constant 2025 Dollars
</t>
    </r>
    <r>
      <rPr>
        <sz val="10"/>
        <rFont val="Arial"/>
        <family val="2"/>
      </rPr>
      <t>(from the SCC Main Worksheet)</t>
    </r>
  </si>
  <si>
    <t>Annual linked trips on the project with five times the weight for trips by transit-dependent persons</t>
  </si>
  <si>
    <t>Travel Forecasts Template, Line 8a</t>
  </si>
  <si>
    <t>Travel Forecasts Template, Line 9</t>
  </si>
  <si>
    <t>Travel Forecasts, Line 7a + 5 * Line 7b</t>
  </si>
  <si>
    <t>Do you anticipate that your project will qualify for the simplified financial assessment? (See the Local Financial Commitment section of the New Starts portion of the CIG Policy Guidance for the qualifying criteria.)</t>
  </si>
  <si>
    <t>Enter your estimations of these ratings.  See the Local Financial Commitment section in the New Starts chapter of the CIG Policy Guidance for information on how FTA rates these factors.</t>
  </si>
  <si>
    <t>* FTA is providing this tool to help project sponsors understand how their projects might rate.  Any anticipated ratings entered into this spreadsheet will not be used by FTA to inform the ratings that FTA assigns.  All ratings automatically computed in the templates are subject to verification by FTA.  FTA has sole responsibility for assigning project ratings according to the evaluation and rating framework described in the Capital Investment Grants Policy Guidance.</t>
  </si>
  <si>
    <t>NEW STARTS LAND USE TEMPLATE</t>
  </si>
  <si>
    <t>NEW STARTS LAND USE MEASURES AND CRITERION RATING RESULTS</t>
  </si>
  <si>
    <t>Average Existing Population Density (persons per square mile) Across All Station Areas</t>
  </si>
  <si>
    <t>Sum of Current Year Population in all Station Areas</t>
  </si>
  <si>
    <t>Sum of Land Area in all Station Areas</t>
  </si>
  <si>
    <t>Value Used in Criterion Rating</t>
  </si>
  <si>
    <t>Line 1 / Line 2</t>
  </si>
  <si>
    <t>Total Existing Employment Served by the Project</t>
  </si>
  <si>
    <t>Sum of Current Year Employment in all Station Areas</t>
  </si>
  <si>
    <r>
      <t>Employment at Existing Stations Along the Line</t>
    </r>
    <r>
      <rPr>
        <sz val="10"/>
        <color rgb="FFFF0000"/>
        <rFont val="Arial"/>
        <family val="2"/>
      </rPr>
      <t xml:space="preserve"> [see footnote 1]</t>
    </r>
  </si>
  <si>
    <t>Line 4 + Line 5</t>
  </si>
  <si>
    <t>Legally Binding Affordability Restricted (LBAR) Housing Unit Ratio</t>
  </si>
  <si>
    <t>Total LBAR Housing Units in All Station Areas</t>
  </si>
  <si>
    <t>Sum of Current Year Housing Units - All Types in all Station Areas</t>
  </si>
  <si>
    <t>Sum of Current Year Housing Units - LBAR in all Station Areas</t>
  </si>
  <si>
    <t>Line 8 / Line 7</t>
  </si>
  <si>
    <t>Total LBAR Housing Units in All Counties in which Project Stations are Located</t>
  </si>
  <si>
    <t>Sum of Current Year Housing Units - All Types in all Counties</t>
  </si>
  <si>
    <t>Sum of Current Year Housing Units - LBAR in all Counties</t>
  </si>
  <si>
    <t>Line 11 / Line 10</t>
  </si>
  <si>
    <t>Line 9 / Line 12</t>
  </si>
  <si>
    <t>Initial Measure Rating</t>
  </si>
  <si>
    <t>Corresponding rating for value in Line 13</t>
  </si>
  <si>
    <t>LBAR Housing Unit Boost to Initial Measure Rating</t>
  </si>
  <si>
    <t>If Line 12 is greater than 5.0 percent, then increase Line 14 one rating level for use in criterion rating.</t>
  </si>
  <si>
    <t>Community Risk</t>
  </si>
  <si>
    <r>
      <t xml:space="preserve">Year of Community Resilience Estimates (CRE) Dataset </t>
    </r>
    <r>
      <rPr>
        <sz val="10"/>
        <color rgb="FFFF0000"/>
        <rFont val="Arial"/>
        <family val="2"/>
      </rPr>
      <t>[see footnote 2]</t>
    </r>
  </si>
  <si>
    <t>High-Risk CRE Population</t>
  </si>
  <si>
    <t>Sum of Current Year High-Risk CRE Population in all Station Areas</t>
  </si>
  <si>
    <t>CRE Population</t>
  </si>
  <si>
    <t>Line 17 / Line 18</t>
  </si>
  <si>
    <t>Essential Services</t>
  </si>
  <si>
    <t>Number of essential services (one-mile radius)</t>
  </si>
  <si>
    <t>Sum of Current Year Number of Essential Services in all Station Areas</t>
  </si>
  <si>
    <r>
      <t xml:space="preserve">Number of stations </t>
    </r>
    <r>
      <rPr>
        <sz val="10"/>
        <color rgb="FFFF0000"/>
        <rFont val="Arial"/>
        <family val="2"/>
      </rPr>
      <t>[see footnote 3]</t>
    </r>
  </si>
  <si>
    <t>Line 20 / Line 21</t>
  </si>
  <si>
    <t>Land Use Criterion Rating</t>
  </si>
  <si>
    <t>Average of the five land use measure ratings.</t>
  </si>
  <si>
    <t>Housing Units for Each County in which Project Stations are Located</t>
  </si>
  <si>
    <r>
      <t xml:space="preserve">County 1  </t>
    </r>
    <r>
      <rPr>
        <b/>
        <sz val="10"/>
        <color rgb="FFFF0000"/>
        <rFont val="Arial"/>
        <family val="2"/>
      </rPr>
      <t>[see footnote 4]</t>
    </r>
  </si>
  <si>
    <t>Population, Employment, Housing Units, Community Risk, and Essential Services for Each Station Area that is Part of the Proposed Project</t>
  </si>
  <si>
    <r>
      <t xml:space="preserve">Station Area 1 </t>
    </r>
    <r>
      <rPr>
        <b/>
        <sz val="10"/>
        <color rgb="FFFF0000"/>
        <rFont val="Arial"/>
        <family val="2"/>
      </rPr>
      <t>[see footnote 5]</t>
    </r>
  </si>
  <si>
    <t xml:space="preserve">Essential Services </t>
  </si>
  <si>
    <t>[1] This information should be entered only for projects that are extensions to existing lines. Provide the total employment served within a half-mile radius of the existing stations along the entire line on which a no-transfer ride from the proposed project’s stations can be reached. Do not include employment within a half-mile radius of the new stations.</t>
  </si>
  <si>
    <t>[2] High-Risk CRE Population and CRE Population can be calculated using the latest CRE dataset available at the U.S. Census Bureau's CRE website (https://www.census.gov/programs-surveys/community-resilience-estimates/data/datasets.html). Input the year of the CRE dataset used for these calculations.</t>
  </si>
  <si>
    <t>[3] Input the total number of station areas evaluated for land use rating, i.e., break up any station area groupings.</t>
  </si>
  <si>
    <t>[5] Reporting of data by individual station area is required. See Appendices D-F of the Reporting Instructions for a sample methodology for estimating station area population, employment, housing units, community risk, and essential services.</t>
  </si>
  <si>
    <t>Score with Boost</t>
  </si>
  <si>
    <t>Land Use - Average Population Density</t>
  </si>
  <si>
    <t>Land Use - Total Employment Served by a One-Seat Ride</t>
  </si>
  <si>
    <t>Land Use - Proportion of Legally Binding Affordability Restricted Housing in Station Areas to Counties</t>
  </si>
  <si>
    <t>Land Use - Community Risk</t>
  </si>
  <si>
    <t>Land Use - Average Essential Services</t>
  </si>
  <si>
    <t>Land Use Template</t>
  </si>
  <si>
    <t>Enter your estimations of these ratings.  See FTA's Guidelines for Economic Development Effects for New Starts and Small Starts Projects on how FTA determines the ratings for these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</si>
</sst>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0.0"/>
    <numFmt numFmtId="165" formatCode="_(&quot;$&quot;* #,##0_);_(&quot;$&quot;* \(#,##0\);_(&quot;$&quot;* &quot;-&quot;??_);_(@_)"/>
    <numFmt numFmtId="166" formatCode="#,##0.0"/>
    <numFmt numFmtId="167" formatCode="&quot;$&quot;#,##0"/>
    <numFmt numFmtId="168" formatCode="0.0%"/>
    <numFmt numFmtId="169" formatCode="&quot;$&quot;#,##0.00"/>
    <numFmt numFmtId="170" formatCode="#,##0.00000_);[Red]\(#,##0.00000\)"/>
    <numFmt numFmtId="171" formatCode="#,##0.00000_);\(#,##0.00000\)"/>
    <numFmt numFmtId="172" formatCode="0.000000"/>
    <numFmt numFmtId="173" formatCode="0.00000"/>
    <numFmt numFmtId="174" formatCode="0.000000000"/>
    <numFmt numFmtId="175" formatCode="[$-409]mmm\-yy;@"/>
    <numFmt numFmtId="176" formatCode="0.000"/>
  </numFmts>
  <fonts count="59" x14ac:knownFonts="1">
    <font>
      <sz val="11"/>
      <color theme="1"/>
      <name val="Arial"/>
      <family val="2"/>
      <scheme val="minor"/>
    </font>
    <font>
      <sz val="11"/>
      <color theme="1"/>
      <name val="Arial"/>
      <family val="2"/>
      <scheme val="minor"/>
    </font>
    <font>
      <sz val="11"/>
      <color theme="1"/>
      <name val="Arial"/>
      <family val="2"/>
      <scheme val="minor"/>
    </font>
    <font>
      <sz val="8"/>
      <name val="Arial"/>
      <family val="2"/>
    </font>
    <font>
      <sz val="8"/>
      <name val="Arial"/>
      <family val="2"/>
    </font>
    <font>
      <b/>
      <sz val="12"/>
      <name val="Arial"/>
      <family val="2"/>
    </font>
    <font>
      <sz val="12"/>
      <name val="Arial"/>
      <family val="2"/>
    </font>
    <font>
      <b/>
      <sz val="14"/>
      <name val="Arial"/>
      <family val="2"/>
    </font>
    <font>
      <b/>
      <sz val="18"/>
      <name val="Arial"/>
      <family val="2"/>
    </font>
    <font>
      <sz val="10"/>
      <name val="Arial"/>
      <family val="2"/>
    </font>
    <font>
      <b/>
      <sz val="10"/>
      <name val="Arial"/>
      <family val="2"/>
    </font>
    <font>
      <sz val="10"/>
      <name val="Arial"/>
      <family val="2"/>
    </font>
    <font>
      <b/>
      <i/>
      <sz val="10"/>
      <name val="Arial"/>
      <family val="2"/>
    </font>
    <font>
      <b/>
      <u/>
      <sz val="10"/>
      <name val="Arial"/>
      <family val="2"/>
    </font>
    <font>
      <sz val="10"/>
      <color indexed="81"/>
      <name val="Arial"/>
      <family val="2"/>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theme="1"/>
      <name val="Arial"/>
      <family val="2"/>
    </font>
    <font>
      <u/>
      <sz val="8"/>
      <color theme="10"/>
      <name val="Arial"/>
      <family val="2"/>
    </font>
    <font>
      <b/>
      <sz val="10"/>
      <name val="Arial"/>
      <family val="2"/>
      <scheme val="minor"/>
    </font>
    <font>
      <sz val="10"/>
      <name val="Arial"/>
      <family val="2"/>
      <scheme val="minor"/>
    </font>
    <font>
      <b/>
      <sz val="10"/>
      <color theme="1"/>
      <name val="Arial"/>
      <family val="2"/>
    </font>
    <font>
      <b/>
      <sz val="12"/>
      <color theme="1"/>
      <name val="Arial"/>
      <family val="2"/>
    </font>
    <font>
      <b/>
      <sz val="12"/>
      <name val="Arial"/>
      <family val="2"/>
      <scheme val="minor"/>
    </font>
    <font>
      <b/>
      <vertAlign val="subscript"/>
      <sz val="12"/>
      <name val="Arial"/>
      <family val="2"/>
    </font>
    <font>
      <b/>
      <sz val="11"/>
      <name val="Arial"/>
      <family val="2"/>
      <scheme val="minor"/>
    </font>
    <font>
      <sz val="11"/>
      <name val="Arial"/>
      <family val="2"/>
      <scheme val="minor"/>
    </font>
    <font>
      <b/>
      <u/>
      <sz val="11"/>
      <color theme="10"/>
      <name val="Arial"/>
      <family val="2"/>
      <scheme val="minor"/>
    </font>
    <font>
      <b/>
      <vertAlign val="subscript"/>
      <sz val="11"/>
      <name val="Arial"/>
      <family val="2"/>
      <scheme val="minor"/>
    </font>
    <font>
      <b/>
      <sz val="12"/>
      <color theme="0"/>
      <name val="Arial"/>
      <family val="2"/>
    </font>
    <font>
      <sz val="9"/>
      <color indexed="81"/>
      <name val="Tahoma"/>
      <family val="2"/>
    </font>
    <font>
      <b/>
      <sz val="8"/>
      <color rgb="FFFF0000"/>
      <name val="Arial"/>
      <family val="2"/>
    </font>
    <font>
      <b/>
      <sz val="11.5"/>
      <color theme="1"/>
      <name val="Arial"/>
      <family val="2"/>
    </font>
    <font>
      <b/>
      <sz val="16"/>
      <name val="Arial"/>
      <family val="2"/>
    </font>
    <font>
      <b/>
      <sz val="11"/>
      <name val="Arial"/>
      <family val="2"/>
    </font>
    <font>
      <b/>
      <u/>
      <sz val="12"/>
      <color theme="10"/>
      <name val="Arial"/>
      <family val="2"/>
    </font>
    <font>
      <sz val="14"/>
      <name val="Arial"/>
      <family val="2"/>
    </font>
    <font>
      <b/>
      <sz val="12"/>
      <color rgb="FFFF0000"/>
      <name val="Arial"/>
      <family val="2"/>
    </font>
    <font>
      <b/>
      <sz val="8"/>
      <name val="Arial"/>
      <family val="2"/>
    </font>
    <font>
      <b/>
      <sz val="10"/>
      <color rgb="FFFF0000"/>
      <name val="Arial"/>
      <family val="2"/>
    </font>
    <font>
      <sz val="10"/>
      <color rgb="FFFF0000"/>
      <name val="Arial"/>
      <family val="2"/>
    </font>
    <font>
      <i/>
      <sz val="10"/>
      <name val="Arial"/>
      <family val="2"/>
    </font>
    <font>
      <u/>
      <sz val="8"/>
      <color theme="11"/>
      <name val="Arial"/>
    </font>
    <font>
      <sz val="11"/>
      <color rgb="FF9C5700"/>
      <name val="Arial"/>
      <family val="2"/>
      <scheme val="minor"/>
    </font>
    <font>
      <sz val="18"/>
      <color theme="3"/>
      <name val="Arial"/>
      <family val="2"/>
      <scheme val="major"/>
    </font>
    <font>
      <sz val="11"/>
      <color theme="1"/>
      <name val="Arial"/>
      <family val="2"/>
    </font>
    <font>
      <sz val="11"/>
      <name val="Arial"/>
      <family val="2"/>
    </font>
  </fonts>
  <fills count="4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bgColor indexed="64"/>
      </patternFill>
    </fill>
    <fill>
      <patternFill patternType="solid">
        <fgColor rgb="FFEAEAEA"/>
        <bgColor indexed="64"/>
      </patternFill>
    </fill>
    <fill>
      <patternFill patternType="solid">
        <fgColor rgb="FFFFFF66"/>
        <bgColor indexed="64"/>
      </patternFill>
    </fill>
    <fill>
      <patternFill patternType="solid">
        <fgColor theme="0" tint="-4.9989318521683403E-2"/>
        <bgColor indexed="64"/>
      </patternFill>
    </fill>
    <fill>
      <patternFill patternType="solid">
        <fgColor rgb="FFFFFF00"/>
        <bgColor indexed="64"/>
      </patternFill>
    </fill>
  </fills>
  <borders count="155">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auto="1"/>
      </left>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auto="1"/>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top style="hair">
        <color indexed="64"/>
      </top>
      <bottom style="hair">
        <color indexed="64"/>
      </bottom>
      <diagonal/>
    </border>
    <border>
      <left/>
      <right/>
      <top style="medium">
        <color indexed="64"/>
      </top>
      <bottom style="hair">
        <color indexed="64"/>
      </bottom>
      <diagonal/>
    </border>
    <border>
      <left style="thin">
        <color indexed="64"/>
      </left>
      <right style="thin">
        <color indexed="64"/>
      </right>
      <top style="thin">
        <color indexed="64"/>
      </top>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thin">
        <color auto="1"/>
      </right>
      <top style="thin">
        <color auto="1"/>
      </top>
      <bottom/>
      <diagonal/>
    </border>
    <border>
      <left style="dotted">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s>
  <cellStyleXfs count="46">
    <xf numFmtId="0" fontId="0" fillId="0" borderId="0"/>
    <xf numFmtId="44" fontId="1" fillId="0" borderId="0" applyFont="0" applyFill="0" applyBorder="0" applyAlignment="0" applyProtection="0"/>
    <xf numFmtId="9" fontId="2" fillId="0" borderId="0" applyFont="0" applyFill="0" applyBorder="0" applyAlignment="0" applyProtection="0"/>
    <xf numFmtId="0" fontId="56" fillId="0" borderId="0" applyNumberFormat="0" applyFill="0" applyBorder="0" applyAlignment="0" applyProtection="0"/>
    <xf numFmtId="0" fontId="15" fillId="0" borderId="65" applyNumberFormat="0" applyFill="0" applyAlignment="0" applyProtection="0"/>
    <xf numFmtId="0" fontId="16" fillId="0" borderId="66" applyNumberFormat="0" applyFill="0" applyAlignment="0" applyProtection="0"/>
    <xf numFmtId="0" fontId="17" fillId="0" borderId="67" applyNumberFormat="0" applyFill="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8" borderId="0" applyNumberFormat="0" applyBorder="0" applyAlignment="0" applyProtection="0"/>
    <xf numFmtId="0" fontId="55" fillId="9" borderId="0" applyNumberFormat="0" applyBorder="0" applyAlignment="0" applyProtection="0"/>
    <xf numFmtId="0" fontId="20" fillId="10" borderId="68" applyNumberFormat="0" applyAlignment="0" applyProtection="0"/>
    <xf numFmtId="0" fontId="21" fillId="11" borderId="69" applyNumberFormat="0" applyAlignment="0" applyProtection="0"/>
    <xf numFmtId="0" fontId="22" fillId="11" borderId="68" applyNumberFormat="0" applyAlignment="0" applyProtection="0"/>
    <xf numFmtId="0" fontId="23" fillId="0" borderId="70" applyNumberFormat="0" applyFill="0" applyAlignment="0" applyProtection="0"/>
    <xf numFmtId="0" fontId="24" fillId="12" borderId="71"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72" applyNumberFormat="0" applyFill="0" applyAlignment="0" applyProtection="0"/>
    <xf numFmtId="0" fontId="2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30" fillId="0" borderId="0" applyNumberFormat="0" applyFill="0" applyBorder="0" applyAlignment="0" applyProtection="0"/>
    <xf numFmtId="15" fontId="9" fillId="0" borderId="0" applyFont="0" applyFill="0" applyBorder="0" applyAlignment="0" applyProtection="0">
      <alignment horizontal="right"/>
    </xf>
    <xf numFmtId="0" fontId="54" fillId="0" borderId="0" applyNumberFormat="0" applyFill="0" applyBorder="0" applyAlignment="0" applyProtection="0"/>
  </cellStyleXfs>
  <cellXfs count="1248">
    <xf numFmtId="0" fontId="0" fillId="0" borderId="0" xfId="0"/>
    <xf numFmtId="0" fontId="6" fillId="0" borderId="0" xfId="0" applyFont="1" applyFill="1"/>
    <xf numFmtId="0" fontId="4" fillId="0" borderId="0" xfId="0" applyFont="1"/>
    <xf numFmtId="0" fontId="6" fillId="2" borderId="0" xfId="0" applyFont="1" applyFill="1"/>
    <xf numFmtId="167" fontId="9" fillId="3" borderId="18" xfId="0" applyNumberFormat="1" applyFont="1" applyFill="1" applyBorder="1" applyAlignment="1" applyProtection="1">
      <alignment horizontal="center" vertical="center" wrapText="1"/>
      <protection locked="0"/>
    </xf>
    <xf numFmtId="0" fontId="29" fillId="0" borderId="0" xfId="0" applyFont="1"/>
    <xf numFmtId="0" fontId="29" fillId="0" borderId="0" xfId="0" applyFont="1" applyAlignment="1">
      <alignment horizontal="left" wrapText="1"/>
    </xf>
    <xf numFmtId="0" fontId="29" fillId="0" borderId="0" xfId="0" applyFont="1" applyBorder="1"/>
    <xf numFmtId="0" fontId="29" fillId="0" borderId="0" xfId="0" applyFont="1" applyBorder="1" applyAlignment="1">
      <alignment horizontal="left" wrapText="1"/>
    </xf>
    <xf numFmtId="0" fontId="29" fillId="0" borderId="0" xfId="0" applyFont="1" applyBorder="1" applyAlignment="1">
      <alignment vertical="center"/>
    </xf>
    <xf numFmtId="0" fontId="29" fillId="0" borderId="0" xfId="0" applyFont="1" applyAlignment="1">
      <alignment vertical="center" wrapText="1"/>
    </xf>
    <xf numFmtId="0" fontId="5" fillId="5" borderId="11" xfId="0" applyFont="1" applyFill="1" applyBorder="1" applyAlignment="1" applyProtection="1">
      <alignment vertical="top" wrapText="1"/>
    </xf>
    <xf numFmtId="0" fontId="10" fillId="5" borderId="7" xfId="0" applyFont="1" applyFill="1" applyBorder="1" applyAlignment="1" applyProtection="1">
      <alignment vertical="top" wrapText="1"/>
    </xf>
    <xf numFmtId="0" fontId="10" fillId="5" borderId="8" xfId="0" applyFont="1" applyFill="1" applyBorder="1" applyAlignment="1" applyProtection="1">
      <alignment vertical="top" wrapText="1"/>
    </xf>
    <xf numFmtId="0" fontId="10" fillId="5" borderId="9" xfId="0" applyFont="1" applyFill="1" applyBorder="1" applyAlignment="1" applyProtection="1">
      <alignment vertical="top" wrapText="1"/>
    </xf>
    <xf numFmtId="0" fontId="10" fillId="5" borderId="10" xfId="0" applyFont="1" applyFill="1" applyBorder="1" applyAlignment="1" applyProtection="1">
      <alignment vertical="top" wrapText="1"/>
    </xf>
    <xf numFmtId="0" fontId="6" fillId="0" borderId="0" xfId="0" applyFont="1" applyFill="1" applyProtection="1"/>
    <xf numFmtId="0" fontId="10" fillId="5" borderId="17" xfId="0" applyFont="1" applyFill="1" applyBorder="1" applyAlignment="1" applyProtection="1">
      <alignment vertical="top" wrapText="1"/>
    </xf>
    <xf numFmtId="0" fontId="10" fillId="5" borderId="14" xfId="0" applyFont="1" applyFill="1" applyBorder="1" applyAlignment="1" applyProtection="1">
      <alignment vertical="top" wrapText="1"/>
    </xf>
    <xf numFmtId="0" fontId="10" fillId="5" borderId="18" xfId="0" applyFont="1" applyFill="1" applyBorder="1" applyAlignment="1" applyProtection="1">
      <alignment vertical="top" wrapText="1"/>
    </xf>
    <xf numFmtId="0" fontId="12" fillId="5" borderId="18" xfId="0" applyFont="1" applyFill="1" applyBorder="1" applyAlignment="1" applyProtection="1">
      <alignment horizontal="right" vertical="top" wrapText="1"/>
    </xf>
    <xf numFmtId="0" fontId="12" fillId="5" borderId="14" xfId="0" applyFont="1" applyFill="1" applyBorder="1" applyAlignment="1" applyProtection="1">
      <alignment horizontal="right" vertical="top" wrapText="1"/>
    </xf>
    <xf numFmtId="0" fontId="10" fillId="5" borderId="19" xfId="0" applyFont="1" applyFill="1" applyBorder="1" applyAlignment="1" applyProtection="1">
      <alignment horizontal="right" vertical="top" wrapText="1"/>
    </xf>
    <xf numFmtId="0" fontId="10" fillId="5" borderId="8" xfId="0" applyFont="1" applyFill="1" applyBorder="1" applyAlignment="1" applyProtection="1">
      <alignment horizontal="right" vertical="top" wrapText="1"/>
    </xf>
    <xf numFmtId="0" fontId="10" fillId="5" borderId="9" xfId="0" applyFont="1" applyFill="1" applyBorder="1" applyAlignment="1" applyProtection="1">
      <alignment horizontal="right" vertical="top" wrapText="1"/>
    </xf>
    <xf numFmtId="0" fontId="10" fillId="5" borderId="10" xfId="0" applyFont="1" applyFill="1" applyBorder="1" applyAlignment="1" applyProtection="1">
      <alignment horizontal="right" vertical="top" wrapText="1"/>
    </xf>
    <xf numFmtId="0" fontId="10" fillId="5" borderId="14" xfId="0" applyFont="1" applyFill="1" applyBorder="1" applyAlignment="1" applyProtection="1">
      <alignment horizontal="right" vertical="top" wrapText="1"/>
    </xf>
    <xf numFmtId="0" fontId="10" fillId="5" borderId="3" xfId="0" applyFont="1" applyFill="1" applyBorder="1" applyAlignment="1" applyProtection="1">
      <alignment vertical="top" wrapText="1"/>
    </xf>
    <xf numFmtId="0" fontId="10" fillId="5" borderId="4" xfId="0" applyFont="1" applyFill="1" applyBorder="1" applyAlignment="1" applyProtection="1">
      <alignment horizontal="right" vertical="top" wrapText="1"/>
    </xf>
    <xf numFmtId="0" fontId="29" fillId="0" borderId="0" xfId="0" applyFont="1" applyProtection="1"/>
    <xf numFmtId="0" fontId="29" fillId="0" borderId="0" xfId="0" applyFont="1" applyAlignment="1" applyProtection="1">
      <alignment horizontal="left" wrapText="1"/>
    </xf>
    <xf numFmtId="0" fontId="29" fillId="6" borderId="1" xfId="0" applyFont="1" applyFill="1" applyBorder="1" applyAlignment="1" applyProtection="1">
      <alignment horizontal="center" wrapText="1"/>
    </xf>
    <xf numFmtId="0" fontId="29" fillId="6" borderId="25" xfId="0" applyFont="1" applyFill="1" applyBorder="1" applyAlignment="1" applyProtection="1">
      <alignment horizontal="center" wrapText="1"/>
    </xf>
    <xf numFmtId="0" fontId="33" fillId="6" borderId="98" xfId="0" applyFont="1" applyFill="1" applyBorder="1" applyAlignment="1" applyProtection="1">
      <alignment horizontal="center"/>
    </xf>
    <xf numFmtId="3" fontId="29" fillId="6" borderId="96" xfId="0" applyNumberFormat="1" applyFont="1" applyFill="1" applyBorder="1" applyAlignment="1" applyProtection="1">
      <alignment horizontal="center" vertical="center"/>
    </xf>
    <xf numFmtId="3" fontId="29" fillId="6" borderId="97" xfId="0" applyNumberFormat="1" applyFont="1" applyFill="1" applyBorder="1" applyAlignment="1" applyProtection="1">
      <alignment horizontal="center" vertical="center"/>
    </xf>
    <xf numFmtId="0" fontId="33" fillId="6" borderId="99" xfId="0" applyFont="1" applyFill="1" applyBorder="1" applyAlignment="1" applyProtection="1">
      <alignment horizontal="center"/>
    </xf>
    <xf numFmtId="3" fontId="29" fillId="6" borderId="92" xfId="0" applyNumberFormat="1" applyFont="1" applyFill="1" applyBorder="1" applyAlignment="1" applyProtection="1">
      <alignment horizontal="center" vertical="center"/>
    </xf>
    <xf numFmtId="3" fontId="29" fillId="6" borderId="93" xfId="0" applyNumberFormat="1" applyFont="1" applyFill="1" applyBorder="1" applyAlignment="1" applyProtection="1">
      <alignment horizontal="center" vertical="center"/>
    </xf>
    <xf numFmtId="0" fontId="33" fillId="6" borderId="100" xfId="0" applyFont="1" applyFill="1" applyBorder="1" applyAlignment="1" applyProtection="1">
      <alignment horizontal="center"/>
    </xf>
    <xf numFmtId="3" fontId="29" fillId="6" borderId="90" xfId="0" applyNumberFormat="1" applyFont="1" applyFill="1" applyBorder="1" applyAlignment="1" applyProtection="1">
      <alignment horizontal="center" vertical="center"/>
    </xf>
    <xf numFmtId="3" fontId="29" fillId="6" borderId="91" xfId="0" applyNumberFormat="1" applyFont="1" applyFill="1" applyBorder="1" applyAlignment="1" applyProtection="1">
      <alignment horizontal="center" vertical="center"/>
    </xf>
    <xf numFmtId="0" fontId="33" fillId="6" borderId="101" xfId="0" applyFont="1" applyFill="1" applyBorder="1" applyAlignment="1" applyProtection="1">
      <alignment horizontal="center"/>
    </xf>
    <xf numFmtId="3" fontId="29" fillId="6" borderId="94" xfId="0" applyNumberFormat="1" applyFont="1" applyFill="1" applyBorder="1" applyAlignment="1" applyProtection="1">
      <alignment horizontal="center" vertical="center"/>
    </xf>
    <xf numFmtId="3" fontId="29" fillId="6" borderId="95" xfId="0" applyNumberFormat="1" applyFont="1" applyFill="1" applyBorder="1" applyAlignment="1" applyProtection="1">
      <alignment horizontal="center" vertical="center"/>
    </xf>
    <xf numFmtId="0" fontId="29" fillId="6" borderId="85" xfId="0" applyFont="1" applyFill="1" applyBorder="1" applyAlignment="1" applyProtection="1">
      <alignment horizontal="center" wrapText="1"/>
    </xf>
    <xf numFmtId="0" fontId="29" fillId="6" borderId="84" xfId="0" applyFont="1" applyFill="1" applyBorder="1" applyAlignment="1" applyProtection="1">
      <alignment horizontal="center" wrapText="1"/>
    </xf>
    <xf numFmtId="0" fontId="33" fillId="6" borderId="17" xfId="0" applyFont="1" applyFill="1" applyBorder="1" applyAlignment="1" applyProtection="1">
      <alignment horizontal="center" vertical="center"/>
    </xf>
    <xf numFmtId="3" fontId="29" fillId="6" borderId="51" xfId="0" applyNumberFormat="1" applyFont="1" applyFill="1" applyBorder="1" applyAlignment="1" applyProtection="1">
      <alignment horizontal="center" vertical="center"/>
    </xf>
    <xf numFmtId="3" fontId="29" fillId="6" borderId="63" xfId="0" applyNumberFormat="1" applyFont="1" applyFill="1" applyBorder="1" applyAlignment="1" applyProtection="1">
      <alignment horizontal="center" vertical="center"/>
    </xf>
    <xf numFmtId="0" fontId="33" fillId="6" borderId="19" xfId="0" applyFont="1" applyFill="1" applyBorder="1" applyAlignment="1" applyProtection="1">
      <alignment horizontal="center" vertical="center"/>
    </xf>
    <xf numFmtId="3" fontId="29" fillId="6" borderId="35" xfId="0" applyNumberFormat="1" applyFont="1" applyFill="1" applyBorder="1" applyAlignment="1" applyProtection="1">
      <alignment horizontal="center" vertical="center"/>
    </xf>
    <xf numFmtId="3" fontId="29" fillId="6" borderId="20" xfId="0" applyNumberFormat="1" applyFont="1" applyFill="1" applyBorder="1" applyAlignment="1" applyProtection="1">
      <alignment horizontal="center" vertical="center"/>
    </xf>
    <xf numFmtId="0" fontId="33" fillId="6" borderId="8" xfId="0" applyFont="1" applyFill="1" applyBorder="1" applyAlignment="1" applyProtection="1">
      <alignment horizontal="center" vertical="center"/>
    </xf>
    <xf numFmtId="3" fontId="29" fillId="6" borderId="2" xfId="0" applyNumberFormat="1" applyFont="1" applyFill="1" applyBorder="1" applyAlignment="1" applyProtection="1">
      <alignment horizontal="center" vertical="center"/>
    </xf>
    <xf numFmtId="0" fontId="33" fillId="6" borderId="9" xfId="0" applyFont="1" applyFill="1" applyBorder="1" applyAlignment="1" applyProtection="1">
      <alignment horizontal="center" vertical="center"/>
    </xf>
    <xf numFmtId="3" fontId="29" fillId="6" borderId="1" xfId="0" applyNumberFormat="1" applyFont="1" applyFill="1" applyBorder="1" applyAlignment="1" applyProtection="1">
      <alignment horizontal="center" vertical="center"/>
    </xf>
    <xf numFmtId="3" fontId="29" fillId="0" borderId="96" xfId="0" applyNumberFormat="1" applyFont="1" applyBorder="1" applyAlignment="1" applyProtection="1">
      <alignment horizontal="center" vertical="center"/>
      <protection locked="0"/>
    </xf>
    <xf numFmtId="3" fontId="29" fillId="0" borderId="97" xfId="0" applyNumberFormat="1" applyFont="1" applyBorder="1" applyAlignment="1" applyProtection="1">
      <alignment horizontal="center" vertical="center"/>
      <protection locked="0"/>
    </xf>
    <xf numFmtId="3" fontId="29" fillId="0" borderId="92" xfId="0" applyNumberFormat="1" applyFont="1" applyBorder="1" applyAlignment="1" applyProtection="1">
      <alignment horizontal="center" vertical="center"/>
      <protection locked="0"/>
    </xf>
    <xf numFmtId="3" fontId="29" fillId="0" borderId="93" xfId="0" applyNumberFormat="1" applyFont="1" applyBorder="1" applyAlignment="1" applyProtection="1">
      <alignment horizontal="center" vertical="center"/>
      <protection locked="0"/>
    </xf>
    <xf numFmtId="3" fontId="29" fillId="0" borderId="90" xfId="0" applyNumberFormat="1" applyFont="1" applyBorder="1" applyAlignment="1" applyProtection="1">
      <alignment horizontal="center" vertical="center"/>
      <protection locked="0"/>
    </xf>
    <xf numFmtId="0" fontId="10" fillId="0" borderId="0" xfId="0" applyFont="1" applyFill="1" applyBorder="1" applyAlignment="1" applyProtection="1">
      <alignment horizontal="left"/>
    </xf>
    <xf numFmtId="0" fontId="10" fillId="5" borderId="79" xfId="0" applyFont="1" applyFill="1" applyBorder="1" applyAlignment="1" applyProtection="1">
      <alignment horizontal="center"/>
    </xf>
    <xf numFmtId="0" fontId="10" fillId="5" borderId="80" xfId="0" applyFont="1" applyFill="1" applyBorder="1" applyAlignment="1" applyProtection="1">
      <alignment horizontal="center"/>
    </xf>
    <xf numFmtId="0" fontId="10" fillId="5" borderId="10" xfId="0" applyFont="1" applyFill="1" applyBorder="1" applyAlignment="1" applyProtection="1">
      <alignment horizontal="left" wrapText="1"/>
    </xf>
    <xf numFmtId="0" fontId="10" fillId="5" borderId="10" xfId="0" applyFont="1" applyFill="1" applyBorder="1" applyAlignment="1" applyProtection="1">
      <alignment horizontal="left" vertical="center"/>
    </xf>
    <xf numFmtId="0" fontId="10" fillId="5" borderId="9" xfId="0" applyFont="1" applyFill="1" applyBorder="1" applyAlignment="1" applyProtection="1">
      <alignment horizontal="center" vertical="center"/>
    </xf>
    <xf numFmtId="0" fontId="10" fillId="6" borderId="9" xfId="0" applyFont="1" applyFill="1" applyBorder="1" applyAlignment="1" applyProtection="1">
      <alignment horizontal="left" vertical="center" wrapText="1"/>
    </xf>
    <xf numFmtId="0" fontId="0" fillId="0" borderId="0" xfId="0" applyBorder="1" applyProtection="1"/>
    <xf numFmtId="0" fontId="10" fillId="5" borderId="19" xfId="0" applyFont="1" applyFill="1" applyBorder="1" applyAlignment="1" applyProtection="1">
      <alignment horizontal="center" vertical="center"/>
    </xf>
    <xf numFmtId="0" fontId="10" fillId="5" borderId="19" xfId="0" applyFont="1" applyFill="1" applyBorder="1" applyAlignment="1" applyProtection="1">
      <alignment horizontal="left" vertical="center"/>
    </xf>
    <xf numFmtId="0" fontId="10" fillId="5" borderId="13"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8" xfId="0" applyFont="1" applyFill="1" applyBorder="1" applyAlignment="1" applyProtection="1">
      <alignment horizontal="left" vertical="center" wrapText="1"/>
    </xf>
    <xf numFmtId="0" fontId="10" fillId="5" borderId="8" xfId="0" applyFont="1" applyFill="1" applyBorder="1" applyAlignment="1" applyProtection="1">
      <alignment horizontal="left" vertical="center"/>
    </xf>
    <xf numFmtId="0" fontId="10" fillId="5" borderId="9" xfId="0" applyFont="1" applyFill="1" applyBorder="1" applyAlignment="1" applyProtection="1">
      <alignment horizontal="left" vertical="center" wrapText="1"/>
    </xf>
    <xf numFmtId="0" fontId="10" fillId="5" borderId="50" xfId="0" applyFont="1" applyFill="1" applyBorder="1" applyAlignment="1" applyProtection="1">
      <alignment vertical="top" wrapText="1"/>
    </xf>
    <xf numFmtId="0" fontId="10" fillId="5" borderId="17" xfId="0" applyFont="1" applyFill="1" applyBorder="1" applyAlignment="1" applyProtection="1">
      <alignment horizontal="center" vertical="top" wrapText="1"/>
    </xf>
    <xf numFmtId="0" fontId="6" fillId="0" borderId="0" xfId="0" applyFont="1" applyProtection="1"/>
    <xf numFmtId="0" fontId="5" fillId="4" borderId="17" xfId="0" applyFont="1" applyFill="1" applyBorder="1" applyAlignment="1" applyProtection="1"/>
    <xf numFmtId="0" fontId="10" fillId="4" borderId="11" xfId="0" applyFont="1" applyFill="1" applyBorder="1" applyAlignment="1" applyProtection="1">
      <alignment vertical="top" wrapText="1"/>
    </xf>
    <xf numFmtId="0" fontId="10" fillId="4" borderId="13" xfId="0" applyFont="1" applyFill="1" applyBorder="1" applyAlignment="1" applyProtection="1">
      <alignment vertical="top" wrapText="1"/>
    </xf>
    <xf numFmtId="0" fontId="10" fillId="4" borderId="12" xfId="0" applyFont="1" applyFill="1" applyBorder="1" applyAlignment="1" applyProtection="1">
      <alignment vertical="top" wrapText="1"/>
    </xf>
    <xf numFmtId="0" fontId="10" fillId="3" borderId="0" xfId="0" quotePrefix="1" applyFont="1" applyFill="1" applyAlignment="1" applyProtection="1">
      <alignment horizontal="left"/>
    </xf>
    <xf numFmtId="0" fontId="10" fillId="4" borderId="27" xfId="0" applyFont="1" applyFill="1" applyBorder="1" applyAlignment="1" applyProtection="1">
      <alignment vertical="top" wrapText="1"/>
    </xf>
    <xf numFmtId="0" fontId="10" fillId="4" borderId="12" xfId="0" quotePrefix="1" applyFont="1" applyFill="1" applyBorder="1" applyAlignment="1" applyProtection="1">
      <alignment horizontal="left" vertical="top" wrapText="1"/>
    </xf>
    <xf numFmtId="0" fontId="10" fillId="4" borderId="17" xfId="0" quotePrefix="1" applyFont="1" applyFill="1" applyBorder="1" applyAlignment="1" applyProtection="1">
      <alignment horizontal="left" vertical="top" wrapText="1"/>
    </xf>
    <xf numFmtId="0" fontId="37" fillId="6" borderId="13" xfId="0" applyFont="1" applyFill="1" applyBorder="1" applyAlignment="1" applyProtection="1">
      <alignment horizontal="left"/>
    </xf>
    <xf numFmtId="0" fontId="37" fillId="6" borderId="8" xfId="0" applyFont="1" applyFill="1" applyBorder="1" applyAlignment="1" applyProtection="1">
      <alignment horizontal="center" vertical="center"/>
    </xf>
    <xf numFmtId="0" fontId="37" fillId="6" borderId="7" xfId="0" applyFont="1" applyFill="1" applyBorder="1" applyAlignment="1" applyProtection="1">
      <alignment horizontal="left"/>
    </xf>
    <xf numFmtId="0" fontId="37" fillId="6" borderId="46" xfId="0" applyFont="1" applyFill="1" applyBorder="1" applyAlignment="1" applyProtection="1">
      <alignment horizontal="left"/>
    </xf>
    <xf numFmtId="0" fontId="37" fillId="6" borderId="16" xfId="0" applyFont="1" applyFill="1" applyBorder="1" applyAlignment="1" applyProtection="1">
      <alignment horizontal="left"/>
    </xf>
    <xf numFmtId="0" fontId="37" fillId="6" borderId="11" xfId="0" applyFont="1" applyFill="1" applyBorder="1" applyAlignment="1" applyProtection="1">
      <alignment horizontal="center" vertical="center"/>
    </xf>
    <xf numFmtId="0" fontId="0" fillId="0" borderId="0" xfId="0" applyProtection="1"/>
    <xf numFmtId="0" fontId="31" fillId="6" borderId="115" xfId="0" applyFont="1" applyFill="1" applyBorder="1" applyAlignment="1" applyProtection="1">
      <alignment horizontal="center" wrapText="1"/>
    </xf>
    <xf numFmtId="0" fontId="31" fillId="6" borderId="107" xfId="0" applyFont="1" applyFill="1" applyBorder="1" applyAlignment="1" applyProtection="1">
      <alignment horizontal="center" wrapText="1"/>
    </xf>
    <xf numFmtId="164" fontId="31" fillId="6" borderId="118" xfId="0" applyNumberFormat="1" applyFont="1" applyFill="1" applyBorder="1" applyAlignment="1" applyProtection="1">
      <alignment horizontal="center" wrapText="1"/>
    </xf>
    <xf numFmtId="164" fontId="31" fillId="6" borderId="23" xfId="0" applyNumberFormat="1" applyFont="1" applyFill="1" applyBorder="1" applyAlignment="1" applyProtection="1">
      <alignment horizontal="center" wrapText="1"/>
    </xf>
    <xf numFmtId="0" fontId="31" fillId="6" borderId="110" xfId="0" applyFont="1" applyFill="1" applyBorder="1" applyAlignment="1" applyProtection="1">
      <alignment horizontal="center" wrapText="1"/>
    </xf>
    <xf numFmtId="0" fontId="31" fillId="6" borderId="108" xfId="0" applyFont="1" applyFill="1" applyBorder="1" applyAlignment="1" applyProtection="1">
      <alignment horizontal="center" vertical="center"/>
    </xf>
    <xf numFmtId="0" fontId="31" fillId="6" borderId="113" xfId="0" applyFont="1" applyFill="1" applyBorder="1" applyAlignment="1" applyProtection="1">
      <alignment horizontal="left" vertical="center" wrapText="1"/>
    </xf>
    <xf numFmtId="37" fontId="32" fillId="6" borderId="116" xfId="0" applyNumberFormat="1" applyFont="1" applyFill="1" applyBorder="1" applyAlignment="1" applyProtection="1">
      <alignment horizontal="center" vertical="center"/>
    </xf>
    <xf numFmtId="170" fontId="32" fillId="6" borderId="105" xfId="0" applyNumberFormat="1" applyFont="1" applyFill="1" applyBorder="1" applyAlignment="1" applyProtection="1">
      <alignment horizontal="center" vertical="center"/>
    </xf>
    <xf numFmtId="39" fontId="32" fillId="6" borderId="105" xfId="0" applyNumberFormat="1" applyFont="1" applyFill="1" applyBorder="1" applyAlignment="1" applyProtection="1">
      <alignment horizontal="center" vertical="center"/>
    </xf>
    <xf numFmtId="8" fontId="32" fillId="6" borderId="119" xfId="0" applyNumberFormat="1" applyFont="1" applyFill="1" applyBorder="1" applyAlignment="1" applyProtection="1">
      <alignment horizontal="center" vertical="center"/>
    </xf>
    <xf numFmtId="7" fontId="31" fillId="6" borderId="113" xfId="0" applyNumberFormat="1" applyFont="1" applyFill="1" applyBorder="1" applyAlignment="1" applyProtection="1">
      <alignment horizontal="center" vertical="center"/>
    </xf>
    <xf numFmtId="37" fontId="32" fillId="6" borderId="111" xfId="0" applyNumberFormat="1" applyFont="1" applyFill="1" applyBorder="1" applyAlignment="1" applyProtection="1">
      <alignment horizontal="center" vertical="center"/>
    </xf>
    <xf numFmtId="171" fontId="32" fillId="6" borderId="105" xfId="0" applyNumberFormat="1" applyFont="1" applyFill="1" applyBorder="1" applyAlignment="1" applyProtection="1">
      <alignment horizontal="center" vertical="center"/>
    </xf>
    <xf numFmtId="7" fontId="32" fillId="6" borderId="119" xfId="0" applyNumberFormat="1" applyFont="1" applyFill="1" applyBorder="1" applyAlignment="1" applyProtection="1">
      <alignment horizontal="center" vertical="center"/>
    </xf>
    <xf numFmtId="0" fontId="31" fillId="6" borderId="109" xfId="0" applyFont="1" applyFill="1" applyBorder="1" applyAlignment="1" applyProtection="1">
      <alignment horizontal="center" vertical="center"/>
    </xf>
    <xf numFmtId="0" fontId="31" fillId="6" borderId="114" xfId="0" applyFont="1" applyFill="1" applyBorder="1" applyAlignment="1" applyProtection="1">
      <alignment horizontal="left" vertical="center" wrapText="1"/>
    </xf>
    <xf numFmtId="37" fontId="32" fillId="6" borderId="117" xfId="0" applyNumberFormat="1" applyFont="1" applyFill="1" applyBorder="1" applyAlignment="1" applyProtection="1">
      <alignment horizontal="center" vertical="center"/>
    </xf>
    <xf numFmtId="170" fontId="32" fillId="6" borderId="83" xfId="0" applyNumberFormat="1" applyFont="1" applyFill="1" applyBorder="1" applyAlignment="1" applyProtection="1">
      <alignment horizontal="center" vertical="center"/>
    </xf>
    <xf numFmtId="39" fontId="32" fillId="6" borderId="83" xfId="0" applyNumberFormat="1" applyFont="1" applyFill="1" applyBorder="1" applyAlignment="1" applyProtection="1">
      <alignment horizontal="center" vertical="center"/>
    </xf>
    <xf numFmtId="8" fontId="32" fillId="6" borderId="120" xfId="0" applyNumberFormat="1" applyFont="1" applyFill="1" applyBorder="1" applyAlignment="1" applyProtection="1">
      <alignment horizontal="center" vertical="center"/>
    </xf>
    <xf numFmtId="7" fontId="31" fillId="6" borderId="114" xfId="0" applyNumberFormat="1" applyFont="1" applyFill="1" applyBorder="1" applyAlignment="1" applyProtection="1">
      <alignment horizontal="center" vertical="center"/>
    </xf>
    <xf numFmtId="37" fontId="32" fillId="6" borderId="112" xfId="0" applyNumberFormat="1" applyFont="1" applyFill="1" applyBorder="1" applyAlignment="1" applyProtection="1">
      <alignment horizontal="center" vertical="center"/>
    </xf>
    <xf numFmtId="171" fontId="32" fillId="6" borderId="83" xfId="0" applyNumberFormat="1" applyFont="1" applyFill="1" applyBorder="1" applyAlignment="1" applyProtection="1">
      <alignment horizontal="center" vertical="center"/>
    </xf>
    <xf numFmtId="7" fontId="32" fillId="6" borderId="120" xfId="0" applyNumberFormat="1" applyFont="1" applyFill="1" applyBorder="1" applyAlignment="1" applyProtection="1">
      <alignment horizontal="center" vertical="center"/>
    </xf>
    <xf numFmtId="7" fontId="31" fillId="6" borderId="114" xfId="0" applyNumberFormat="1" applyFont="1" applyFill="1" applyBorder="1" applyAlignment="1" applyProtection="1">
      <alignment horizontal="center" vertical="center" wrapText="1"/>
    </xf>
    <xf numFmtId="0" fontId="31" fillId="6" borderId="122" xfId="0" applyFont="1" applyFill="1" applyBorder="1" applyAlignment="1" applyProtection="1">
      <alignment horizontal="center" vertical="center"/>
    </xf>
    <xf numFmtId="0" fontId="31" fillId="6" borderId="123" xfId="0" applyFont="1" applyFill="1" applyBorder="1" applyAlignment="1" applyProtection="1">
      <alignment horizontal="left" vertical="center" wrapText="1"/>
    </xf>
    <xf numFmtId="170" fontId="32" fillId="6" borderId="106" xfId="0" applyNumberFormat="1" applyFont="1" applyFill="1" applyBorder="1" applyAlignment="1" applyProtection="1">
      <alignment horizontal="center" vertical="center"/>
    </xf>
    <xf numFmtId="39" fontId="32" fillId="6" borderId="106" xfId="0" applyNumberFormat="1" applyFont="1" applyFill="1" applyBorder="1" applyAlignment="1" applyProtection="1">
      <alignment horizontal="center" vertical="center"/>
    </xf>
    <xf numFmtId="8" fontId="32" fillId="6" borderId="121" xfId="0" applyNumberFormat="1" applyFont="1" applyFill="1" applyBorder="1" applyAlignment="1" applyProtection="1">
      <alignment horizontal="center" vertical="center"/>
    </xf>
    <xf numFmtId="7" fontId="31" fillId="6" borderId="123" xfId="0" applyNumberFormat="1" applyFont="1" applyFill="1" applyBorder="1" applyAlignment="1" applyProtection="1">
      <alignment horizontal="center" vertical="center"/>
    </xf>
    <xf numFmtId="171" fontId="32" fillId="6" borderId="106" xfId="0" applyNumberFormat="1" applyFont="1" applyFill="1" applyBorder="1" applyAlignment="1" applyProtection="1">
      <alignment horizontal="center" vertical="center"/>
    </xf>
    <xf numFmtId="7" fontId="32" fillId="6" borderId="121" xfId="0" applyNumberFormat="1" applyFont="1" applyFill="1" applyBorder="1" applyAlignment="1" applyProtection="1">
      <alignment horizontal="center" vertical="center"/>
    </xf>
    <xf numFmtId="7" fontId="31" fillId="6" borderId="123" xfId="0" applyNumberFormat="1" applyFont="1" applyFill="1" applyBorder="1" applyAlignment="1" applyProtection="1">
      <alignment horizontal="center" vertical="center" wrapText="1"/>
    </xf>
    <xf numFmtId="0" fontId="35" fillId="6" borderId="1" xfId="0" applyFont="1" applyFill="1" applyBorder="1" applyAlignment="1" applyProtection="1">
      <alignment horizontal="center" vertical="center"/>
    </xf>
    <xf numFmtId="0" fontId="35" fillId="6" borderId="25" xfId="0" applyFont="1" applyFill="1" applyBorder="1" applyAlignment="1" applyProtection="1">
      <alignment horizontal="left" vertical="center" wrapText="1"/>
    </xf>
    <xf numFmtId="37" fontId="31" fillId="6" borderId="124" xfId="0" applyNumberFormat="1" applyFont="1" applyFill="1" applyBorder="1" applyAlignment="1" applyProtection="1">
      <alignment horizontal="center" vertical="center"/>
    </xf>
    <xf numFmtId="38" fontId="31" fillId="6" borderId="125" xfId="0" quotePrefix="1" applyNumberFormat="1" applyFont="1" applyFill="1" applyBorder="1" applyAlignment="1" applyProtection="1">
      <alignment horizontal="center" vertical="center"/>
    </xf>
    <xf numFmtId="39" fontId="31" fillId="6" borderId="125" xfId="0" applyNumberFormat="1" applyFont="1" applyFill="1" applyBorder="1" applyAlignment="1" applyProtection="1">
      <alignment horizontal="center" vertical="center"/>
    </xf>
    <xf numFmtId="38" fontId="31" fillId="6" borderId="127" xfId="0" quotePrefix="1" applyNumberFormat="1" applyFont="1" applyFill="1" applyBorder="1" applyAlignment="1" applyProtection="1">
      <alignment horizontal="center" vertical="center"/>
    </xf>
    <xf numFmtId="7" fontId="35" fillId="6" borderId="25" xfId="0" applyNumberFormat="1" applyFont="1" applyFill="1" applyBorder="1" applyAlignment="1" applyProtection="1">
      <alignment horizontal="center" vertical="center"/>
    </xf>
    <xf numFmtId="37" fontId="31" fillId="6" borderId="126" xfId="0" applyNumberFormat="1" applyFont="1" applyFill="1" applyBorder="1" applyAlignment="1" applyProtection="1">
      <alignment horizontal="center" vertical="center"/>
    </xf>
    <xf numFmtId="37" fontId="31" fillId="6" borderId="125" xfId="0" quotePrefix="1" applyNumberFormat="1" applyFont="1" applyFill="1" applyBorder="1" applyAlignment="1" applyProtection="1">
      <alignment horizontal="center" vertical="center"/>
    </xf>
    <xf numFmtId="37" fontId="31" fillId="6" borderId="127" xfId="0" quotePrefix="1" applyNumberFormat="1" applyFont="1" applyFill="1" applyBorder="1" applyAlignment="1" applyProtection="1">
      <alignment horizontal="center" vertical="center"/>
    </xf>
    <xf numFmtId="172" fontId="32" fillId="6" borderId="105" xfId="0" applyNumberFormat="1" applyFont="1" applyFill="1" applyBorder="1" applyAlignment="1" applyProtection="1">
      <alignment horizontal="center" vertical="center"/>
    </xf>
    <xf numFmtId="172" fontId="32" fillId="6" borderId="83" xfId="0" applyNumberFormat="1" applyFont="1" applyFill="1" applyBorder="1" applyAlignment="1" applyProtection="1">
      <alignment horizontal="center" vertical="center"/>
    </xf>
    <xf numFmtId="172" fontId="32" fillId="6" borderId="106" xfId="0"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175" fontId="9" fillId="0" borderId="16" xfId="0" applyNumberFormat="1" applyFont="1" applyBorder="1" applyAlignment="1" applyProtection="1">
      <alignment horizontal="center" vertical="top" wrapText="1"/>
      <protection locked="0"/>
    </xf>
    <xf numFmtId="175" fontId="9" fillId="0" borderId="14" xfId="0" applyNumberFormat="1" applyFont="1" applyBorder="1" applyAlignment="1" applyProtection="1">
      <alignment horizontal="center" vertical="top" wrapText="1"/>
      <protection locked="0"/>
    </xf>
    <xf numFmtId="0" fontId="10" fillId="5" borderId="10" xfId="0" applyFont="1" applyFill="1" applyBorder="1" applyAlignment="1" applyProtection="1">
      <alignment horizontal="center" vertical="center"/>
    </xf>
    <xf numFmtId="0" fontId="29" fillId="0" borderId="0" xfId="0" applyFont="1" applyFill="1"/>
    <xf numFmtId="3" fontId="29" fillId="37" borderId="34" xfId="0" quotePrefix="1" applyNumberFormat="1" applyFont="1" applyFill="1" applyBorder="1" applyAlignment="1" applyProtection="1">
      <alignment horizontal="center" vertical="center"/>
    </xf>
    <xf numFmtId="3" fontId="29" fillId="37" borderId="89" xfId="0" quotePrefix="1" applyNumberFormat="1" applyFont="1" applyFill="1" applyBorder="1" applyAlignment="1" applyProtection="1">
      <alignment horizontal="center" vertical="center"/>
    </xf>
    <xf numFmtId="3" fontId="9" fillId="37" borderId="2" xfId="0" quotePrefix="1" applyNumberFormat="1" applyFont="1" applyFill="1" applyBorder="1" applyAlignment="1" applyProtection="1">
      <alignment horizontal="center" vertical="center"/>
    </xf>
    <xf numFmtId="3" fontId="9" fillId="37" borderId="1" xfId="0" quotePrefix="1" applyNumberFormat="1" applyFont="1" applyFill="1" applyBorder="1" applyAlignment="1" applyProtection="1">
      <alignment horizontal="center" vertical="center"/>
    </xf>
    <xf numFmtId="0" fontId="10" fillId="5" borderId="129" xfId="0" applyFont="1" applyFill="1" applyBorder="1" applyAlignment="1" applyProtection="1">
      <alignment horizontal="center" vertical="center"/>
    </xf>
    <xf numFmtId="0" fontId="10" fillId="5" borderId="130" xfId="0" applyFont="1" applyFill="1" applyBorder="1" applyAlignment="1" applyProtection="1">
      <alignment horizontal="center" vertical="center"/>
    </xf>
    <xf numFmtId="37" fontId="32" fillId="37" borderId="131" xfId="0" quotePrefix="1" applyNumberFormat="1" applyFont="1" applyFill="1" applyBorder="1" applyAlignment="1" applyProtection="1">
      <alignment horizontal="center" vertical="center"/>
    </xf>
    <xf numFmtId="7" fontId="31" fillId="37" borderId="132" xfId="0" applyNumberFormat="1" applyFont="1" applyFill="1" applyBorder="1" applyAlignment="1" applyProtection="1">
      <alignment horizontal="center" vertical="center"/>
    </xf>
    <xf numFmtId="37" fontId="32" fillId="37" borderId="132" xfId="0" quotePrefix="1" applyNumberFormat="1" applyFont="1" applyFill="1" applyBorder="1" applyAlignment="1" applyProtection="1">
      <alignment horizontal="center" vertical="center"/>
    </xf>
    <xf numFmtId="7" fontId="31" fillId="37" borderId="133" xfId="0" applyNumberFormat="1" applyFont="1" applyFill="1" applyBorder="1" applyAlignment="1" applyProtection="1">
      <alignment horizontal="center" vertical="center"/>
    </xf>
    <xf numFmtId="37" fontId="32" fillId="37" borderId="27" xfId="0" applyNumberFormat="1" applyFont="1" applyFill="1" applyBorder="1" applyAlignment="1" applyProtection="1">
      <alignment horizontal="center" vertical="center"/>
    </xf>
    <xf numFmtId="7" fontId="31" fillId="37" borderId="0" xfId="0" applyNumberFormat="1" applyFont="1" applyFill="1" applyBorder="1" applyAlignment="1" applyProtection="1">
      <alignment horizontal="center" vertical="center"/>
    </xf>
    <xf numFmtId="37" fontId="32" fillId="37" borderId="0" xfId="0" applyNumberFormat="1" applyFont="1" applyFill="1" applyBorder="1" applyAlignment="1" applyProtection="1">
      <alignment horizontal="center" vertical="center"/>
    </xf>
    <xf numFmtId="7" fontId="31" fillId="37" borderId="18" xfId="0" applyNumberFormat="1" applyFont="1" applyFill="1" applyBorder="1" applyAlignment="1" applyProtection="1">
      <alignment horizontal="center" vertical="center"/>
    </xf>
    <xf numFmtId="37" fontId="32" fillId="37" borderId="134" xfId="0" applyNumberFormat="1" applyFont="1" applyFill="1" applyBorder="1" applyAlignment="1" applyProtection="1">
      <alignment horizontal="center" vertical="center"/>
    </xf>
    <xf numFmtId="7" fontId="31" fillId="37" borderId="55" xfId="0" applyNumberFormat="1" applyFont="1" applyFill="1" applyBorder="1" applyAlignment="1" applyProtection="1">
      <alignment horizontal="center" vertical="center"/>
    </xf>
    <xf numFmtId="37" fontId="32" fillId="37" borderId="55" xfId="0" applyNumberFormat="1" applyFont="1" applyFill="1" applyBorder="1" applyAlignment="1" applyProtection="1">
      <alignment horizontal="center" vertical="center"/>
    </xf>
    <xf numFmtId="7" fontId="31" fillId="37" borderId="135" xfId="0" applyNumberFormat="1" applyFont="1" applyFill="1" applyBorder="1" applyAlignment="1" applyProtection="1">
      <alignment horizontal="center" vertical="center"/>
    </xf>
    <xf numFmtId="37" fontId="32" fillId="37" borderId="136" xfId="0" applyNumberFormat="1" applyFont="1" applyFill="1" applyBorder="1" applyAlignment="1" applyProtection="1">
      <alignment horizontal="center" vertical="center"/>
    </xf>
    <xf numFmtId="172" fontId="32" fillId="37" borderId="137" xfId="0" applyNumberFormat="1" applyFont="1" applyFill="1" applyBorder="1" applyAlignment="1" applyProtection="1">
      <alignment horizontal="center" vertical="center"/>
    </xf>
    <xf numFmtId="39" fontId="32" fillId="37" borderId="137" xfId="0" applyNumberFormat="1" applyFont="1" applyFill="1" applyBorder="1" applyAlignment="1" applyProtection="1">
      <alignment horizontal="center" vertical="center"/>
    </xf>
    <xf numFmtId="8" fontId="32" fillId="37" borderId="137" xfId="0" applyNumberFormat="1" applyFont="1" applyFill="1" applyBorder="1" applyAlignment="1" applyProtection="1">
      <alignment horizontal="center" vertical="center"/>
    </xf>
    <xf numFmtId="7" fontId="31" fillId="37" borderId="137" xfId="0" applyNumberFormat="1" applyFont="1" applyFill="1" applyBorder="1" applyAlignment="1" applyProtection="1">
      <alignment horizontal="center" vertical="center"/>
    </xf>
    <xf numFmtId="37" fontId="32" fillId="37" borderId="137" xfId="0" applyNumberFormat="1" applyFont="1" applyFill="1" applyBorder="1" applyAlignment="1" applyProtection="1">
      <alignment horizontal="center" vertical="center"/>
    </xf>
    <xf numFmtId="7" fontId="31" fillId="37" borderId="138" xfId="0" applyNumberFormat="1" applyFont="1" applyFill="1" applyBorder="1" applyAlignment="1" applyProtection="1">
      <alignment horizontal="center" vertical="center"/>
    </xf>
    <xf numFmtId="0" fontId="10" fillId="0" borderId="48" xfId="0" applyFont="1" applyFill="1" applyBorder="1" applyAlignment="1" applyProtection="1">
      <alignment horizontal="center"/>
    </xf>
    <xf numFmtId="0" fontId="10" fillId="0" borderId="29" xfId="0" applyFont="1" applyFill="1" applyBorder="1" applyAlignment="1" applyProtection="1">
      <alignment horizontal="center"/>
    </xf>
    <xf numFmtId="3" fontId="29" fillId="6" borderId="4" xfId="0" applyNumberFormat="1" applyFont="1" applyFill="1" applyBorder="1" applyAlignment="1" applyProtection="1">
      <alignment horizontal="center" vertical="center"/>
    </xf>
    <xf numFmtId="0" fontId="10" fillId="5" borderId="17" xfId="0" applyFont="1" applyFill="1" applyBorder="1" applyAlignment="1" applyProtection="1">
      <alignment horizontal="center" wrapText="1"/>
    </xf>
    <xf numFmtId="0" fontId="10" fillId="5" borderId="14" xfId="0" applyFont="1" applyFill="1" applyBorder="1" applyAlignment="1" applyProtection="1">
      <alignment horizontal="center" wrapText="1"/>
    </xf>
    <xf numFmtId="0" fontId="6" fillId="0" borderId="0" xfId="0" applyFont="1" applyFill="1" applyBorder="1" applyAlignment="1" applyProtection="1">
      <alignment horizontal="left"/>
    </xf>
    <xf numFmtId="164" fontId="6" fillId="0" borderId="0" xfId="0" applyNumberFormat="1" applyFont="1" applyAlignment="1" applyProtection="1">
      <alignment horizontal="center"/>
    </xf>
    <xf numFmtId="0" fontId="32" fillId="0" borderId="0" xfId="0" applyFont="1" applyProtection="1"/>
    <xf numFmtId="0" fontId="32" fillId="0" borderId="0" xfId="0" applyFont="1" applyFill="1" applyBorder="1" applyAlignment="1" applyProtection="1">
      <alignment horizontal="left"/>
    </xf>
    <xf numFmtId="164" fontId="32" fillId="0" borderId="0" xfId="0" applyNumberFormat="1" applyFont="1" applyAlignment="1" applyProtection="1">
      <alignment horizontal="center"/>
    </xf>
    <xf numFmtId="0" fontId="5" fillId="0" borderId="0" xfId="0" applyFont="1" applyFill="1" applyBorder="1" applyAlignment="1" applyProtection="1"/>
    <xf numFmtId="0" fontId="6" fillId="0" borderId="0" xfId="0" applyFont="1" applyFill="1" applyBorder="1" applyAlignment="1" applyProtection="1">
      <alignment horizontal="left" vertical="center"/>
    </xf>
    <xf numFmtId="3" fontId="33" fillId="37" borderId="94" xfId="0" quotePrefix="1" applyNumberFormat="1" applyFont="1" applyFill="1" applyBorder="1" applyAlignment="1" applyProtection="1">
      <alignment horizontal="center" vertical="center"/>
    </xf>
    <xf numFmtId="3" fontId="33" fillId="37" borderId="95" xfId="0" quotePrefix="1" applyNumberFormat="1" applyFont="1" applyFill="1" applyBorder="1" applyAlignment="1" applyProtection="1">
      <alignment horizontal="center" vertical="center"/>
    </xf>
    <xf numFmtId="0" fontId="33" fillId="37" borderId="11" xfId="0" quotePrefix="1" applyFont="1" applyFill="1" applyBorder="1" applyAlignment="1" applyProtection="1">
      <alignment horizontal="center" vertical="center"/>
    </xf>
    <xf numFmtId="3" fontId="33" fillId="37" borderId="94" xfId="0" applyNumberFormat="1" applyFont="1" applyFill="1" applyBorder="1" applyAlignment="1" applyProtection="1">
      <alignment horizontal="center" vertical="center"/>
    </xf>
    <xf numFmtId="3" fontId="33" fillId="37" borderId="95" xfId="0" applyNumberFormat="1" applyFont="1" applyFill="1" applyBorder="1" applyAlignment="1" applyProtection="1">
      <alignment horizontal="center" vertical="center"/>
    </xf>
    <xf numFmtId="0" fontId="29" fillId="38" borderId="0" xfId="0" applyFont="1" applyFill="1"/>
    <xf numFmtId="3" fontId="33" fillId="6" borderId="94" xfId="0" applyNumberFormat="1" applyFont="1" applyFill="1" applyBorder="1" applyAlignment="1" applyProtection="1">
      <alignment horizontal="center" vertical="center"/>
    </xf>
    <xf numFmtId="3" fontId="33" fillId="6" borderId="95" xfId="0" applyNumberFormat="1" applyFont="1" applyFill="1" applyBorder="1" applyAlignment="1" applyProtection="1">
      <alignment horizontal="center" vertical="center"/>
    </xf>
    <xf numFmtId="0" fontId="33" fillId="5" borderId="101" xfId="0" applyFont="1" applyFill="1" applyBorder="1" applyAlignment="1" applyProtection="1">
      <alignment horizontal="center" vertical="center"/>
    </xf>
    <xf numFmtId="0" fontId="10" fillId="5" borderId="19" xfId="0" applyFont="1" applyFill="1" applyBorder="1" applyAlignment="1" applyProtection="1">
      <alignment horizontal="left" vertical="center" wrapText="1"/>
    </xf>
    <xf numFmtId="0" fontId="10" fillId="39" borderId="11" xfId="0" applyFont="1" applyFill="1" applyBorder="1" applyAlignment="1" applyProtection="1">
      <alignment vertical="top" wrapText="1"/>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168" fontId="38" fillId="0" borderId="0" xfId="0" applyNumberFormat="1" applyFont="1" applyFill="1" applyBorder="1" applyAlignment="1" applyProtection="1">
      <alignment horizontal="center" vertical="center"/>
    </xf>
    <xf numFmtId="0" fontId="37" fillId="6" borderId="48" xfId="0" applyFont="1" applyFill="1" applyBorder="1" applyAlignment="1" applyProtection="1">
      <alignment horizontal="left" vertical="center" wrapText="1"/>
    </xf>
    <xf numFmtId="0" fontId="37" fillId="6" borderId="45" xfId="0" applyFont="1" applyFill="1" applyBorder="1" applyAlignment="1" applyProtection="1">
      <alignment horizontal="left" vertical="center" wrapText="1"/>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left" vertical="center" wrapText="1"/>
    </xf>
    <xf numFmtId="37" fontId="31" fillId="0" borderId="0" xfId="0" applyNumberFormat="1" applyFont="1" applyFill="1" applyBorder="1" applyAlignment="1" applyProtection="1">
      <alignment horizontal="center" vertical="center"/>
    </xf>
    <xf numFmtId="38" fontId="31" fillId="0" borderId="0" xfId="0" quotePrefix="1" applyNumberFormat="1" applyFont="1" applyFill="1" applyBorder="1" applyAlignment="1" applyProtection="1">
      <alignment horizontal="center" vertical="center"/>
    </xf>
    <xf numFmtId="39" fontId="31" fillId="0" borderId="0" xfId="0" applyNumberFormat="1" applyFont="1" applyFill="1" applyBorder="1" applyAlignment="1" applyProtection="1">
      <alignment horizontal="center" vertical="center"/>
    </xf>
    <xf numFmtId="7" fontId="35" fillId="0" borderId="0" xfId="0" applyNumberFormat="1" applyFont="1" applyFill="1" applyBorder="1" applyAlignment="1" applyProtection="1">
      <alignment horizontal="center" vertical="center"/>
    </xf>
    <xf numFmtId="37" fontId="31" fillId="0" borderId="0" xfId="0" quotePrefix="1"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5" fillId="0" borderId="48" xfId="0" applyFont="1" applyFill="1" applyBorder="1" applyAlignment="1" applyProtection="1">
      <alignment horizontal="center"/>
    </xf>
    <xf numFmtId="0" fontId="33" fillId="0" borderId="29" xfId="0" applyFont="1" applyBorder="1" applyAlignment="1" applyProtection="1">
      <alignment horizontal="left" vertical="center" wrapText="1"/>
    </xf>
    <xf numFmtId="0" fontId="10" fillId="5" borderId="11" xfId="0" applyFont="1" applyFill="1" applyBorder="1" applyAlignment="1" applyProtection="1">
      <alignment horizontal="center" vertical="center"/>
    </xf>
    <xf numFmtId="0" fontId="10" fillId="5" borderId="11" xfId="0" applyFont="1" applyFill="1" applyBorder="1" applyAlignment="1" applyProtection="1">
      <alignment horizontal="left" vertical="center" wrapText="1"/>
    </xf>
    <xf numFmtId="0" fontId="33" fillId="5" borderId="19" xfId="0" applyFont="1" applyFill="1" applyBorder="1" applyAlignment="1" applyProtection="1">
      <alignment vertical="center" wrapText="1"/>
    </xf>
    <xf numFmtId="0" fontId="37" fillId="6" borderId="9" xfId="0" applyFont="1" applyFill="1" applyBorder="1" applyAlignment="1" applyProtection="1">
      <alignment horizontal="center" vertical="center"/>
    </xf>
    <xf numFmtId="0" fontId="37" fillId="0" borderId="48" xfId="0" applyFont="1" applyFill="1" applyBorder="1" applyAlignment="1" applyProtection="1">
      <alignment horizontal="center" vertical="center"/>
    </xf>
    <xf numFmtId="0" fontId="37" fillId="0" borderId="48" xfId="0" applyFont="1" applyFill="1" applyBorder="1" applyAlignment="1" applyProtection="1">
      <alignment horizontal="left" vertical="center" wrapText="1"/>
    </xf>
    <xf numFmtId="0" fontId="33" fillId="37" borderId="0" xfId="0" quotePrefix="1" applyFont="1" applyFill="1" applyBorder="1" applyAlignment="1" applyProtection="1">
      <alignment horizontal="center" vertical="center"/>
    </xf>
    <xf numFmtId="3" fontId="33" fillId="37" borderId="0" xfId="0" applyNumberFormat="1" applyFont="1" applyFill="1" applyBorder="1" applyAlignment="1" applyProtection="1">
      <alignment horizontal="center" vertical="center"/>
    </xf>
    <xf numFmtId="0" fontId="33" fillId="37" borderId="0" xfId="0" quotePrefix="1" applyFont="1" applyFill="1" applyBorder="1" applyAlignment="1" applyProtection="1">
      <alignment horizontal="center" vertical="center" wrapText="1"/>
    </xf>
    <xf numFmtId="0" fontId="33" fillId="37" borderId="0" xfId="0" applyFont="1" applyFill="1" applyBorder="1" applyAlignment="1" applyProtection="1">
      <alignment horizontal="center" vertical="center" wrapText="1"/>
    </xf>
    <xf numFmtId="0" fontId="33" fillId="5" borderId="3" xfId="0" applyFont="1" applyFill="1" applyBorder="1" applyAlignment="1" applyProtection="1">
      <alignment horizontal="center" vertical="center"/>
    </xf>
    <xf numFmtId="3" fontId="9" fillId="5" borderId="81" xfId="0" applyNumberFormat="1" applyFont="1" applyFill="1" applyBorder="1" applyAlignment="1" applyProtection="1">
      <alignment horizontal="center"/>
    </xf>
    <xf numFmtId="3" fontId="9" fillId="5" borderId="82" xfId="0" applyNumberFormat="1" applyFont="1" applyFill="1" applyBorder="1" applyAlignment="1" applyProtection="1">
      <alignment horizontal="center"/>
    </xf>
    <xf numFmtId="167" fontId="9" fillId="3" borderId="45" xfId="0" applyNumberFormat="1" applyFont="1" applyFill="1" applyBorder="1" applyAlignment="1" applyProtection="1">
      <alignment horizontal="center" vertical="center" wrapText="1"/>
      <protection locked="0"/>
    </xf>
    <xf numFmtId="0" fontId="10" fillId="40" borderId="38"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top" wrapText="1"/>
      <protection locked="0"/>
    </xf>
    <xf numFmtId="0" fontId="9" fillId="0" borderId="8" xfId="0" applyFont="1" applyFill="1" applyBorder="1" applyAlignment="1" applyProtection="1">
      <alignment horizontal="center" vertical="top" wrapText="1"/>
      <protection locked="0"/>
    </xf>
    <xf numFmtId="0" fontId="9" fillId="0" borderId="16" xfId="0" applyFont="1" applyFill="1" applyBorder="1" applyAlignment="1" applyProtection="1">
      <alignment horizontal="center" vertical="top" wrapText="1"/>
      <protection locked="0"/>
    </xf>
    <xf numFmtId="16" fontId="9" fillId="0" borderId="11" xfId="0" quotePrefix="1" applyNumberFormat="1" applyFont="1" applyBorder="1" applyAlignment="1" applyProtection="1">
      <alignment horizontal="center" vertical="top" wrapText="1"/>
      <protection locked="0"/>
    </xf>
    <xf numFmtId="0" fontId="9" fillId="0" borderId="14" xfId="0" quotePrefix="1"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0" fontId="9" fillId="0" borderId="11" xfId="0" applyFont="1" applyBorder="1" applyAlignment="1" applyProtection="1">
      <alignment horizontal="center" vertical="top" wrapText="1"/>
      <protection locked="0"/>
    </xf>
    <xf numFmtId="0" fontId="10" fillId="4" borderId="7" xfId="0" applyFont="1" applyFill="1" applyBorder="1" applyAlignment="1" applyProtection="1">
      <alignment vertical="top" wrapText="1"/>
    </xf>
    <xf numFmtId="0" fontId="10" fillId="4" borderId="7" xfId="0" quotePrefix="1" applyFont="1" applyFill="1" applyBorder="1" applyAlignment="1" applyProtection="1">
      <alignment horizontal="left" vertical="top" wrapText="1"/>
    </xf>
    <xf numFmtId="0" fontId="10" fillId="4" borderId="30" xfId="0" applyFont="1" applyFill="1" applyBorder="1" applyAlignment="1" applyProtection="1">
      <alignment vertical="top" wrapText="1"/>
    </xf>
    <xf numFmtId="0" fontId="9" fillId="3" borderId="8" xfId="0" applyFont="1" applyFill="1" applyBorder="1" applyAlignment="1" applyProtection="1">
      <alignment vertical="top" wrapText="1"/>
      <protection locked="0"/>
    </xf>
    <xf numFmtId="0" fontId="10" fillId="38" borderId="0" xfId="0" applyFont="1" applyFill="1" applyBorder="1" applyAlignment="1" applyProtection="1">
      <alignment vertical="top" wrapText="1"/>
    </xf>
    <xf numFmtId="0" fontId="10" fillId="38" borderId="0" xfId="0" applyFont="1" applyFill="1" applyBorder="1" applyAlignment="1" applyProtection="1">
      <alignment horizontal="left" vertical="top" wrapText="1"/>
    </xf>
    <xf numFmtId="0" fontId="9" fillId="4" borderId="11" xfId="0" applyFont="1" applyFill="1" applyBorder="1" applyAlignment="1" applyProtection="1">
      <alignment vertical="top" wrapText="1"/>
    </xf>
    <xf numFmtId="0" fontId="9" fillId="3" borderId="47" xfId="0" applyFont="1" applyFill="1" applyBorder="1" applyAlignment="1" applyProtection="1">
      <alignment horizontal="center" vertical="top" wrapText="1"/>
      <protection locked="0"/>
    </xf>
    <xf numFmtId="0" fontId="9" fillId="3" borderId="46" xfId="0" applyFont="1" applyFill="1" applyBorder="1" applyAlignment="1" applyProtection="1">
      <alignment horizontal="center" vertical="top" wrapText="1"/>
      <protection locked="0"/>
    </xf>
    <xf numFmtId="0" fontId="9" fillId="3" borderId="31" xfId="0" applyFont="1" applyFill="1" applyBorder="1" applyAlignment="1" applyProtection="1">
      <alignment horizontal="center" vertical="top" wrapText="1"/>
      <protection locked="0"/>
    </xf>
    <xf numFmtId="0" fontId="10" fillId="4" borderId="19" xfId="0" applyFont="1" applyFill="1" applyBorder="1" applyAlignment="1" applyProtection="1">
      <alignment horizontal="center" vertical="top" wrapText="1"/>
    </xf>
    <xf numFmtId="0" fontId="10" fillId="4" borderId="8" xfId="0" applyFont="1" applyFill="1" applyBorder="1" applyAlignment="1" applyProtection="1">
      <alignment horizontal="center" vertical="top" wrapText="1"/>
    </xf>
    <xf numFmtId="0" fontId="10" fillId="4" borderId="9" xfId="0" applyFont="1" applyFill="1" applyBorder="1" applyAlignment="1" applyProtection="1">
      <alignment horizontal="center" vertical="top" wrapText="1"/>
    </xf>
    <xf numFmtId="0" fontId="10" fillId="4" borderId="17" xfId="0" applyFont="1" applyFill="1" applyBorder="1" applyAlignment="1" applyProtection="1">
      <alignment horizontal="center" vertical="top" wrapText="1"/>
    </xf>
    <xf numFmtId="0" fontId="9" fillId="3" borderId="19"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3" fontId="29" fillId="0" borderId="51" xfId="0" applyNumberFormat="1" applyFont="1" applyBorder="1" applyAlignment="1" applyProtection="1">
      <alignment horizontal="center" vertical="center"/>
      <protection locked="0"/>
    </xf>
    <xf numFmtId="3" fontId="29" fillId="0" borderId="63" xfId="0" applyNumberFormat="1" applyFont="1" applyBorder="1" applyAlignment="1" applyProtection="1">
      <alignment horizontal="center" vertical="center"/>
      <protection locked="0"/>
    </xf>
    <xf numFmtId="0" fontId="29" fillId="0" borderId="0" xfId="0" applyFont="1" applyAlignment="1">
      <alignment vertical="center"/>
    </xf>
    <xf numFmtId="0" fontId="6" fillId="2" borderId="0" xfId="0" applyFont="1" applyFill="1" applyAlignment="1">
      <alignment horizontal="left"/>
    </xf>
    <xf numFmtId="0" fontId="6" fillId="0" borderId="0" xfId="0" applyFont="1" applyFill="1" applyAlignment="1">
      <alignment horizontal="left"/>
    </xf>
    <xf numFmtId="0" fontId="29" fillId="0" borderId="0" xfId="0" applyFont="1" applyAlignment="1">
      <alignment horizontal="left"/>
    </xf>
    <xf numFmtId="0" fontId="29" fillId="0" borderId="0" xfId="0" applyFont="1" applyAlignment="1">
      <alignment horizontal="left" vertical="center" wrapText="1"/>
    </xf>
    <xf numFmtId="0" fontId="29" fillId="38" borderId="0" xfId="0" applyFont="1" applyFill="1" applyAlignment="1">
      <alignment horizontal="left"/>
    </xf>
    <xf numFmtId="0" fontId="29" fillId="0" borderId="0" xfId="0" applyFont="1" applyBorder="1" applyAlignment="1">
      <alignment horizontal="left" vertical="center"/>
    </xf>
    <xf numFmtId="0" fontId="29" fillId="0" borderId="0" xfId="0" applyFont="1" applyBorder="1" applyAlignment="1">
      <alignment horizontal="left"/>
    </xf>
    <xf numFmtId="0" fontId="5" fillId="0" borderId="0" xfId="0" applyFont="1" applyFill="1" applyBorder="1" applyAlignment="1" applyProtection="1">
      <alignment horizontal="center"/>
    </xf>
    <xf numFmtId="0" fontId="3" fillId="0" borderId="0" xfId="0" applyFont="1" applyFill="1" applyProtection="1"/>
    <xf numFmtId="0" fontId="3" fillId="0" borderId="0" xfId="0" applyFont="1"/>
    <xf numFmtId="0" fontId="9" fillId="0" borderId="17" xfId="0" applyFont="1" applyFill="1" applyBorder="1" applyAlignment="1" applyProtection="1">
      <alignment horizontal="center" vertical="top" wrapText="1"/>
      <protection locked="0"/>
    </xf>
    <xf numFmtId="0" fontId="9" fillId="0" borderId="14" xfId="0" applyFont="1" applyFill="1" applyBorder="1" applyAlignment="1" applyProtection="1">
      <alignment horizontal="center" vertical="top" wrapText="1"/>
      <protection locked="0"/>
    </xf>
    <xf numFmtId="1" fontId="9" fillId="0" borderId="17" xfId="0" applyNumberFormat="1" applyFont="1" applyBorder="1" applyAlignment="1" applyProtection="1">
      <alignment horizontal="center"/>
      <protection locked="0"/>
    </xf>
    <xf numFmtId="0" fontId="9" fillId="0" borderId="0" xfId="0" applyFont="1" applyFill="1" applyAlignment="1" applyProtection="1">
      <alignment wrapText="1"/>
    </xf>
    <xf numFmtId="0" fontId="9" fillId="5" borderId="13" xfId="0" applyFont="1" applyFill="1" applyBorder="1" applyAlignment="1" applyProtection="1">
      <alignment vertical="top" wrapText="1"/>
    </xf>
    <xf numFmtId="0" fontId="9" fillId="5" borderId="11" xfId="0" applyFont="1" applyFill="1" applyBorder="1" applyAlignment="1" applyProtection="1">
      <alignment vertical="top" wrapText="1"/>
    </xf>
    <xf numFmtId="0" fontId="3" fillId="0" borderId="0" xfId="0" applyFont="1" applyAlignment="1">
      <alignment horizontal="left"/>
    </xf>
    <xf numFmtId="0" fontId="9" fillId="0" borderId="0" xfId="0" applyFont="1" applyFill="1" applyBorder="1" applyAlignment="1" applyProtection="1">
      <alignment horizontal="left"/>
    </xf>
    <xf numFmtId="3" fontId="9" fillId="5" borderId="77" xfId="0" applyNumberFormat="1" applyFont="1" applyFill="1" applyBorder="1" applyAlignment="1" applyProtection="1">
      <alignment horizontal="center" vertical="center"/>
    </xf>
    <xf numFmtId="3" fontId="9" fillId="5" borderId="78" xfId="0" applyNumberFormat="1" applyFont="1" applyFill="1" applyBorder="1" applyAlignment="1" applyProtection="1">
      <alignment horizontal="center" vertical="center"/>
    </xf>
    <xf numFmtId="0" fontId="9" fillId="0" borderId="48"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left" vertical="center" wrapText="1"/>
    </xf>
    <xf numFmtId="3" fontId="9" fillId="5" borderId="73" xfId="0" applyNumberFormat="1" applyFont="1" applyFill="1" applyBorder="1" applyAlignment="1" applyProtection="1">
      <alignment horizontal="center" vertical="center"/>
    </xf>
    <xf numFmtId="3" fontId="9" fillId="5" borderId="74" xfId="0" applyNumberFormat="1" applyFont="1" applyFill="1" applyBorder="1" applyAlignment="1" applyProtection="1">
      <alignment horizontal="center" vertical="center"/>
    </xf>
    <xf numFmtId="167" fontId="9" fillId="5" borderId="73" xfId="0" applyNumberFormat="1" applyFont="1" applyFill="1" applyBorder="1" applyAlignment="1" applyProtection="1">
      <alignment horizontal="center" vertical="center"/>
    </xf>
    <xf numFmtId="167" fontId="9" fillId="5" borderId="74" xfId="0" applyNumberFormat="1" applyFont="1" applyFill="1" applyBorder="1" applyAlignment="1" applyProtection="1">
      <alignment horizontal="center" vertical="center"/>
    </xf>
    <xf numFmtId="169" fontId="9" fillId="5" borderId="73" xfId="0" applyNumberFormat="1" applyFont="1" applyFill="1" applyBorder="1" applyAlignment="1" applyProtection="1">
      <alignment horizontal="center" vertical="center"/>
    </xf>
    <xf numFmtId="169" fontId="9" fillId="5" borderId="74" xfId="0" applyNumberFormat="1" applyFont="1" applyFill="1" applyBorder="1" applyAlignment="1" applyProtection="1">
      <alignment horizontal="center" vertical="center"/>
    </xf>
    <xf numFmtId="0" fontId="9" fillId="0" borderId="48" xfId="0" applyFont="1" applyFill="1" applyBorder="1" applyAlignment="1" applyProtection="1">
      <alignment horizontal="left"/>
    </xf>
    <xf numFmtId="168" fontId="9" fillId="4" borderId="21" xfId="0" applyNumberFormat="1" applyFont="1" applyFill="1" applyBorder="1" applyAlignment="1" applyProtection="1">
      <alignment horizontal="center" vertical="top" wrapText="1"/>
    </xf>
    <xf numFmtId="164" fontId="9" fillId="0" borderId="0" xfId="0" applyNumberFormat="1" applyFont="1" applyAlignment="1" applyProtection="1">
      <alignment horizontal="center"/>
    </xf>
    <xf numFmtId="0" fontId="9" fillId="0" borderId="0" xfId="0" applyFont="1" applyProtection="1"/>
    <xf numFmtId="168" fontId="9" fillId="4" borderId="15" xfId="0" applyNumberFormat="1" applyFont="1" applyFill="1" applyBorder="1" applyAlignment="1" applyProtection="1">
      <alignment horizontal="center" vertical="top" wrapText="1"/>
    </xf>
    <xf numFmtId="168" fontId="9" fillId="4" borderId="16" xfId="0" applyNumberFormat="1" applyFont="1" applyFill="1" applyBorder="1" applyAlignment="1" applyProtection="1">
      <alignment horizontal="center" vertical="top" wrapText="1"/>
    </xf>
    <xf numFmtId="0" fontId="9" fillId="3" borderId="13" xfId="0" applyFont="1" applyFill="1" applyBorder="1" applyAlignment="1" applyProtection="1">
      <alignment vertical="top" wrapText="1"/>
      <protection locked="0"/>
    </xf>
    <xf numFmtId="168" fontId="9" fillId="4" borderId="14" xfId="0" applyNumberFormat="1" applyFont="1" applyFill="1" applyBorder="1" applyAlignment="1" applyProtection="1">
      <alignment horizontal="center" vertical="top" wrapText="1"/>
    </xf>
    <xf numFmtId="0" fontId="9" fillId="3" borderId="9" xfId="0" applyFont="1" applyFill="1" applyBorder="1" applyAlignment="1" applyProtection="1">
      <alignment vertical="top" wrapText="1"/>
      <protection locked="0"/>
    </xf>
    <xf numFmtId="168" fontId="9" fillId="4" borderId="8" xfId="0" applyNumberFormat="1" applyFont="1" applyFill="1" applyBorder="1" applyAlignment="1" applyProtection="1">
      <alignment horizontal="center" vertical="top" wrapText="1"/>
    </xf>
    <xf numFmtId="0" fontId="9" fillId="3" borderId="15" xfId="0" applyFont="1" applyFill="1" applyBorder="1" applyAlignment="1" applyProtection="1">
      <alignment vertical="top" wrapText="1"/>
      <protection locked="0"/>
    </xf>
    <xf numFmtId="0" fontId="9" fillId="3" borderId="21" xfId="0" applyFont="1" applyFill="1" applyBorder="1" applyAlignment="1" applyProtection="1">
      <alignment vertical="top" wrapText="1"/>
      <protection locked="0"/>
    </xf>
    <xf numFmtId="0" fontId="9" fillId="3" borderId="24" xfId="0" applyFont="1" applyFill="1" applyBorder="1" applyAlignment="1" applyProtection="1">
      <alignment vertical="top" wrapText="1"/>
      <protection locked="0"/>
    </xf>
    <xf numFmtId="168" fontId="9" fillId="4" borderId="5" xfId="0" quotePrefix="1" applyNumberFormat="1" applyFont="1" applyFill="1" applyBorder="1" applyAlignment="1" applyProtection="1">
      <alignment horizontal="center" vertical="top" wrapText="1"/>
    </xf>
    <xf numFmtId="0" fontId="9" fillId="4" borderId="19" xfId="0" applyFont="1" applyFill="1" applyBorder="1" applyAlignment="1" applyProtection="1">
      <alignment vertical="top" wrapText="1"/>
    </xf>
    <xf numFmtId="0" fontId="9" fillId="4" borderId="8" xfId="0" applyFont="1" applyFill="1" applyBorder="1" applyAlignment="1" applyProtection="1">
      <alignment vertical="top" wrapText="1"/>
    </xf>
    <xf numFmtId="0" fontId="9" fillId="4" borderId="9" xfId="0" applyFont="1" applyFill="1" applyBorder="1" applyAlignment="1" applyProtection="1">
      <alignment vertical="top" wrapText="1"/>
    </xf>
    <xf numFmtId="0" fontId="9" fillId="3" borderId="0" xfId="0" applyFont="1" applyFill="1" applyProtection="1"/>
    <xf numFmtId="0" fontId="9" fillId="3" borderId="19"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49" fontId="9" fillId="4" borderId="19" xfId="0" applyNumberFormat="1" applyFont="1" applyFill="1" applyBorder="1" applyAlignment="1" applyProtection="1">
      <alignment vertical="top" wrapText="1"/>
    </xf>
    <xf numFmtId="0" fontId="9" fillId="2" borderId="6" xfId="0" applyFont="1" applyFill="1" applyBorder="1" applyAlignment="1" applyProtection="1">
      <alignment vertical="top" wrapText="1"/>
      <protection locked="0"/>
    </xf>
    <xf numFmtId="167" fontId="9" fillId="3" borderId="19" xfId="0" applyNumberFormat="1" applyFont="1" applyFill="1" applyBorder="1" applyAlignment="1" applyProtection="1">
      <alignment horizontal="center" vertical="top" wrapText="1"/>
      <protection locked="0"/>
    </xf>
    <xf numFmtId="0" fontId="9" fillId="3" borderId="7" xfId="0" applyFont="1" applyFill="1" applyBorder="1" applyAlignment="1" applyProtection="1">
      <alignment vertical="top" wrapText="1"/>
      <protection locked="0"/>
    </xf>
    <xf numFmtId="167" fontId="9" fillId="3" borderId="8" xfId="0" applyNumberFormat="1" applyFont="1" applyFill="1" applyBorder="1" applyAlignment="1" applyProtection="1">
      <alignment horizontal="center" vertical="top" wrapText="1"/>
      <protection locked="0"/>
    </xf>
    <xf numFmtId="0" fontId="9" fillId="3" borderId="30" xfId="0" applyFont="1" applyFill="1" applyBorder="1" applyAlignment="1" applyProtection="1">
      <alignment vertical="top" wrapText="1"/>
      <protection locked="0"/>
    </xf>
    <xf numFmtId="167" fontId="9" fillId="3" borderId="9" xfId="0" applyNumberFormat="1" applyFont="1" applyFill="1" applyBorder="1" applyAlignment="1" applyProtection="1">
      <alignment horizontal="center" vertical="top" wrapText="1"/>
      <protection locked="0"/>
    </xf>
    <xf numFmtId="5" fontId="9" fillId="0" borderId="12" xfId="0" applyNumberFormat="1" applyFont="1" applyFill="1" applyBorder="1" applyAlignment="1" applyProtection="1">
      <alignment horizontal="center" vertical="center" wrapText="1"/>
      <protection locked="0"/>
    </xf>
    <xf numFmtId="167" fontId="9" fillId="3" borderId="139" xfId="0" applyNumberFormat="1" applyFont="1" applyFill="1" applyBorder="1" applyAlignment="1" applyProtection="1">
      <alignment horizontal="center" vertical="top" wrapText="1"/>
      <protection locked="0"/>
    </xf>
    <xf numFmtId="0" fontId="9" fillId="3" borderId="139" xfId="0" applyFont="1" applyFill="1" applyBorder="1" applyAlignment="1" applyProtection="1">
      <alignment horizontal="center" vertical="top" wrapText="1"/>
      <protection locked="0"/>
    </xf>
    <xf numFmtId="167" fontId="9" fillId="3" borderId="49" xfId="0" applyNumberFormat="1" applyFont="1" applyFill="1" applyBorder="1" applyAlignment="1" applyProtection="1">
      <alignment horizontal="center" vertical="top" wrapText="1"/>
      <protection locked="0"/>
    </xf>
    <xf numFmtId="0" fontId="9" fillId="3" borderId="49" xfId="0" applyFont="1" applyFill="1" applyBorder="1" applyAlignment="1" applyProtection="1">
      <alignment horizontal="center" vertical="top" wrapText="1"/>
      <protection locked="0"/>
    </xf>
    <xf numFmtId="167" fontId="9" fillId="4" borderId="14" xfId="0" applyNumberFormat="1" applyFont="1" applyFill="1" applyBorder="1" applyAlignment="1" applyProtection="1">
      <alignment horizontal="center" vertical="top" wrapText="1"/>
    </xf>
    <xf numFmtId="0" fontId="9" fillId="4" borderId="28" xfId="0" applyFont="1" applyFill="1" applyBorder="1" applyAlignment="1" applyProtection="1">
      <alignment vertical="top" wrapText="1"/>
    </xf>
    <xf numFmtId="169" fontId="9" fillId="3" borderId="8" xfId="0" applyNumberFormat="1" applyFont="1" applyFill="1" applyBorder="1" applyAlignment="1" applyProtection="1">
      <alignment horizontal="center" vertical="top" wrapText="1"/>
      <protection locked="0"/>
    </xf>
    <xf numFmtId="3" fontId="9" fillId="3" borderId="8" xfId="0" applyNumberFormat="1" applyFont="1" applyFill="1" applyBorder="1" applyAlignment="1" applyProtection="1">
      <alignment horizontal="center" vertical="top" wrapText="1"/>
      <protection locked="0"/>
    </xf>
    <xf numFmtId="3" fontId="9" fillId="3" borderId="9" xfId="0" applyNumberFormat="1" applyFont="1" applyFill="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10" fillId="5" borderId="13" xfId="0" applyFont="1" applyFill="1" applyBorder="1" applyAlignment="1" applyProtection="1">
      <alignment horizontal="right" vertical="top" wrapText="1"/>
    </xf>
    <xf numFmtId="0" fontId="10" fillId="5" borderId="12" xfId="0" quotePrefix="1" applyFont="1" applyFill="1" applyBorder="1" applyAlignment="1" applyProtection="1">
      <alignment horizontal="right" vertical="top" wrapText="1"/>
    </xf>
    <xf numFmtId="0" fontId="9" fillId="0" borderId="14" xfId="0" applyFont="1" applyBorder="1" applyAlignment="1" applyProtection="1">
      <alignment horizontal="center" vertical="top" wrapText="1"/>
      <protection locked="0"/>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10" fillId="5" borderId="13" xfId="0" quotePrefix="1" applyFont="1" applyFill="1" applyBorder="1" applyAlignment="1" applyProtection="1">
      <alignment horizontal="right" vertical="top" wrapText="1"/>
    </xf>
    <xf numFmtId="0" fontId="10" fillId="5" borderId="12" xfId="0" applyFont="1" applyFill="1" applyBorder="1" applyAlignment="1" applyProtection="1">
      <alignment horizontal="center"/>
    </xf>
    <xf numFmtId="0" fontId="10" fillId="0" borderId="0" xfId="0" applyFont="1" applyFill="1" applyBorder="1" applyAlignment="1" applyProtection="1">
      <alignment horizontal="center"/>
    </xf>
    <xf numFmtId="0" fontId="10" fillId="5" borderId="45" xfId="0" applyFont="1" applyFill="1" applyBorder="1" applyAlignment="1" applyProtection="1">
      <alignment horizontal="center" vertical="top" wrapText="1"/>
    </xf>
    <xf numFmtId="0" fontId="10" fillId="5" borderId="14" xfId="0" applyFont="1" applyFill="1" applyBorder="1" applyAlignment="1" applyProtection="1">
      <alignment horizontal="center" vertical="top" wrapText="1"/>
    </xf>
    <xf numFmtId="0" fontId="10" fillId="4" borderId="6" xfId="0" applyFont="1" applyFill="1" applyBorder="1" applyAlignment="1" applyProtection="1">
      <alignment vertical="top" wrapText="1"/>
    </xf>
    <xf numFmtId="0" fontId="10" fillId="5" borderId="6" xfId="0" applyFont="1" applyFill="1" applyBorder="1" applyAlignment="1" applyProtection="1">
      <alignment vertical="top" wrapText="1"/>
    </xf>
    <xf numFmtId="0" fontId="9" fillId="0" borderId="15" xfId="0" applyFont="1" applyFill="1" applyBorder="1" applyAlignment="1" applyProtection="1">
      <alignment horizontal="center" vertical="top" wrapText="1"/>
      <protection locked="0"/>
    </xf>
    <xf numFmtId="0" fontId="37" fillId="6" borderId="50" xfId="0" applyFont="1" applyFill="1" applyBorder="1" applyAlignment="1" applyProtection="1">
      <alignment horizontal="left"/>
    </xf>
    <xf numFmtId="0" fontId="37" fillId="6" borderId="48" xfId="0" applyFont="1" applyFill="1" applyBorder="1" applyAlignment="1" applyProtection="1">
      <alignment horizontal="left"/>
    </xf>
    <xf numFmtId="0" fontId="37" fillId="6" borderId="45" xfId="0" applyFont="1" applyFill="1" applyBorder="1" applyAlignment="1" applyProtection="1">
      <alignment horizontal="left"/>
    </xf>
    <xf numFmtId="0" fontId="37" fillId="6" borderId="7" xfId="0" applyFont="1" applyFill="1" applyBorder="1" applyAlignment="1" applyProtection="1">
      <alignment horizontal="left" vertical="center"/>
    </xf>
    <xf numFmtId="0" fontId="37" fillId="6" borderId="46" xfId="0" applyFont="1" applyFill="1" applyBorder="1" applyAlignment="1" applyProtection="1">
      <alignment horizontal="left" vertical="center"/>
    </xf>
    <xf numFmtId="0" fontId="37" fillId="6" borderId="16" xfId="0" applyFont="1" applyFill="1" applyBorder="1" applyAlignment="1" applyProtection="1">
      <alignment horizontal="left" vertical="center"/>
    </xf>
    <xf numFmtId="0" fontId="10" fillId="4" borderId="5" xfId="0" applyFont="1" applyFill="1" applyBorder="1" applyAlignment="1" applyProtection="1">
      <alignment horizontal="center" vertical="top" wrapText="1"/>
    </xf>
    <xf numFmtId="0" fontId="9" fillId="3" borderId="15"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9" fillId="3" borderId="9"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10" fillId="4" borderId="50" xfId="0" applyFont="1" applyFill="1" applyBorder="1" applyAlignment="1" applyProtection="1">
      <alignment vertical="top" wrapText="1"/>
    </xf>
    <xf numFmtId="0" fontId="9" fillId="4" borderId="14" xfId="0" applyFont="1" applyFill="1" applyBorder="1" applyAlignment="1" applyProtection="1">
      <alignment vertical="top" wrapText="1"/>
    </xf>
    <xf numFmtId="167" fontId="9" fillId="3" borderId="15" xfId="0" applyNumberFormat="1"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9" fillId="3" borderId="19"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167" fontId="9" fillId="0" borderId="5" xfId="0" applyNumberFormat="1" applyFont="1" applyFill="1" applyBorder="1" applyAlignment="1" applyProtection="1">
      <alignment horizontal="center" vertical="center" wrapText="1"/>
      <protection locked="0"/>
    </xf>
    <xf numFmtId="0" fontId="9" fillId="3" borderId="24" xfId="0" applyFont="1" applyFill="1" applyBorder="1" applyAlignment="1" applyProtection="1">
      <alignment horizontal="center" vertical="top" wrapText="1"/>
      <protection locked="0"/>
    </xf>
    <xf numFmtId="3" fontId="29" fillId="0" borderId="91" xfId="0" applyNumberFormat="1" applyFont="1" applyBorder="1" applyAlignment="1" applyProtection="1">
      <alignment horizontal="center" vertical="center"/>
      <protection locked="0"/>
    </xf>
    <xf numFmtId="3" fontId="29" fillId="37" borderId="85" xfId="0" quotePrefix="1" applyNumberFormat="1" applyFont="1" applyFill="1" applyBorder="1" applyAlignment="1" applyProtection="1">
      <alignment horizontal="center" vertical="center"/>
    </xf>
    <xf numFmtId="3" fontId="29" fillId="37" borderId="84" xfId="0" quotePrefix="1" applyNumberFormat="1" applyFont="1" applyFill="1" applyBorder="1" applyAlignment="1" applyProtection="1">
      <alignment horizontal="center" vertical="center"/>
    </xf>
    <xf numFmtId="3" fontId="33" fillId="6" borderId="51" xfId="0" applyNumberFormat="1" applyFont="1" applyFill="1" applyBorder="1" applyAlignment="1" applyProtection="1">
      <alignment horizontal="center" vertical="center"/>
    </xf>
    <xf numFmtId="3" fontId="33" fillId="6" borderId="63" xfId="0" applyNumberFormat="1" applyFont="1" applyFill="1" applyBorder="1" applyAlignment="1" applyProtection="1">
      <alignment horizontal="center" vertical="center"/>
    </xf>
    <xf numFmtId="3" fontId="29" fillId="0" borderId="94" xfId="0" applyNumberFormat="1" applyFont="1" applyBorder="1" applyAlignment="1" applyProtection="1">
      <alignment horizontal="center" vertical="center"/>
      <protection locked="0"/>
    </xf>
    <xf numFmtId="3" fontId="29" fillId="0" borderId="95" xfId="0" applyNumberFormat="1" applyFont="1" applyBorder="1" applyAlignment="1" applyProtection="1">
      <alignment horizontal="center" vertical="center"/>
      <protection locked="0"/>
    </xf>
    <xf numFmtId="0" fontId="29" fillId="0" borderId="0" xfId="0" applyFont="1" applyFill="1" applyAlignment="1">
      <alignment horizontal="left" vertical="center"/>
    </xf>
    <xf numFmtId="0" fontId="29" fillId="0" borderId="0" xfId="0" applyFont="1" applyFill="1" applyBorder="1" applyAlignment="1">
      <alignment horizontal="left" vertical="center"/>
    </xf>
    <xf numFmtId="0" fontId="3" fillId="0" borderId="0" xfId="0" applyFont="1" applyProtection="1"/>
    <xf numFmtId="0" fontId="4" fillId="0" borderId="0" xfId="0" applyFont="1" applyProtection="1"/>
    <xf numFmtId="0" fontId="4" fillId="0" borderId="0" xfId="0" applyFont="1" applyFill="1" applyProtection="1"/>
    <xf numFmtId="0" fontId="6" fillId="2" borderId="0" xfId="0" applyFont="1" applyFill="1" applyProtection="1"/>
    <xf numFmtId="0" fontId="11" fillId="0" borderId="0" xfId="0" applyFont="1" applyProtection="1"/>
    <xf numFmtId="0" fontId="43" fillId="0" borderId="0" xfId="0" applyFont="1" applyProtection="1"/>
    <xf numFmtId="0" fontId="10" fillId="0" borderId="0" xfId="0" applyFont="1" applyProtection="1"/>
    <xf numFmtId="0" fontId="10" fillId="0" borderId="0" xfId="0" applyFont="1" applyFill="1" applyProtection="1"/>
    <xf numFmtId="0" fontId="9" fillId="0" borderId="0" xfId="0" applyFont="1" applyFill="1" applyBorder="1" applyProtection="1"/>
    <xf numFmtId="0" fontId="11" fillId="0" borderId="0" xfId="0" applyFont="1" applyFill="1" applyBorder="1" applyProtection="1"/>
    <xf numFmtId="0" fontId="9"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0" fillId="2" borderId="0" xfId="0" applyFill="1" applyProtection="1"/>
    <xf numFmtId="0" fontId="0" fillId="0" borderId="0" xfId="0" applyFill="1" applyProtection="1"/>
    <xf numFmtId="0" fontId="0" fillId="2" borderId="0" xfId="0" applyFill="1" applyBorder="1" applyProtection="1"/>
    <xf numFmtId="0" fontId="0" fillId="0" borderId="0" xfId="0" applyFill="1" applyBorder="1" applyProtection="1"/>
    <xf numFmtId="0" fontId="0" fillId="2" borderId="0" xfId="0" applyFill="1" applyAlignment="1" applyProtection="1">
      <alignment horizontal="center"/>
    </xf>
    <xf numFmtId="0" fontId="0" fillId="0" borderId="0" xfId="0" applyFill="1" applyBorder="1" applyAlignment="1" applyProtection="1">
      <alignment horizontal="center"/>
    </xf>
    <xf numFmtId="0" fontId="7" fillId="0" borderId="0" xfId="0" applyFont="1" applyFill="1" applyBorder="1" applyAlignment="1" applyProtection="1">
      <alignment vertical="top" wrapText="1"/>
    </xf>
    <xf numFmtId="0" fontId="10" fillId="0" borderId="0" xfId="0" applyFont="1" applyAlignment="1" applyProtection="1">
      <alignment horizontal="left"/>
    </xf>
    <xf numFmtId="0" fontId="38" fillId="0" borderId="48" xfId="0" applyFont="1" applyFill="1" applyBorder="1" applyAlignment="1" applyProtection="1">
      <alignment horizontal="center" vertical="center"/>
    </xf>
    <xf numFmtId="0" fontId="39" fillId="0" borderId="48" xfId="0" applyFont="1" applyFill="1" applyBorder="1" applyAlignment="1" applyProtection="1">
      <alignment horizontal="left" vertical="center"/>
    </xf>
    <xf numFmtId="0" fontId="37" fillId="6" borderId="12" xfId="0" applyFont="1" applyFill="1" applyBorder="1" applyAlignment="1" applyProtection="1">
      <alignment horizontal="center"/>
    </xf>
    <xf numFmtId="0" fontId="37" fillId="6" borderId="12" xfId="0" applyFont="1" applyFill="1" applyBorder="1" applyProtection="1"/>
    <xf numFmtId="0" fontId="38"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6" fillId="3" borderId="0" xfId="0" applyFont="1" applyFill="1" applyProtection="1"/>
    <xf numFmtId="0" fontId="9" fillId="3" borderId="0" xfId="0" applyFont="1" applyFill="1" applyBorder="1" applyAlignment="1" applyProtection="1">
      <alignment horizontal="center" vertical="top" wrapText="1"/>
    </xf>
    <xf numFmtId="0" fontId="11" fillId="3" borderId="0" xfId="0" applyFont="1" applyFill="1" applyProtection="1"/>
    <xf numFmtId="0" fontId="9" fillId="3" borderId="0" xfId="0" applyFont="1" applyFill="1" applyBorder="1" applyProtection="1"/>
    <xf numFmtId="3" fontId="9" fillId="38" borderId="0" xfId="0" applyNumberFormat="1" applyFont="1" applyFill="1" applyBorder="1" applyAlignment="1" applyProtection="1">
      <alignment horizontal="center" vertical="top" wrapText="1"/>
    </xf>
    <xf numFmtId="0" fontId="6" fillId="3" borderId="0" xfId="0" applyFont="1" applyFill="1" applyAlignment="1" applyProtection="1">
      <alignment horizontal="center"/>
    </xf>
    <xf numFmtId="49" fontId="9" fillId="4" borderId="19" xfId="0" applyNumberFormat="1" applyFont="1" applyFill="1" applyBorder="1" applyAlignment="1" applyProtection="1">
      <alignment horizontal="center" vertical="top" wrapText="1"/>
      <protection locked="0"/>
    </xf>
    <xf numFmtId="0" fontId="9" fillId="4" borderId="150" xfId="0" applyFont="1" applyFill="1" applyBorder="1" applyAlignment="1" applyProtection="1">
      <alignment vertical="top" wrapText="1"/>
    </xf>
    <xf numFmtId="0" fontId="6" fillId="0" borderId="0" xfId="0" applyFont="1" applyProtection="1"/>
    <xf numFmtId="0" fontId="48" fillId="0" borderId="0" xfId="0" applyFont="1" applyProtection="1"/>
    <xf numFmtId="0" fontId="6" fillId="0" borderId="0" xfId="0" applyFont="1" applyAlignment="1" applyProtection="1">
      <alignment vertical="center"/>
    </xf>
    <xf numFmtId="0" fontId="46" fillId="5" borderId="51" xfId="0" applyFont="1" applyFill="1" applyBorder="1" applyAlignment="1" applyProtection="1">
      <alignment vertical="center"/>
    </xf>
    <xf numFmtId="0" fontId="46" fillId="5" borderId="145" xfId="0" applyFont="1" applyFill="1" applyBorder="1" applyAlignment="1" applyProtection="1">
      <alignment horizontal="center" vertical="center"/>
    </xf>
    <xf numFmtId="0" fontId="46" fillId="5" borderId="62" xfId="0" applyFont="1" applyFill="1" applyBorder="1" applyAlignment="1" applyProtection="1">
      <alignment horizontal="center" vertical="center" wrapText="1"/>
    </xf>
    <xf numFmtId="0" fontId="46" fillId="5" borderId="62" xfId="0" applyFont="1" applyFill="1" applyBorder="1" applyAlignment="1" applyProtection="1">
      <alignment vertical="center"/>
    </xf>
    <xf numFmtId="0" fontId="46" fillId="5" borderId="63" xfId="0" applyFont="1" applyFill="1" applyBorder="1" applyAlignment="1" applyProtection="1">
      <alignment vertical="center"/>
    </xf>
    <xf numFmtId="0" fontId="10" fillId="5" borderId="35" xfId="0" applyFont="1" applyFill="1" applyBorder="1" applyAlignment="1" applyProtection="1">
      <alignment horizontal="left" vertical="center" indent="1"/>
    </xf>
    <xf numFmtId="9" fontId="10" fillId="5" borderId="146" xfId="0" quotePrefix="1" applyNumberFormat="1" applyFont="1" applyFill="1" applyBorder="1" applyAlignment="1" applyProtection="1">
      <alignment horizontal="center" vertical="center"/>
    </xf>
    <xf numFmtId="0" fontId="10" fillId="5" borderId="38" xfId="0" applyFont="1" applyFill="1" applyBorder="1" applyAlignment="1" applyProtection="1">
      <alignment vertical="center"/>
    </xf>
    <xf numFmtId="0" fontId="10" fillId="5" borderId="2" xfId="0" applyFont="1" applyFill="1" applyBorder="1" applyAlignment="1" applyProtection="1">
      <alignment horizontal="left" vertical="center" indent="1"/>
    </xf>
    <xf numFmtId="0" fontId="10" fillId="5" borderId="38" xfId="0" applyFont="1" applyFill="1" applyBorder="1" applyAlignment="1" applyProtection="1">
      <alignment horizontal="center" vertical="center"/>
    </xf>
    <xf numFmtId="0" fontId="10" fillId="5" borderId="23" xfId="0" applyFont="1" applyFill="1" applyBorder="1" applyAlignment="1" applyProtection="1">
      <alignment vertical="center"/>
    </xf>
    <xf numFmtId="0" fontId="10" fillId="5" borderId="88" xfId="0" applyFont="1" applyFill="1" applyBorder="1" applyAlignment="1" applyProtection="1">
      <alignment horizontal="left" vertical="center" wrapText="1"/>
    </xf>
    <xf numFmtId="0" fontId="10" fillId="5" borderId="146" xfId="0" quotePrefix="1" applyFont="1" applyFill="1" applyBorder="1" applyAlignment="1" applyProtection="1">
      <alignment horizontal="center" vertical="center"/>
    </xf>
    <xf numFmtId="0" fontId="10" fillId="5" borderId="143" xfId="0" applyFont="1" applyFill="1" applyBorder="1" applyAlignment="1" applyProtection="1">
      <alignment horizontal="center" vertical="center"/>
    </xf>
    <xf numFmtId="0" fontId="10" fillId="5" borderId="143" xfId="0" applyFont="1" applyFill="1" applyBorder="1" applyAlignment="1" applyProtection="1">
      <alignment horizontal="right" vertical="center"/>
    </xf>
    <xf numFmtId="0" fontId="10" fillId="5" borderId="40" xfId="0" applyFont="1" applyFill="1" applyBorder="1" applyAlignment="1" applyProtection="1">
      <alignment vertical="center"/>
    </xf>
    <xf numFmtId="0" fontId="46" fillId="5" borderId="51" xfId="0" applyFont="1" applyFill="1" applyBorder="1" applyAlignment="1" applyProtection="1">
      <alignment horizontal="left" vertical="center"/>
    </xf>
    <xf numFmtId="0" fontId="46" fillId="5" borderId="62" xfId="0" applyFont="1" applyFill="1" applyBorder="1" applyAlignment="1" applyProtection="1">
      <alignment horizontal="center" vertical="center"/>
    </xf>
    <xf numFmtId="0" fontId="46" fillId="5" borderId="63" xfId="0" applyFont="1" applyFill="1" applyBorder="1" applyAlignment="1" applyProtection="1">
      <alignment vertical="center" wrapText="1"/>
    </xf>
    <xf numFmtId="0" fontId="7" fillId="5" borderId="3" xfId="0" applyFont="1" applyFill="1" applyBorder="1" applyAlignment="1" applyProtection="1">
      <alignment horizontal="center" vertical="center" wrapText="1"/>
    </xf>
    <xf numFmtId="0" fontId="6" fillId="5" borderId="4" xfId="0" applyFont="1" applyFill="1" applyBorder="1" applyProtection="1"/>
    <xf numFmtId="0" fontId="7" fillId="5" borderId="17" xfId="0" applyFont="1" applyFill="1" applyBorder="1" applyAlignment="1" applyProtection="1">
      <alignment horizontal="center" vertical="center" wrapText="1"/>
    </xf>
    <xf numFmtId="0" fontId="10" fillId="0" borderId="0" xfId="0" quotePrefix="1" applyFont="1" applyAlignment="1" applyProtection="1">
      <alignment horizontal="left" wrapText="1"/>
    </xf>
    <xf numFmtId="0" fontId="5" fillId="0" borderId="0" xfId="0" applyFont="1" applyProtection="1"/>
    <xf numFmtId="0" fontId="7" fillId="0" borderId="0" xfId="0" applyFont="1" applyAlignment="1" applyProtection="1">
      <alignment vertical="center"/>
    </xf>
    <xf numFmtId="0" fontId="0" fillId="0" borderId="0" xfId="0" applyAlignment="1" applyProtection="1">
      <alignment vertical="center"/>
    </xf>
    <xf numFmtId="3" fontId="9" fillId="37" borderId="39" xfId="0" quotePrefix="1" applyNumberFormat="1" applyFont="1" applyFill="1" applyBorder="1" applyAlignment="1" applyProtection="1">
      <alignment horizontal="center" vertical="center"/>
    </xf>
    <xf numFmtId="3" fontId="9" fillId="37" borderId="36" xfId="0" quotePrefix="1" applyNumberFormat="1" applyFont="1" applyFill="1" applyBorder="1" applyAlignment="1" applyProtection="1">
      <alignment horizontal="center" vertical="center"/>
    </xf>
    <xf numFmtId="3" fontId="9" fillId="37" borderId="53" xfId="0" quotePrefix="1" applyNumberFormat="1" applyFont="1" applyFill="1" applyBorder="1" applyAlignment="1" applyProtection="1">
      <alignment horizontal="center" vertical="center"/>
    </xf>
    <xf numFmtId="3" fontId="9" fillId="37" borderId="19" xfId="0" quotePrefix="1" applyNumberFormat="1" applyFont="1" applyFill="1" applyBorder="1" applyAlignment="1" applyProtection="1">
      <alignment horizontal="center" vertical="center"/>
    </xf>
    <xf numFmtId="3" fontId="9" fillId="37" borderId="38" xfId="0" quotePrefix="1" applyNumberFormat="1" applyFont="1" applyFill="1" applyBorder="1" applyAlignment="1" applyProtection="1">
      <alignment horizontal="center" vertical="center"/>
    </xf>
    <xf numFmtId="3" fontId="9" fillId="37" borderId="56" xfId="0" quotePrefix="1" applyNumberFormat="1" applyFont="1" applyFill="1" applyBorder="1" applyAlignment="1" applyProtection="1">
      <alignment horizontal="center" vertical="center"/>
    </xf>
    <xf numFmtId="3" fontId="9" fillId="37" borderId="8" xfId="0" quotePrefix="1" applyNumberFormat="1" applyFont="1" applyFill="1" applyBorder="1" applyAlignment="1" applyProtection="1">
      <alignment horizontal="center" vertical="center"/>
    </xf>
    <xf numFmtId="3" fontId="9" fillId="37" borderId="37" xfId="0" quotePrefix="1" applyNumberFormat="1" applyFont="1" applyFill="1" applyBorder="1" applyAlignment="1" applyProtection="1">
      <alignment horizontal="center" vertical="center"/>
    </xf>
    <xf numFmtId="3" fontId="9" fillId="37" borderId="52" xfId="0" quotePrefix="1" applyNumberFormat="1" applyFont="1" applyFill="1" applyBorder="1" applyAlignment="1" applyProtection="1">
      <alignment horizontal="center" vertical="center"/>
    </xf>
    <xf numFmtId="3" fontId="9" fillId="37" borderId="9" xfId="0" quotePrefix="1" applyNumberFormat="1" applyFont="1" applyFill="1" applyBorder="1" applyAlignment="1" applyProtection="1">
      <alignment horizontal="center" vertical="center"/>
    </xf>
    <xf numFmtId="3" fontId="9" fillId="6" borderId="51" xfId="0" applyNumberFormat="1" applyFont="1" applyFill="1" applyBorder="1" applyAlignment="1" applyProtection="1">
      <alignment horizontal="center" vertical="center"/>
    </xf>
    <xf numFmtId="3" fontId="9" fillId="6" borderId="63" xfId="0" applyNumberFormat="1" applyFont="1" applyFill="1" applyBorder="1" applyAlignment="1" applyProtection="1">
      <alignment horizontal="center" vertical="center"/>
    </xf>
    <xf numFmtId="0" fontId="9" fillId="3" borderId="16" xfId="0" applyFont="1" applyFill="1" applyBorder="1" applyAlignment="1" applyProtection="1">
      <alignment horizontal="center" vertical="top" wrapText="1"/>
      <protection locked="0"/>
    </xf>
    <xf numFmtId="167" fontId="9" fillId="3" borderId="16" xfId="0" applyNumberFormat="1" applyFont="1" applyFill="1" applyBorder="1" applyAlignment="1" applyProtection="1">
      <alignment horizontal="center" vertical="top" wrapText="1"/>
      <protection locked="0"/>
    </xf>
    <xf numFmtId="0" fontId="9" fillId="3" borderId="148" xfId="0" applyFont="1" applyFill="1" applyBorder="1" applyAlignment="1" applyProtection="1">
      <alignment vertical="top" wrapText="1"/>
      <protection locked="0"/>
    </xf>
    <xf numFmtId="0" fontId="9" fillId="3" borderId="32" xfId="0" applyFont="1" applyFill="1" applyBorder="1" applyAlignment="1" applyProtection="1">
      <alignment vertical="top" wrapText="1"/>
      <protection locked="0"/>
    </xf>
    <xf numFmtId="3" fontId="9" fillId="0" borderId="51" xfId="0" applyNumberFormat="1" applyFont="1" applyBorder="1" applyAlignment="1" applyProtection="1">
      <alignment horizontal="center" vertical="center"/>
      <protection locked="0"/>
    </xf>
    <xf numFmtId="3" fontId="9" fillId="0" borderId="63" xfId="0" applyNumberFormat="1" applyFont="1" applyBorder="1" applyAlignment="1" applyProtection="1">
      <alignment horizontal="center" vertical="center"/>
      <protection locked="0"/>
    </xf>
    <xf numFmtId="3" fontId="9" fillId="41" borderId="26" xfId="0" applyNumberFormat="1" applyFont="1" applyFill="1" applyBorder="1" applyAlignment="1" applyProtection="1">
      <alignment horizontal="center" vertical="center"/>
      <protection locked="0"/>
    </xf>
    <xf numFmtId="3" fontId="9" fillId="41" borderId="41" xfId="0" applyNumberFormat="1" applyFont="1" applyFill="1" applyBorder="1" applyAlignment="1" applyProtection="1">
      <alignment horizontal="center" vertical="center"/>
      <protection locked="0"/>
    </xf>
    <xf numFmtId="3" fontId="9" fillId="41" borderId="22" xfId="0" applyNumberFormat="1" applyFont="1" applyFill="1" applyBorder="1" applyAlignment="1" applyProtection="1">
      <alignment horizontal="center" vertical="center"/>
      <protection locked="0"/>
    </xf>
    <xf numFmtId="3" fontId="9" fillId="41" borderId="23" xfId="0" applyNumberFormat="1" applyFont="1" applyFill="1" applyBorder="1" applyAlignment="1" applyProtection="1">
      <alignment horizontal="center" vertical="center"/>
      <protection locked="0"/>
    </xf>
    <xf numFmtId="3" fontId="9" fillId="41" borderId="44" xfId="0" applyNumberFormat="1" applyFont="1" applyFill="1" applyBorder="1" applyAlignment="1" applyProtection="1">
      <alignment horizontal="center" vertical="center"/>
      <protection locked="0"/>
    </xf>
    <xf numFmtId="3" fontId="9" fillId="41" borderId="25" xfId="0" applyNumberFormat="1" applyFont="1" applyFill="1" applyBorder="1" applyAlignment="1" applyProtection="1">
      <alignment horizontal="center" vertical="center"/>
      <protection locked="0"/>
    </xf>
    <xf numFmtId="167" fontId="9" fillId="0" borderId="6" xfId="0" applyNumberFormat="1" applyFont="1" applyBorder="1" applyAlignment="1" applyProtection="1">
      <alignment horizontal="center" vertical="center"/>
      <protection locked="0"/>
    </xf>
    <xf numFmtId="167" fontId="9" fillId="0" borderId="82" xfId="0" applyNumberFormat="1" applyFont="1" applyBorder="1" applyAlignment="1" applyProtection="1">
      <alignment horizontal="center" vertical="center"/>
      <protection locked="0"/>
    </xf>
    <xf numFmtId="167" fontId="9" fillId="0" borderId="147" xfId="0" applyNumberFormat="1" applyFont="1" applyBorder="1" applyAlignment="1" applyProtection="1">
      <alignment horizontal="center" vertical="center"/>
      <protection locked="0"/>
    </xf>
    <xf numFmtId="167" fontId="9" fillId="0" borderId="74" xfId="0" applyNumberFormat="1" applyFont="1" applyBorder="1" applyAlignment="1" applyProtection="1">
      <alignment horizontal="center" vertical="center"/>
      <protection locked="0"/>
    </xf>
    <xf numFmtId="3" fontId="29" fillId="6" borderId="20" xfId="0" applyNumberFormat="1" applyFont="1" applyFill="1" applyBorder="1" applyAlignment="1">
      <alignment horizontal="center" vertical="center"/>
    </xf>
    <xf numFmtId="3" fontId="29" fillId="6" borderId="89" xfId="0" applyNumberFormat="1" applyFont="1" applyFill="1" applyBorder="1" applyAlignment="1">
      <alignment horizontal="center" vertical="center"/>
    </xf>
    <xf numFmtId="0" fontId="10" fillId="5" borderId="5" xfId="0" applyFont="1" applyFill="1" applyBorder="1" applyAlignment="1" applyProtection="1">
      <alignment horizontal="center" vertical="top" wrapText="1"/>
    </xf>
    <xf numFmtId="0" fontId="29" fillId="6" borderId="97" xfId="0" applyFont="1" applyFill="1" applyBorder="1" applyAlignment="1" applyProtection="1">
      <alignment vertical="center"/>
    </xf>
    <xf numFmtId="0" fontId="29" fillId="6" borderId="93" xfId="0" applyFont="1" applyFill="1" applyBorder="1" applyAlignment="1" applyProtection="1">
      <alignment vertical="center"/>
    </xf>
    <xf numFmtId="0" fontId="29" fillId="6" borderId="91" xfId="0" applyFont="1" applyFill="1" applyBorder="1" applyAlignment="1" applyProtection="1">
      <alignment vertical="center"/>
    </xf>
    <xf numFmtId="0" fontId="29" fillId="6" borderId="95" xfId="0" applyFont="1" applyFill="1" applyBorder="1" applyAlignment="1" applyProtection="1">
      <alignment vertical="center"/>
    </xf>
    <xf numFmtId="0" fontId="29" fillId="6" borderId="151" xfId="0" applyFont="1" applyFill="1" applyBorder="1" applyAlignment="1" applyProtection="1">
      <alignment horizontal="center" wrapText="1"/>
    </xf>
    <xf numFmtId="3" fontId="9" fillId="6" borderId="145" xfId="0" applyNumberFormat="1" applyFont="1" applyFill="1" applyBorder="1" applyAlignment="1" applyProtection="1">
      <alignment horizontal="center" vertical="center"/>
    </xf>
    <xf numFmtId="3" fontId="9" fillId="41" borderId="39" xfId="0" applyNumberFormat="1" applyFont="1" applyFill="1" applyBorder="1" applyAlignment="1" applyProtection="1">
      <alignment horizontal="center" vertical="center"/>
      <protection locked="0"/>
    </xf>
    <xf numFmtId="3" fontId="9" fillId="41" borderId="2" xfId="0" applyNumberFormat="1" applyFont="1" applyFill="1" applyBorder="1" applyAlignment="1" applyProtection="1">
      <alignment horizontal="center" vertical="center"/>
      <protection locked="0"/>
    </xf>
    <xf numFmtId="3" fontId="9" fillId="41" borderId="1" xfId="0" applyNumberFormat="1" applyFont="1" applyFill="1" applyBorder="1" applyAlignment="1" applyProtection="1">
      <alignment horizontal="center" vertical="center"/>
      <protection locked="0"/>
    </xf>
    <xf numFmtId="0" fontId="9" fillId="5" borderId="19" xfId="0" applyFont="1" applyFill="1" applyBorder="1" applyAlignment="1" applyProtection="1">
      <alignment vertical="top" wrapText="1"/>
    </xf>
    <xf numFmtId="8" fontId="32" fillId="6" borderId="119" xfId="0" applyNumberFormat="1" applyFont="1" applyFill="1" applyBorder="1" applyAlignment="1">
      <alignment horizontal="center" vertical="center"/>
    </xf>
    <xf numFmtId="8" fontId="32" fillId="6" borderId="120" xfId="0" applyNumberFormat="1" applyFont="1" applyFill="1" applyBorder="1" applyAlignment="1">
      <alignment horizontal="center" vertical="center"/>
    </xf>
    <xf numFmtId="8" fontId="32" fillId="6" borderId="121" xfId="0" applyNumberFormat="1" applyFont="1" applyFill="1" applyBorder="1" applyAlignment="1">
      <alignment horizontal="center" vertical="center"/>
    </xf>
    <xf numFmtId="171" fontId="32" fillId="6" borderId="105" xfId="0" applyNumberFormat="1" applyFont="1" applyFill="1" applyBorder="1" applyAlignment="1">
      <alignment horizontal="center" vertical="center"/>
    </xf>
    <xf numFmtId="171" fontId="32" fillId="6" borderId="83" xfId="0" applyNumberFormat="1" applyFont="1" applyFill="1" applyBorder="1" applyAlignment="1">
      <alignment horizontal="center" vertical="center"/>
    </xf>
    <xf numFmtId="39" fontId="32" fillId="6" borderId="105" xfId="0" applyNumberFormat="1" applyFont="1" applyFill="1" applyBorder="1" applyAlignment="1">
      <alignment horizontal="center" vertical="center"/>
    </xf>
    <xf numFmtId="39" fontId="32" fillId="6" borderId="83" xfId="0" applyNumberFormat="1" applyFont="1" applyFill="1" applyBorder="1" applyAlignment="1">
      <alignment horizontal="center" vertical="center"/>
    </xf>
    <xf numFmtId="39" fontId="32" fillId="6" borderId="106" xfId="0" applyNumberFormat="1" applyFont="1" applyFill="1" applyBorder="1" applyAlignment="1">
      <alignment horizontal="center" vertical="center"/>
    </xf>
    <xf numFmtId="173" fontId="32" fillId="6" borderId="152" xfId="0" applyNumberFormat="1" applyFont="1" applyFill="1" applyBorder="1" applyAlignment="1">
      <alignment horizontal="center" vertical="center"/>
    </xf>
    <xf numFmtId="173" fontId="32" fillId="6" borderId="83" xfId="0" applyNumberFormat="1" applyFont="1" applyFill="1" applyBorder="1" applyAlignment="1">
      <alignment horizontal="center" vertical="center"/>
    </xf>
    <xf numFmtId="173" fontId="32" fillId="6" borderId="153" xfId="0" applyNumberFormat="1" applyFont="1" applyFill="1" applyBorder="1" applyAlignment="1">
      <alignment horizontal="center" vertical="center"/>
    </xf>
    <xf numFmtId="173" fontId="32" fillId="6" borderId="106" xfId="0" applyNumberFormat="1" applyFont="1" applyFill="1" applyBorder="1" applyAlignment="1">
      <alignment horizontal="center" vertical="center"/>
    </xf>
    <xf numFmtId="173" fontId="32" fillId="6" borderId="154" xfId="0" applyNumberFormat="1" applyFont="1" applyFill="1" applyBorder="1" applyAlignment="1">
      <alignment horizontal="center" vertical="center"/>
    </xf>
    <xf numFmtId="173" fontId="32" fillId="6" borderId="105" xfId="0" applyNumberFormat="1" applyFont="1" applyFill="1" applyBorder="1" applyAlignment="1">
      <alignment horizontal="center" vertical="center"/>
    </xf>
    <xf numFmtId="7" fontId="32" fillId="6" borderId="120" xfId="0" applyNumberFormat="1" applyFont="1" applyFill="1" applyBorder="1" applyAlignment="1">
      <alignment horizontal="center" vertical="center"/>
    </xf>
    <xf numFmtId="7" fontId="32" fillId="6" borderId="121" xfId="0" applyNumberFormat="1" applyFont="1" applyFill="1" applyBorder="1" applyAlignment="1">
      <alignment horizontal="center" vertical="center"/>
    </xf>
    <xf numFmtId="7" fontId="31" fillId="6" borderId="113" xfId="0" applyNumberFormat="1" applyFont="1" applyFill="1" applyBorder="1" applyAlignment="1">
      <alignment horizontal="center" vertical="center"/>
    </xf>
    <xf numFmtId="7" fontId="31" fillId="6" borderId="114" xfId="0" applyNumberFormat="1" applyFont="1" applyFill="1" applyBorder="1" applyAlignment="1">
      <alignment horizontal="center" vertical="center"/>
    </xf>
    <xf numFmtId="37" fontId="32" fillId="6" borderId="112" xfId="0" applyNumberFormat="1" applyFont="1" applyFill="1" applyBorder="1" applyAlignment="1">
      <alignment horizontal="center" vertical="center"/>
    </xf>
    <xf numFmtId="7" fontId="31" fillId="6" borderId="114" xfId="0" applyNumberFormat="1" applyFont="1" applyFill="1" applyBorder="1" applyAlignment="1">
      <alignment horizontal="center" vertical="center" wrapText="1"/>
    </xf>
    <xf numFmtId="172" fontId="32" fillId="6" borderId="83" xfId="0" applyNumberFormat="1" applyFont="1" applyFill="1" applyBorder="1" applyAlignment="1">
      <alignment horizontal="center" vertical="center"/>
    </xf>
    <xf numFmtId="7" fontId="31" fillId="6" borderId="123" xfId="0" applyNumberFormat="1" applyFont="1" applyFill="1" applyBorder="1" applyAlignment="1">
      <alignment horizontal="center" vertical="center"/>
    </xf>
    <xf numFmtId="7" fontId="31" fillId="6" borderId="123" xfId="0" applyNumberFormat="1" applyFont="1" applyFill="1" applyBorder="1" applyAlignment="1">
      <alignment horizontal="center" vertical="center" wrapText="1"/>
    </xf>
    <xf numFmtId="172" fontId="32" fillId="6" borderId="105" xfId="0" applyNumberFormat="1" applyFont="1" applyFill="1" applyBorder="1" applyAlignment="1">
      <alignment horizontal="center" vertical="center"/>
    </xf>
    <xf numFmtId="172" fontId="32" fillId="6" borderId="152" xfId="0" applyNumberFormat="1" applyFont="1" applyFill="1" applyBorder="1" applyAlignment="1">
      <alignment horizontal="center" vertical="center"/>
    </xf>
    <xf numFmtId="172" fontId="32" fillId="6" borderId="106" xfId="0" applyNumberFormat="1" applyFont="1" applyFill="1" applyBorder="1" applyAlignment="1">
      <alignment horizontal="center" vertical="center"/>
    </xf>
    <xf numFmtId="172" fontId="32" fillId="6" borderId="120" xfId="0" applyNumberFormat="1" applyFont="1" applyFill="1" applyBorder="1" applyAlignment="1">
      <alignment horizontal="center" vertical="center"/>
    </xf>
    <xf numFmtId="39" fontId="32" fillId="37" borderId="132" xfId="0" applyNumberFormat="1" applyFont="1" applyFill="1" applyBorder="1" applyAlignment="1">
      <alignment horizontal="center" vertical="center"/>
    </xf>
    <xf numFmtId="8" fontId="32" fillId="37" borderId="132" xfId="0" applyNumberFormat="1" applyFont="1" applyFill="1" applyBorder="1" applyAlignment="1">
      <alignment horizontal="center" vertical="center"/>
    </xf>
    <xf numFmtId="39" fontId="32" fillId="37" borderId="0" xfId="0" applyNumberFormat="1" applyFont="1" applyFill="1" applyAlignment="1">
      <alignment horizontal="center" vertical="center"/>
    </xf>
    <xf numFmtId="8" fontId="32" fillId="37" borderId="0" xfId="0" applyNumberFormat="1" applyFont="1" applyFill="1" applyAlignment="1">
      <alignment horizontal="center" vertical="center"/>
    </xf>
    <xf numFmtId="39" fontId="32" fillId="37" borderId="55" xfId="0" applyNumberFormat="1" applyFont="1" applyFill="1" applyBorder="1" applyAlignment="1">
      <alignment horizontal="center" vertical="center"/>
    </xf>
    <xf numFmtId="8" fontId="32" fillId="37" borderId="55" xfId="0" applyNumberFormat="1" applyFont="1" applyFill="1" applyBorder="1" applyAlignment="1">
      <alignment horizontal="center" vertical="center"/>
    </xf>
    <xf numFmtId="172" fontId="32" fillId="37" borderId="132" xfId="0" applyNumberFormat="1" applyFont="1" applyFill="1" applyBorder="1" applyAlignment="1">
      <alignment horizontal="center" vertical="center"/>
    </xf>
    <xf numFmtId="172" fontId="32" fillId="37" borderId="0" xfId="0" applyNumberFormat="1" applyFont="1" applyFill="1" applyAlignment="1">
      <alignment horizontal="center" vertical="center"/>
    </xf>
    <xf numFmtId="172" fontId="32" fillId="37" borderId="55" xfId="0" applyNumberFormat="1" applyFont="1" applyFill="1" applyBorder="1" applyAlignment="1">
      <alignment horizontal="center" vertical="center"/>
    </xf>
    <xf numFmtId="174" fontId="32" fillId="6" borderId="105" xfId="0" applyNumberFormat="1" applyFont="1" applyFill="1" applyBorder="1" applyAlignment="1">
      <alignment horizontal="center" vertical="center"/>
    </xf>
    <xf numFmtId="6" fontId="32" fillId="6" borderId="119" xfId="0" applyNumberFormat="1" applyFont="1" applyFill="1" applyBorder="1" applyAlignment="1">
      <alignment horizontal="center" vertical="center"/>
    </xf>
    <xf numFmtId="174" fontId="32" fillId="6" borderId="83" xfId="0" applyNumberFormat="1" applyFont="1" applyFill="1" applyBorder="1" applyAlignment="1">
      <alignment horizontal="center" vertical="center"/>
    </xf>
    <xf numFmtId="6" fontId="32" fillId="6" borderId="120" xfId="0" applyNumberFormat="1" applyFont="1" applyFill="1" applyBorder="1" applyAlignment="1">
      <alignment horizontal="center" vertical="center"/>
    </xf>
    <xf numFmtId="0" fontId="3" fillId="0" borderId="0" xfId="0" applyFont="1"/>
    <xf numFmtId="0" fontId="0" fillId="0" borderId="0" xfId="0"/>
    <xf numFmtId="0" fontId="6" fillId="0" borderId="0" xfId="0" applyFont="1"/>
    <xf numFmtId="0" fontId="9" fillId="0" borderId="48" xfId="0" applyFont="1" applyBorder="1"/>
    <xf numFmtId="0" fontId="10" fillId="0" borderId="48" xfId="0" applyFont="1" applyBorder="1"/>
    <xf numFmtId="0" fontId="10" fillId="0" borderId="0" xfId="0" applyFont="1"/>
    <xf numFmtId="0" fontId="10" fillId="0" borderId="18" xfId="0" applyFont="1" applyBorder="1"/>
    <xf numFmtId="0" fontId="9" fillId="0" borderId="0" xfId="0" applyFont="1"/>
    <xf numFmtId="0" fontId="48" fillId="0" borderId="0" xfId="0" applyFont="1"/>
    <xf numFmtId="0" fontId="9" fillId="0" borderId="4" xfId="0" applyFont="1" applyBorder="1" applyAlignment="1">
      <alignment horizontal="left"/>
    </xf>
    <xf numFmtId="0" fontId="9" fillId="0" borderId="0" xfId="0" applyFont="1" applyAlignment="1">
      <alignment horizontal="center"/>
    </xf>
    <xf numFmtId="0" fontId="9" fillId="0" borderId="18" xfId="0" applyFont="1" applyBorder="1" applyAlignment="1">
      <alignment horizontal="center"/>
    </xf>
    <xf numFmtId="0" fontId="10" fillId="5" borderId="17" xfId="0" applyFont="1" applyFill="1" applyBorder="1"/>
    <xf numFmtId="0" fontId="10" fillId="5" borderId="17" xfId="0" applyFont="1" applyFill="1" applyBorder="1" applyAlignment="1">
      <alignment horizontal="center"/>
    </xf>
    <xf numFmtId="0" fontId="9" fillId="5" borderId="10" xfId="0" applyFont="1" applyFill="1" applyBorder="1" applyAlignment="1">
      <alignment horizontal="center"/>
    </xf>
    <xf numFmtId="3" fontId="9" fillId="5" borderId="10" xfId="0" applyNumberFormat="1" applyFont="1" applyFill="1" applyBorder="1" applyAlignment="1" applyProtection="1">
      <alignment horizontal="center"/>
      <protection locked="0"/>
    </xf>
    <xf numFmtId="0" fontId="9" fillId="5" borderId="8" xfId="0" applyFont="1" applyFill="1" applyBorder="1" applyAlignment="1">
      <alignment horizontal="center"/>
    </xf>
    <xf numFmtId="166" fontId="9" fillId="5" borderId="8" xfId="0" applyNumberFormat="1" applyFont="1" applyFill="1" applyBorder="1" applyAlignment="1" applyProtection="1">
      <alignment horizontal="center"/>
      <protection locked="0"/>
    </xf>
    <xf numFmtId="0" fontId="9" fillId="5" borderId="9" xfId="0" applyFont="1" applyFill="1" applyBorder="1" applyAlignment="1">
      <alignment horizontal="center"/>
    </xf>
    <xf numFmtId="3" fontId="9" fillId="5" borderId="9" xfId="0" applyNumberFormat="1" applyFont="1" applyFill="1" applyBorder="1" applyAlignment="1" applyProtection="1">
      <alignment horizontal="center"/>
    </xf>
    <xf numFmtId="0" fontId="9" fillId="0" borderId="48" xfId="0" applyFont="1" applyBorder="1" applyAlignment="1">
      <alignment horizontal="left"/>
    </xf>
    <xf numFmtId="0" fontId="9" fillId="0" borderId="0" xfId="0" applyFont="1" applyAlignment="1">
      <alignment horizontal="left"/>
    </xf>
    <xf numFmtId="0" fontId="9" fillId="0" borderId="18" xfId="0" quotePrefix="1" applyNumberFormat="1" applyFont="1" applyFill="1" applyBorder="1" applyAlignment="1" applyProtection="1">
      <alignment horizontal="center"/>
    </xf>
    <xf numFmtId="0" fontId="9" fillId="0" borderId="29" xfId="0" applyFont="1" applyBorder="1" applyAlignment="1">
      <alignment horizontal="left"/>
    </xf>
    <xf numFmtId="0" fontId="9" fillId="0" borderId="4" xfId="0" applyFont="1" applyBorder="1" applyAlignment="1">
      <alignment horizontal="center"/>
    </xf>
    <xf numFmtId="3" fontId="9" fillId="5" borderId="10" xfId="0" applyNumberFormat="1" applyFont="1" applyFill="1" applyBorder="1" applyAlignment="1" applyProtection="1">
      <alignment horizontal="center"/>
      <protection locked="0"/>
    </xf>
    <xf numFmtId="3" fontId="9" fillId="38" borderId="8" xfId="0" applyNumberFormat="1" applyFont="1" applyFill="1" applyBorder="1" applyAlignment="1" applyProtection="1">
      <alignment horizontal="center"/>
      <protection locked="0"/>
    </xf>
    <xf numFmtId="3" fontId="9" fillId="5" borderId="9" xfId="0" applyNumberFormat="1" applyFont="1" applyFill="1" applyBorder="1" applyAlignment="1" applyProtection="1">
      <alignment horizontal="center"/>
    </xf>
    <xf numFmtId="0" fontId="10" fillId="5" borderId="11" xfId="0" applyFont="1" applyFill="1" applyBorder="1" applyAlignment="1">
      <alignment horizontal="center"/>
    </xf>
    <xf numFmtId="0" fontId="10" fillId="0" borderId="29" xfId="0" applyFont="1" applyBorder="1"/>
    <xf numFmtId="0" fontId="9" fillId="5" borderId="54" xfId="0" applyFont="1" applyFill="1" applyBorder="1" applyAlignment="1">
      <alignment horizontal="center"/>
    </xf>
    <xf numFmtId="0" fontId="9" fillId="37" borderId="19" xfId="0" quotePrefix="1" applyFont="1" applyFill="1" applyBorder="1" applyAlignment="1">
      <alignment horizontal="center"/>
    </xf>
    <xf numFmtId="0" fontId="9" fillId="5" borderId="7" xfId="0" applyFont="1" applyFill="1" applyBorder="1" applyAlignment="1">
      <alignment horizontal="center"/>
    </xf>
    <xf numFmtId="3" fontId="9" fillId="5" borderId="8" xfId="0" applyNumberFormat="1" applyFont="1" applyFill="1" applyBorder="1" applyAlignment="1" applyProtection="1">
      <alignment horizontal="center"/>
      <protection locked="0"/>
    </xf>
    <xf numFmtId="10" fontId="9" fillId="5" borderId="8" xfId="0" applyNumberFormat="1" applyFont="1" applyFill="1" applyBorder="1" applyAlignment="1" applyProtection="1">
      <alignment horizontal="center"/>
    </xf>
    <xf numFmtId="0" fontId="9" fillId="37" borderId="8" xfId="0" quotePrefix="1" applyFont="1" applyFill="1" applyBorder="1" applyAlignment="1">
      <alignment horizontal="center"/>
    </xf>
    <xf numFmtId="2" fontId="9" fillId="5" borderId="8" xfId="0" applyNumberFormat="1" applyFont="1" applyFill="1" applyBorder="1" applyAlignment="1" applyProtection="1">
      <alignment horizontal="center"/>
    </xf>
    <xf numFmtId="0" fontId="9" fillId="5" borderId="149" xfId="0" applyFont="1" applyFill="1" applyBorder="1" applyAlignment="1">
      <alignment horizontal="center"/>
    </xf>
    <xf numFmtId="2" fontId="9" fillId="5" borderId="148" xfId="0" applyNumberFormat="1" applyFont="1" applyFill="1" applyBorder="1" applyAlignment="1" applyProtection="1">
      <alignment horizontal="center"/>
    </xf>
    <xf numFmtId="0" fontId="9" fillId="5" borderId="31" xfId="0" applyFont="1" applyFill="1" applyBorder="1" applyAlignment="1">
      <alignment horizontal="center"/>
    </xf>
    <xf numFmtId="0" fontId="9" fillId="5" borderId="9" xfId="0" applyNumberFormat="1" applyFont="1" applyFill="1" applyBorder="1" applyAlignment="1" applyProtection="1">
      <alignment horizontal="center"/>
    </xf>
    <xf numFmtId="0" fontId="9" fillId="0" borderId="18" xfId="0" applyFont="1" applyBorder="1"/>
    <xf numFmtId="0" fontId="9" fillId="0" borderId="29" xfId="0" applyFont="1" applyBorder="1"/>
    <xf numFmtId="0" fontId="9" fillId="5" borderId="19" xfId="0" applyFont="1" applyFill="1" applyBorder="1" applyAlignment="1">
      <alignment horizontal="center"/>
    </xf>
    <xf numFmtId="0" fontId="9" fillId="0" borderId="19" xfId="0" applyFont="1" applyBorder="1" applyAlignment="1" applyProtection="1">
      <alignment horizontal="center"/>
      <protection locked="0"/>
    </xf>
    <xf numFmtId="3" fontId="9" fillId="0" borderId="0" xfId="0" applyNumberFormat="1" applyFont="1"/>
    <xf numFmtId="10" fontId="9" fillId="5" borderId="9" xfId="0" applyNumberFormat="1" applyFont="1" applyFill="1" applyBorder="1" applyAlignment="1" applyProtection="1">
      <alignment horizontal="center"/>
    </xf>
    <xf numFmtId="0" fontId="10" fillId="5" borderId="17" xfId="0" applyNumberFormat="1" applyFont="1" applyFill="1" applyBorder="1" applyAlignment="1" applyProtection="1">
      <alignment horizontal="center"/>
    </xf>
    <xf numFmtId="0" fontId="9" fillId="0" borderId="48" xfId="0" applyNumberFormat="1" applyFont="1" applyFill="1" applyBorder="1" applyAlignment="1" applyProtection="1">
      <alignment horizontal="center"/>
    </xf>
    <xf numFmtId="0" fontId="10" fillId="5" borderId="3" xfId="0" applyFont="1" applyFill="1" applyBorder="1"/>
    <xf numFmtId="3" fontId="9" fillId="5" borderId="10" xfId="0" applyNumberFormat="1" applyFont="1" applyFill="1" applyBorder="1" applyAlignment="1" applyProtection="1">
      <alignment horizontal="center"/>
      <protection locked="0"/>
    </xf>
    <xf numFmtId="3" fontId="9" fillId="0" borderId="8" xfId="0" applyNumberFormat="1" applyFont="1" applyBorder="1" applyAlignment="1" applyProtection="1">
      <alignment horizontal="center"/>
      <protection locked="0"/>
    </xf>
    <xf numFmtId="0" fontId="9" fillId="5" borderId="30" xfId="0" applyFont="1" applyFill="1" applyBorder="1" applyAlignment="1">
      <alignment horizontal="center"/>
    </xf>
    <xf numFmtId="3" fontId="9" fillId="5" borderId="9" xfId="0" applyNumberFormat="1" applyFont="1" applyFill="1" applyBorder="1" applyAlignment="1" applyProtection="1">
      <alignment horizontal="center"/>
    </xf>
    <xf numFmtId="0" fontId="9" fillId="0" borderId="50" xfId="0" applyFont="1" applyBorder="1" applyAlignment="1">
      <alignment horizontal="center"/>
    </xf>
    <xf numFmtId="0" fontId="9" fillId="0" borderId="48" xfId="0" applyFont="1" applyBorder="1" applyAlignment="1">
      <alignment horizontal="center"/>
    </xf>
    <xf numFmtId="0" fontId="9" fillId="0" borderId="45" xfId="0" applyFont="1" applyBorder="1" applyAlignment="1">
      <alignment horizontal="center"/>
    </xf>
    <xf numFmtId="0" fontId="9" fillId="0" borderId="28" xfId="0" applyFont="1" applyBorder="1" applyAlignment="1">
      <alignment horizontal="center"/>
    </xf>
    <xf numFmtId="0" fontId="7" fillId="5" borderId="51" xfId="0" applyFont="1" applyFill="1" applyBorder="1" applyAlignment="1">
      <alignment horizontal="center"/>
    </xf>
    <xf numFmtId="166" fontId="53" fillId="0" borderId="0" xfId="0" applyNumberFormat="1" applyFont="1" applyAlignment="1">
      <alignment vertical="center"/>
    </xf>
    <xf numFmtId="0" fontId="53" fillId="0" borderId="0" xfId="0" applyFont="1" applyAlignment="1">
      <alignment vertical="center"/>
    </xf>
    <xf numFmtId="0" fontId="53" fillId="0" borderId="0" xfId="0" applyFont="1"/>
    <xf numFmtId="3" fontId="53" fillId="0" borderId="0" xfId="0" applyNumberFormat="1" applyFont="1" applyAlignment="1">
      <alignment vertical="center"/>
    </xf>
    <xf numFmtId="2" fontId="53" fillId="0" borderId="0" xfId="0" applyNumberFormat="1" applyFont="1" applyAlignment="1">
      <alignment vertical="center"/>
    </xf>
    <xf numFmtId="168" fontId="53" fillId="0" borderId="0" xfId="0" applyNumberFormat="1" applyFont="1" applyAlignment="1">
      <alignment vertical="center"/>
    </xf>
    <xf numFmtId="0" fontId="9" fillId="0" borderId="0" xfId="0" applyFont="1" applyAlignment="1">
      <alignment horizontal="left" vertical="top"/>
    </xf>
    <xf numFmtId="0" fontId="9" fillId="0" borderId="0" xfId="0" applyFont="1" applyAlignment="1">
      <alignment horizontal="center" vertical="top"/>
    </xf>
    <xf numFmtId="0" fontId="7" fillId="0" borderId="0" xfId="0" applyFont="1" applyAlignment="1">
      <alignment vertical="top"/>
    </xf>
    <xf numFmtId="0" fontId="10" fillId="0" borderId="0" xfId="0" applyFont="1" applyAlignment="1">
      <alignment vertical="top"/>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0" borderId="0" xfId="0" applyFont="1" applyAlignment="1">
      <alignment horizontal="center" vertical="top"/>
    </xf>
    <xf numFmtId="0" fontId="10" fillId="0" borderId="3" xfId="0" applyFont="1" applyBorder="1" applyAlignment="1">
      <alignment vertical="top"/>
    </xf>
    <xf numFmtId="0" fontId="10" fillId="0" borderId="4" xfId="0" applyFont="1" applyBorder="1" applyAlignment="1">
      <alignment vertical="top"/>
    </xf>
    <xf numFmtId="0" fontId="10" fillId="0" borderId="5" xfId="0" applyFont="1" applyBorder="1" applyAlignment="1">
      <alignment vertical="top"/>
    </xf>
    <xf numFmtId="0" fontId="10" fillId="5" borderId="6" xfId="0" applyFont="1" applyFill="1" applyBorder="1" applyAlignment="1">
      <alignment vertical="top" wrapText="1"/>
    </xf>
    <xf numFmtId="0" fontId="10" fillId="5" borderId="47" xfId="0" applyFont="1" applyFill="1" applyBorder="1" applyAlignment="1">
      <alignment horizontal="right" vertical="top" wrapText="1"/>
    </xf>
    <xf numFmtId="0" fontId="10" fillId="0" borderId="41" xfId="0" applyFont="1" applyBorder="1" applyAlignment="1" applyProtection="1">
      <alignment horizontal="center" vertical="top" wrapText="1"/>
      <protection locked="0"/>
    </xf>
    <xf numFmtId="0" fontId="10" fillId="0" borderId="0" xfId="0" applyFont="1" applyAlignment="1">
      <alignment vertical="top" wrapText="1"/>
    </xf>
    <xf numFmtId="3" fontId="9" fillId="0" borderId="20" xfId="0" applyNumberFormat="1" applyFont="1" applyFill="1" applyBorder="1" applyAlignment="1" applyProtection="1">
      <alignment horizontal="center" vertical="top" wrapText="1"/>
      <protection locked="0"/>
    </xf>
    <xf numFmtId="3" fontId="9" fillId="0" borderId="0" xfId="0" quotePrefix="1" applyNumberFormat="1" applyFont="1" applyFill="1" applyBorder="1" applyAlignment="1" applyProtection="1">
      <alignment vertical="top" wrapText="1"/>
    </xf>
    <xf numFmtId="3" fontId="9" fillId="0" borderId="89" xfId="0" applyNumberFormat="1" applyFont="1" applyFill="1" applyBorder="1" applyAlignment="1" applyProtection="1">
      <alignment horizontal="center" vertical="top" wrapText="1"/>
      <protection locked="0"/>
    </xf>
    <xf numFmtId="0" fontId="10" fillId="0" borderId="27" xfId="0" applyFont="1" applyBorder="1" applyAlignment="1">
      <alignment horizontal="center" vertical="top" wrapText="1"/>
    </xf>
    <xf numFmtId="0" fontId="10" fillId="0" borderId="0" xfId="0" applyFont="1" applyAlignment="1">
      <alignment horizontal="center" vertical="top" wrapText="1"/>
    </xf>
    <xf numFmtId="0" fontId="10" fillId="0" borderId="18" xfId="0" applyFont="1" applyBorder="1" applyAlignment="1">
      <alignment horizontal="center" vertical="top" wrapText="1"/>
    </xf>
    <xf numFmtId="0" fontId="10" fillId="0" borderId="0" xfId="0" applyFont="1" applyAlignment="1" applyProtection="1">
      <alignment vertical="top" wrapText="1"/>
      <protection locked="0"/>
    </xf>
    <xf numFmtId="0" fontId="9" fillId="0" borderId="0" xfId="0" applyFont="1" applyProtection="1">
      <protection locked="0"/>
    </xf>
    <xf numFmtId="0" fontId="9" fillId="0" borderId="0" xfId="0" applyFont="1" applyAlignment="1">
      <alignment wrapText="1"/>
    </xf>
    <xf numFmtId="0" fontId="10" fillId="5" borderId="17" xfId="0" applyFont="1" applyFill="1" applyBorder="1" applyAlignment="1">
      <alignment horizontal="center" vertical="top"/>
    </xf>
    <xf numFmtId="0" fontId="10" fillId="5" borderId="6" xfId="0" applyFont="1" applyFill="1" applyBorder="1"/>
    <xf numFmtId="0" fontId="10" fillId="5" borderId="26" xfId="0" applyFont="1" applyFill="1" applyBorder="1" applyAlignment="1">
      <alignment horizontal="right"/>
    </xf>
    <xf numFmtId="0" fontId="10" fillId="0" borderId="41" xfId="0" applyFont="1" applyBorder="1" applyAlignment="1" applyProtection="1">
      <alignment horizontal="center"/>
      <protection locked="0"/>
    </xf>
    <xf numFmtId="3" fontId="9" fillId="3" borderId="23" xfId="0" applyNumberFormat="1" applyFont="1" applyFill="1" applyBorder="1" applyAlignment="1" applyProtection="1">
      <alignment horizontal="center" vertical="top" wrapText="1"/>
      <protection locked="0"/>
    </xf>
    <xf numFmtId="3" fontId="9" fillId="0" borderId="0" xfId="0" applyNumberFormat="1" applyFont="1" applyFill="1" applyBorder="1" applyAlignment="1" applyProtection="1">
      <alignment horizontal="center" vertical="top" wrapText="1"/>
    </xf>
    <xf numFmtId="168" fontId="9" fillId="0" borderId="0" xfId="0" applyNumberFormat="1" applyFont="1" applyFill="1" applyBorder="1" applyAlignment="1" applyProtection="1">
      <alignment horizontal="center" vertical="top" wrapText="1"/>
    </xf>
    <xf numFmtId="3" fontId="9" fillId="0" borderId="23" xfId="0" applyNumberFormat="1" applyFont="1" applyFill="1" applyBorder="1" applyAlignment="1" applyProtection="1">
      <alignment horizontal="center" vertical="top" wrapText="1"/>
      <protection locked="0"/>
    </xf>
    <xf numFmtId="166" fontId="9" fillId="3" borderId="23" xfId="0" applyNumberFormat="1" applyFont="1" applyFill="1" applyBorder="1" applyAlignment="1" applyProtection="1">
      <alignment horizontal="center" vertical="top" wrapText="1"/>
      <protection locked="0"/>
    </xf>
    <xf numFmtId="3" fontId="9" fillId="0" borderId="0" xfId="0" quotePrefix="1" applyNumberFormat="1" applyFont="1" applyFill="1" applyBorder="1" applyAlignment="1" applyProtection="1">
      <alignment horizontal="center" vertical="top" wrapText="1"/>
    </xf>
    <xf numFmtId="168" fontId="9" fillId="0" borderId="0" xfId="0" quotePrefix="1" applyNumberFormat="1" applyFont="1" applyFill="1" applyBorder="1" applyAlignment="1" applyProtection="1">
      <alignment horizontal="center" vertical="top" wrapText="1"/>
    </xf>
    <xf numFmtId="3" fontId="9" fillId="0" borderId="23" xfId="0" applyNumberFormat="1" applyFont="1" applyBorder="1" applyAlignment="1" applyProtection="1">
      <alignment horizontal="center" vertical="top" wrapText="1"/>
      <protection locked="0"/>
    </xf>
    <xf numFmtId="3" fontId="9" fillId="0" borderId="25" xfId="0" applyNumberFormat="1" applyFont="1" applyBorder="1" applyAlignment="1" applyProtection="1">
      <alignment horizontal="center" vertical="top" wrapText="1"/>
      <protection locked="0"/>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horizontal="center"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0" fontId="10" fillId="0" borderId="14" xfId="0" applyFont="1" applyBorder="1" applyAlignment="1">
      <alignment horizontal="center" vertical="top" wrapText="1"/>
    </xf>
    <xf numFmtId="0" fontId="10" fillId="0" borderId="28" xfId="0" applyFont="1" applyBorder="1" applyAlignment="1">
      <alignment horizontal="left" vertical="top" wrapText="1"/>
    </xf>
    <xf numFmtId="0" fontId="10" fillId="0" borderId="29" xfId="0" applyFont="1" applyBorder="1" applyAlignment="1">
      <alignment horizontal="left" vertical="top" wrapText="1"/>
    </xf>
    <xf numFmtId="3" fontId="9" fillId="0" borderId="14" xfId="0" applyNumberFormat="1" applyFont="1" applyBorder="1" applyAlignment="1">
      <alignment horizontal="center" vertical="top" wrapText="1"/>
    </xf>
    <xf numFmtId="3" fontId="9" fillId="0" borderId="0" xfId="0" applyNumberFormat="1" applyFont="1" applyAlignment="1">
      <alignment horizontal="center" vertical="top" wrapText="1"/>
    </xf>
    <xf numFmtId="0" fontId="10" fillId="0" borderId="5" xfId="0" applyFont="1" applyBorder="1" applyAlignment="1">
      <alignment horizontal="center" vertical="top"/>
    </xf>
    <xf numFmtId="0" fontId="10" fillId="0" borderId="27" xfId="0" applyFont="1" applyBorder="1" applyAlignment="1">
      <alignment vertical="top" wrapText="1"/>
    </xf>
    <xf numFmtId="0" fontId="7" fillId="0" borderId="0" xfId="0" applyFont="1" applyAlignment="1">
      <alignment vertical="top" wrapText="1"/>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52" fillId="0" borderId="0" xfId="0" applyFont="1" applyAlignment="1">
      <alignment wrapText="1"/>
    </xf>
    <xf numFmtId="0" fontId="52" fillId="0" borderId="0" xfId="0" quotePrefix="1" applyFont="1" applyAlignment="1">
      <alignment wrapText="1"/>
    </xf>
    <xf numFmtId="0" fontId="10" fillId="5" borderId="39" xfId="0" applyFont="1" applyFill="1" applyBorder="1" applyAlignment="1" applyProtection="1">
      <alignment horizontal="left" vertical="center" indent="1"/>
    </xf>
    <xf numFmtId="10" fontId="10" fillId="5" borderId="26" xfId="0" quotePrefix="1" applyNumberFormat="1" applyFont="1" applyFill="1" applyBorder="1" applyAlignment="1" applyProtection="1">
      <alignment horizontal="center" vertical="center"/>
    </xf>
    <xf numFmtId="0" fontId="10" fillId="5" borderId="36" xfId="0" applyFont="1" applyFill="1" applyBorder="1" applyAlignment="1" applyProtection="1">
      <alignment horizontal="center" vertical="center"/>
    </xf>
    <xf numFmtId="0" fontId="10" fillId="5" borderId="36" xfId="0" applyFont="1" applyFill="1" applyBorder="1" applyAlignment="1" applyProtection="1">
      <alignment vertical="center"/>
    </xf>
    <xf numFmtId="10" fontId="10" fillId="5" borderId="22" xfId="0" quotePrefix="1" applyNumberFormat="1" applyFont="1" applyFill="1" applyBorder="1" applyAlignment="1" applyProtection="1">
      <alignment horizontal="center" vertical="center"/>
    </xf>
    <xf numFmtId="0" fontId="10" fillId="5" borderId="23" xfId="0" applyFont="1" applyFill="1" applyBorder="1" applyAlignment="1" applyProtection="1">
      <alignment vertical="center" wrapText="1"/>
    </xf>
    <xf numFmtId="0" fontId="10" fillId="5" borderId="1" xfId="0" applyFont="1" applyFill="1" applyBorder="1" applyAlignment="1" applyProtection="1">
      <alignment horizontal="left" vertical="center" indent="1"/>
    </xf>
    <xf numFmtId="10" fontId="10" fillId="5" borderId="44" xfId="0" quotePrefix="1" applyNumberFormat="1" applyFont="1" applyFill="1" applyBorder="1" applyAlignment="1" applyProtection="1">
      <alignment horizontal="center" vertical="center"/>
    </xf>
    <xf numFmtId="0" fontId="10" fillId="40" borderId="37" xfId="0" applyFont="1" applyFill="1" applyBorder="1" applyAlignment="1" applyProtection="1">
      <alignment horizontal="center" vertical="center"/>
      <protection locked="0"/>
    </xf>
    <xf numFmtId="0" fontId="10" fillId="5" borderId="37" xfId="0" applyFont="1" applyFill="1" applyBorder="1" applyAlignment="1" applyProtection="1">
      <alignment vertical="center"/>
    </xf>
    <xf numFmtId="0" fontId="10" fillId="5" borderId="25" xfId="0" applyFont="1" applyFill="1" applyBorder="1" applyAlignment="1" applyProtection="1">
      <alignment vertical="center" wrapText="1"/>
    </xf>
    <xf numFmtId="0" fontId="7" fillId="0" borderId="0" xfId="0" quotePrefix="1" applyFont="1" applyFill="1" applyBorder="1" applyProtection="1"/>
    <xf numFmtId="0" fontId="0" fillId="0" borderId="0" xfId="0" applyFont="1" applyAlignment="1" applyProtection="1">
      <alignment vertical="center"/>
    </xf>
    <xf numFmtId="0" fontId="46" fillId="0" borderId="140" xfId="0" applyFont="1" applyBorder="1" applyAlignment="1" applyProtection="1">
      <alignment vertical="center"/>
    </xf>
    <xf numFmtId="0" fontId="46" fillId="0" borderId="140" xfId="0" applyFont="1" applyBorder="1" applyAlignment="1" applyProtection="1">
      <alignment horizontal="center" vertical="center"/>
    </xf>
    <xf numFmtId="0" fontId="46" fillId="0" borderId="0" xfId="0" applyFont="1" applyAlignment="1" applyProtection="1">
      <alignment vertical="center"/>
    </xf>
    <xf numFmtId="0" fontId="0" fillId="0" borderId="0" xfId="0" applyFont="1"/>
    <xf numFmtId="4" fontId="0" fillId="0" borderId="142" xfId="0" applyNumberFormat="1" applyFont="1" applyBorder="1" applyAlignment="1" applyProtection="1">
      <alignment horizontal="center" vertical="center"/>
    </xf>
    <xf numFmtId="0" fontId="0" fillId="0" borderId="142" xfId="0" applyFont="1" applyBorder="1" applyAlignment="1" applyProtection="1">
      <alignment horizontal="center" vertical="center"/>
    </xf>
    <xf numFmtId="0" fontId="0" fillId="0" borderId="141" xfId="0" applyFont="1" applyBorder="1" applyAlignment="1" applyProtection="1">
      <alignment vertical="center"/>
    </xf>
    <xf numFmtId="4" fontId="0" fillId="0" borderId="141" xfId="0" applyNumberFormat="1" applyFont="1" applyBorder="1" applyAlignment="1" applyProtection="1">
      <alignment horizontal="center" vertical="center"/>
    </xf>
    <xf numFmtId="0" fontId="0" fillId="0" borderId="141" xfId="0" applyFont="1" applyBorder="1" applyAlignment="1" applyProtection="1">
      <alignment horizontal="center" vertical="center"/>
    </xf>
    <xf numFmtId="0" fontId="0" fillId="0" borderId="132" xfId="0" applyFont="1" applyBorder="1" applyAlignment="1" applyProtection="1">
      <alignment vertical="center"/>
    </xf>
    <xf numFmtId="4" fontId="0" fillId="0" borderId="132" xfId="0" applyNumberFormat="1" applyFont="1" applyBorder="1" applyAlignment="1" applyProtection="1">
      <alignment horizontal="center" vertical="center"/>
    </xf>
    <xf numFmtId="0" fontId="0" fillId="0" borderId="132" xfId="0" applyFont="1" applyBorder="1" applyAlignment="1" applyProtection="1">
      <alignment horizontal="center" vertical="center"/>
    </xf>
    <xf numFmtId="0" fontId="58" fillId="0" borderId="142" xfId="0" applyFont="1" applyBorder="1" applyAlignment="1" applyProtection="1">
      <alignment vertical="center"/>
    </xf>
    <xf numFmtId="39" fontId="58" fillId="0" borderId="142" xfId="0" applyNumberFormat="1" applyFont="1" applyBorder="1" applyAlignment="1" applyProtection="1">
      <alignment horizontal="center" vertical="center"/>
    </xf>
    <xf numFmtId="39" fontId="58" fillId="0" borderId="141" xfId="0" applyNumberFormat="1" applyFont="1" applyBorder="1" applyAlignment="1" applyProtection="1">
      <alignment horizontal="center" vertical="center"/>
    </xf>
    <xf numFmtId="39" fontId="58" fillId="0" borderId="132" xfId="0" applyNumberFormat="1" applyFont="1" applyBorder="1" applyAlignment="1" applyProtection="1">
      <alignment horizontal="center" vertical="center"/>
    </xf>
    <xf numFmtId="0" fontId="0" fillId="0" borderId="0" xfId="0" applyFont="1" applyAlignment="1" applyProtection="1">
      <alignment horizontal="right" vertical="center"/>
    </xf>
    <xf numFmtId="0" fontId="0" fillId="0" borderId="142" xfId="0" applyFont="1" applyBorder="1" applyAlignment="1" applyProtection="1">
      <alignment vertical="center"/>
    </xf>
    <xf numFmtId="2" fontId="0" fillId="0" borderId="142" xfId="0" applyNumberFormat="1" applyFont="1" applyBorder="1" applyAlignment="1" applyProtection="1">
      <alignment horizontal="center" vertical="center"/>
    </xf>
    <xf numFmtId="2" fontId="0" fillId="0" borderId="141" xfId="0" applyNumberFormat="1" applyFont="1" applyBorder="1" applyAlignment="1" applyProtection="1">
      <alignment horizontal="center" vertical="center"/>
    </xf>
    <xf numFmtId="2" fontId="0" fillId="0" borderId="132" xfId="0" applyNumberFormat="1" applyFont="1" applyBorder="1" applyAlignment="1" applyProtection="1">
      <alignment horizontal="center" vertical="center"/>
    </xf>
    <xf numFmtId="0" fontId="0" fillId="0" borderId="144" xfId="0" applyFont="1" applyBorder="1" applyAlignment="1" applyProtection="1">
      <alignment horizontal="center" vertical="center"/>
    </xf>
    <xf numFmtId="3" fontId="0" fillId="0" borderId="142" xfId="0" applyNumberFormat="1" applyFont="1" applyBorder="1" applyAlignment="1" applyProtection="1">
      <alignment horizontal="center" vertical="center"/>
    </xf>
    <xf numFmtId="0" fontId="0" fillId="0" borderId="55" xfId="0" applyFont="1" applyBorder="1" applyAlignment="1" applyProtection="1">
      <alignment horizontal="center" vertical="center"/>
    </xf>
    <xf numFmtId="3" fontId="0" fillId="0" borderId="141" xfId="0" applyNumberFormat="1" applyFont="1" applyBorder="1" applyAlignment="1" applyProtection="1">
      <alignment horizontal="center" vertical="center"/>
    </xf>
    <xf numFmtId="0" fontId="0" fillId="0" borderId="0" xfId="0" quotePrefix="1" applyFont="1" applyAlignment="1" applyProtection="1">
      <alignment horizontal="center" vertical="center"/>
    </xf>
    <xf numFmtId="0" fontId="0" fillId="0" borderId="0" xfId="0" quotePrefix="1" applyFont="1" applyAlignment="1" applyProtection="1">
      <alignment vertical="center"/>
    </xf>
    <xf numFmtId="3" fontId="0" fillId="0" borderId="132" xfId="0" applyNumberFormat="1" applyFont="1" applyBorder="1" applyAlignment="1" applyProtection="1">
      <alignment horizontal="center" vertical="center"/>
    </xf>
    <xf numFmtId="176" fontId="0" fillId="0" borderId="142" xfId="0" applyNumberFormat="1" applyFont="1" applyFill="1" applyBorder="1" applyAlignment="1" applyProtection="1">
      <alignment horizontal="center" vertical="center"/>
    </xf>
    <xf numFmtId="176" fontId="0" fillId="0" borderId="141" xfId="0" applyNumberFormat="1" applyFont="1" applyFill="1" applyBorder="1" applyAlignment="1" applyProtection="1">
      <alignment horizontal="center" vertical="center"/>
    </xf>
    <xf numFmtId="176" fontId="0" fillId="0" borderId="132" xfId="0" applyNumberFormat="1" applyFont="1" applyFill="1" applyBorder="1" applyAlignment="1" applyProtection="1">
      <alignment horizontal="center" vertical="center"/>
    </xf>
    <xf numFmtId="0" fontId="0" fillId="0" borderId="144" xfId="0" applyFont="1" applyBorder="1" applyAlignment="1" applyProtection="1">
      <alignment vertical="center"/>
    </xf>
    <xf numFmtId="3" fontId="0" fillId="0" borderId="144" xfId="0" applyNumberFormat="1" applyFont="1" applyBorder="1" applyAlignment="1" applyProtection="1">
      <alignment horizontal="center" vertical="center"/>
    </xf>
    <xf numFmtId="3" fontId="0" fillId="0" borderId="142" xfId="0" applyNumberFormat="1" applyFont="1" applyFill="1" applyBorder="1" applyAlignment="1">
      <alignment horizontal="center" vertical="center"/>
    </xf>
    <xf numFmtId="0" fontId="0" fillId="0" borderId="142" xfId="0" applyFont="1" applyFill="1" applyBorder="1" applyAlignment="1">
      <alignment horizontal="center" vertical="center"/>
    </xf>
    <xf numFmtId="0" fontId="0" fillId="0" borderId="0" xfId="0" applyFont="1" applyFill="1" applyAlignment="1">
      <alignment vertical="center"/>
    </xf>
    <xf numFmtId="3" fontId="0" fillId="0" borderId="141" xfId="0" applyNumberFormat="1" applyFont="1" applyFill="1" applyBorder="1" applyAlignment="1">
      <alignment horizontal="center" vertical="center"/>
    </xf>
    <xf numFmtId="0" fontId="0" fillId="0" borderId="141" xfId="0" applyFont="1" applyFill="1" applyBorder="1" applyAlignment="1">
      <alignment horizontal="center" vertical="center"/>
    </xf>
    <xf numFmtId="3" fontId="0" fillId="0" borderId="144" xfId="0" applyNumberFormat="1" applyFont="1" applyFill="1" applyBorder="1" applyAlignment="1">
      <alignment horizontal="center" vertical="center"/>
    </xf>
    <xf numFmtId="0" fontId="0" fillId="0" borderId="144" xfId="0" applyFont="1" applyFill="1" applyBorder="1" applyAlignment="1">
      <alignment horizontal="center" vertical="center"/>
    </xf>
    <xf numFmtId="4" fontId="0" fillId="0" borderId="142" xfId="0" applyNumberFormat="1" applyFont="1" applyFill="1" applyBorder="1" applyAlignment="1">
      <alignment horizontal="center" vertical="center"/>
    </xf>
    <xf numFmtId="4" fontId="0" fillId="0" borderId="141" xfId="0" applyNumberFormat="1" applyFont="1" applyFill="1" applyBorder="1" applyAlignment="1">
      <alignment horizontal="center" vertical="center"/>
    </xf>
    <xf numFmtId="4" fontId="0" fillId="0" borderId="144" xfId="0" applyNumberFormat="1" applyFont="1" applyFill="1" applyBorder="1" applyAlignment="1">
      <alignment horizontal="center" vertical="center"/>
    </xf>
    <xf numFmtId="0" fontId="46"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9" fontId="57" fillId="0" borderId="0" xfId="0" applyNumberFormat="1" applyFont="1" applyFill="1" applyBorder="1" applyAlignment="1" applyProtection="1">
      <alignment horizontal="center" vertical="center"/>
    </xf>
    <xf numFmtId="0" fontId="0" fillId="0" borderId="0" xfId="0" quotePrefix="1" applyFont="1" applyFill="1" applyBorder="1" applyAlignment="1" applyProtection="1">
      <alignment vertical="center"/>
    </xf>
    <xf numFmtId="0" fontId="0" fillId="0" borderId="142" xfId="0" applyFont="1" applyFill="1" applyBorder="1" applyAlignment="1">
      <alignment vertical="center"/>
    </xf>
    <xf numFmtId="0" fontId="0" fillId="0" borderId="141" xfId="0" applyFont="1" applyFill="1" applyBorder="1" applyAlignment="1">
      <alignment vertical="center"/>
    </xf>
    <xf numFmtId="0" fontId="0" fillId="0" borderId="144" xfId="0" applyFont="1" applyFill="1" applyBorder="1" applyAlignment="1">
      <alignment vertical="center"/>
    </xf>
    <xf numFmtId="0" fontId="0" fillId="0" borderId="142" xfId="0" applyFont="1" applyFill="1" applyBorder="1" applyAlignment="1">
      <alignment vertical="center" wrapText="1"/>
    </xf>
    <xf numFmtId="0" fontId="9" fillId="0" borderId="7" xfId="0" applyFont="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9" fillId="0" borderId="30"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9" fillId="5" borderId="4" xfId="0" applyFont="1" applyFill="1" applyBorder="1" applyAlignment="1" applyProtection="1">
      <alignment horizontal="center" vertical="top" wrapText="1"/>
    </xf>
    <xf numFmtId="0" fontId="9" fillId="5" borderId="5" xfId="0" applyFont="1" applyFill="1" applyBorder="1" applyAlignment="1" applyProtection="1">
      <alignment horizontal="center" vertical="top" wrapText="1"/>
    </xf>
    <xf numFmtId="0" fontId="9" fillId="0" borderId="6"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10" fillId="5" borderId="12" xfId="0" applyFont="1" applyFill="1" applyBorder="1" applyAlignment="1" applyProtection="1">
      <alignment horizontal="left" vertical="top" wrapText="1"/>
    </xf>
    <xf numFmtId="0" fontId="10" fillId="5" borderId="13" xfId="0" applyFont="1" applyFill="1" applyBorder="1" applyAlignment="1" applyProtection="1">
      <alignment horizontal="left" vertical="top" wrapText="1"/>
    </xf>
    <xf numFmtId="0" fontId="10" fillId="5" borderId="11" xfId="0" applyFont="1" applyFill="1" applyBorder="1" applyAlignment="1" applyProtection="1">
      <alignment horizontal="left" vertical="top" wrapText="1"/>
    </xf>
    <xf numFmtId="0" fontId="9" fillId="0" borderId="54"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10" fillId="5" borderId="12" xfId="0" applyFont="1" applyFill="1" applyBorder="1" applyAlignment="1" applyProtection="1">
      <alignment horizontal="right" vertical="top" wrapText="1"/>
    </xf>
    <xf numFmtId="0" fontId="10" fillId="5" borderId="13" xfId="0" applyFont="1" applyFill="1" applyBorder="1" applyAlignment="1" applyProtection="1">
      <alignment horizontal="right" vertical="top" wrapText="1"/>
    </xf>
    <xf numFmtId="0" fontId="10" fillId="5" borderId="11" xfId="0" applyFont="1" applyFill="1" applyBorder="1" applyAlignment="1" applyProtection="1">
      <alignment horizontal="right" vertical="top" wrapText="1"/>
    </xf>
    <xf numFmtId="0" fontId="10" fillId="5" borderId="12" xfId="0" quotePrefix="1" applyFont="1" applyFill="1" applyBorder="1" applyAlignment="1" applyProtection="1">
      <alignment horizontal="right" vertical="top" wrapText="1"/>
    </xf>
    <xf numFmtId="0" fontId="10" fillId="5" borderId="28" xfId="0" applyFont="1" applyFill="1" applyBorder="1" applyAlignment="1" applyProtection="1">
      <alignment horizontal="right" vertical="top" wrapText="1" indent="1"/>
    </xf>
    <xf numFmtId="0" fontId="10" fillId="5" borderId="14" xfId="0" applyFont="1" applyFill="1" applyBorder="1" applyAlignment="1" applyProtection="1">
      <alignment horizontal="right" vertical="top" wrapText="1" indent="1"/>
    </xf>
    <xf numFmtId="0" fontId="10" fillId="5" borderId="7" xfId="0" applyFont="1" applyFill="1" applyBorder="1" applyAlignment="1" applyProtection="1">
      <alignment horizontal="right" vertical="top" wrapText="1" indent="1"/>
    </xf>
    <xf numFmtId="0" fontId="10" fillId="5" borderId="16" xfId="0" applyFont="1" applyFill="1" applyBorder="1" applyAlignment="1" applyProtection="1">
      <alignment horizontal="right" vertical="top" wrapText="1" indent="1"/>
    </xf>
    <xf numFmtId="0" fontId="10" fillId="5" borderId="12" xfId="0" applyFont="1" applyFill="1" applyBorder="1" applyAlignment="1" applyProtection="1">
      <alignment horizontal="center" vertical="top" wrapText="1"/>
    </xf>
    <xf numFmtId="0" fontId="10" fillId="5" borderId="13" xfId="0" applyFont="1" applyFill="1" applyBorder="1" applyAlignment="1" applyProtection="1">
      <alignment horizontal="center" vertical="top" wrapText="1"/>
    </xf>
    <xf numFmtId="0" fontId="10" fillId="5" borderId="11" xfId="0" applyFont="1" applyFill="1" applyBorder="1" applyAlignment="1" applyProtection="1">
      <alignment horizontal="center" vertical="top" wrapText="1"/>
    </xf>
    <xf numFmtId="0" fontId="10" fillId="5" borderId="7" xfId="0" quotePrefix="1" applyFont="1" applyFill="1" applyBorder="1" applyAlignment="1" applyProtection="1">
      <alignment horizontal="right" vertical="top" wrapText="1" indent="1"/>
    </xf>
    <xf numFmtId="0" fontId="12" fillId="5" borderId="3" xfId="0" applyFont="1" applyFill="1" applyBorder="1" applyAlignment="1" applyProtection="1">
      <alignment horizontal="right" vertical="top" wrapText="1"/>
    </xf>
    <xf numFmtId="0" fontId="12" fillId="5" borderId="4" xfId="0" applyFont="1" applyFill="1" applyBorder="1" applyAlignment="1" applyProtection="1">
      <alignment horizontal="right" vertical="top" wrapText="1"/>
    </xf>
    <xf numFmtId="0" fontId="12" fillId="5" borderId="5" xfId="0" applyFont="1" applyFill="1" applyBorder="1" applyAlignment="1" applyProtection="1">
      <alignment horizontal="right" vertical="top" wrapText="1"/>
    </xf>
    <xf numFmtId="0" fontId="7" fillId="5" borderId="3" xfId="0" applyFont="1" applyFill="1" applyBorder="1" applyAlignment="1" applyProtection="1">
      <alignment horizontal="center" vertical="top" wrapText="1"/>
    </xf>
    <xf numFmtId="0" fontId="7" fillId="5" borderId="4" xfId="0" applyFont="1" applyFill="1" applyBorder="1" applyAlignment="1" applyProtection="1">
      <alignment horizontal="center" vertical="top" wrapText="1"/>
    </xf>
    <xf numFmtId="0" fontId="7" fillId="5" borderId="5" xfId="0" applyFont="1" applyFill="1" applyBorder="1" applyAlignment="1" applyProtection="1">
      <alignment horizontal="center" vertical="top" wrapText="1"/>
    </xf>
    <xf numFmtId="0" fontId="9" fillId="0" borderId="3"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9" fillId="0" borderId="28"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0" fillId="5" borderId="3" xfId="0" applyFont="1" applyFill="1" applyBorder="1" applyAlignment="1" applyProtection="1">
      <alignment horizontal="left" vertical="top" wrapText="1"/>
    </xf>
    <xf numFmtId="0" fontId="10" fillId="5" borderId="5" xfId="0" applyFont="1" applyFill="1" applyBorder="1" applyAlignment="1" applyProtection="1">
      <alignment horizontal="left" vertical="top" wrapText="1"/>
    </xf>
    <xf numFmtId="0" fontId="10" fillId="5" borderId="12" xfId="0" applyFont="1" applyFill="1" applyBorder="1" applyAlignment="1" applyProtection="1">
      <alignment vertical="top" wrapText="1"/>
    </xf>
    <xf numFmtId="0" fontId="10" fillId="5" borderId="13" xfId="0" applyFont="1" applyFill="1" applyBorder="1" applyAlignment="1" applyProtection="1">
      <alignment vertical="top" wrapText="1"/>
    </xf>
    <xf numFmtId="0" fontId="10" fillId="5" borderId="11" xfId="0" applyFont="1" applyFill="1" applyBorder="1" applyAlignment="1" applyProtection="1">
      <alignment vertical="top" wrapText="1"/>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9" fillId="0" borderId="39" xfId="0" applyFont="1" applyBorder="1" applyAlignment="1" applyProtection="1">
      <alignment horizontal="center" vertical="top" wrapText="1"/>
      <protection locked="0"/>
    </xf>
    <xf numFmtId="0" fontId="9" fillId="0" borderId="41" xfId="0" applyFont="1" applyBorder="1" applyAlignment="1" applyProtection="1">
      <alignment horizontal="center" vertical="top" wrapText="1"/>
      <protection locked="0"/>
    </xf>
    <xf numFmtId="0" fontId="10" fillId="5" borderId="3" xfId="0" quotePrefix="1" applyFont="1" applyFill="1" applyBorder="1" applyAlignment="1" applyProtection="1">
      <alignment horizontal="left" wrapText="1"/>
    </xf>
    <xf numFmtId="0" fontId="10" fillId="5" borderId="5" xfId="0" quotePrefix="1" applyFont="1" applyFill="1" applyBorder="1" applyAlignment="1" applyProtection="1">
      <alignment horizontal="left" wrapText="1"/>
    </xf>
    <xf numFmtId="3" fontId="9" fillId="0" borderId="3" xfId="0" applyNumberFormat="1" applyFont="1" applyBorder="1" applyAlignment="1" applyProtection="1">
      <alignment horizontal="center" vertical="center" wrapText="1"/>
      <protection locked="0"/>
    </xf>
    <xf numFmtId="3" fontId="9" fillId="0" borderId="5" xfId="0" applyNumberFormat="1" applyFont="1" applyBorder="1" applyAlignment="1" applyProtection="1">
      <alignment horizontal="center" vertical="center" wrapText="1"/>
      <protection locked="0"/>
    </xf>
    <xf numFmtId="0" fontId="9" fillId="0" borderId="3" xfId="0" applyFont="1" applyFill="1" applyBorder="1" applyAlignment="1" applyProtection="1">
      <alignment horizontal="center" vertical="top" wrapText="1"/>
      <protection locked="0"/>
    </xf>
    <xf numFmtId="0" fontId="9" fillId="0" borderId="5" xfId="0" applyFont="1" applyFill="1" applyBorder="1" applyAlignment="1" applyProtection="1">
      <alignment horizontal="center" vertical="top" wrapText="1"/>
      <protection locked="0"/>
    </xf>
    <xf numFmtId="0" fontId="10" fillId="5" borderId="6" xfId="0" quotePrefix="1" applyFont="1" applyFill="1" applyBorder="1" applyAlignment="1" applyProtection="1">
      <alignment horizontal="right" vertical="top" wrapText="1" indent="1"/>
    </xf>
    <xf numFmtId="0" fontId="10" fillId="5" borderId="15" xfId="0" quotePrefix="1" applyFont="1" applyFill="1" applyBorder="1" applyAlignment="1" applyProtection="1">
      <alignment horizontal="right" vertical="top" wrapText="1" indent="1"/>
    </xf>
    <xf numFmtId="165" fontId="9" fillId="5" borderId="3" xfId="0" applyNumberFormat="1" applyFont="1" applyFill="1" applyBorder="1" applyAlignment="1" applyProtection="1">
      <alignment vertical="top" wrapText="1"/>
    </xf>
    <xf numFmtId="165" fontId="9" fillId="5" borderId="5" xfId="0" applyNumberFormat="1" applyFont="1" applyFill="1" applyBorder="1" applyAlignment="1" applyProtection="1">
      <alignment vertical="top" wrapText="1"/>
    </xf>
    <xf numFmtId="0" fontId="0" fillId="5" borderId="5" xfId="0" applyFill="1" applyBorder="1" applyAlignment="1" applyProtection="1">
      <alignment horizontal="left" vertical="top" wrapText="1"/>
    </xf>
    <xf numFmtId="0" fontId="10" fillId="5" borderId="50" xfId="0" applyFont="1" applyFill="1" applyBorder="1" applyAlignment="1" applyProtection="1">
      <alignment horizontal="left" vertical="top" wrapText="1"/>
    </xf>
    <xf numFmtId="0" fontId="10" fillId="5" borderId="45" xfId="0" applyFont="1" applyFill="1" applyBorder="1" applyAlignment="1" applyProtection="1">
      <alignment horizontal="left" vertical="top" wrapText="1"/>
    </xf>
    <xf numFmtId="3" fontId="9" fillId="5" borderId="28" xfId="0" applyNumberFormat="1" applyFont="1" applyFill="1" applyBorder="1" applyAlignment="1" applyProtection="1">
      <alignment horizontal="center" vertical="top" wrapText="1"/>
      <protection locked="0"/>
    </xf>
    <xf numFmtId="3" fontId="9" fillId="5" borderId="14" xfId="0" applyNumberFormat="1" applyFont="1" applyFill="1" applyBorder="1" applyAlignment="1" applyProtection="1">
      <alignment horizontal="center" vertical="top" wrapText="1"/>
      <protection locked="0"/>
    </xf>
    <xf numFmtId="0" fontId="10" fillId="5" borderId="28" xfId="0" applyFont="1" applyFill="1" applyBorder="1" applyAlignment="1" applyProtection="1">
      <alignment horizontal="left" vertical="top" wrapText="1"/>
    </xf>
    <xf numFmtId="0" fontId="10" fillId="5" borderId="14" xfId="0" applyFont="1" applyFill="1" applyBorder="1" applyAlignment="1" applyProtection="1">
      <alignment horizontal="left" vertical="top" wrapText="1"/>
    </xf>
    <xf numFmtId="0" fontId="10" fillId="5" borderId="13" xfId="0" quotePrefix="1" applyFont="1" applyFill="1" applyBorder="1" applyAlignment="1" applyProtection="1">
      <alignment horizontal="right" vertical="top" wrapText="1"/>
    </xf>
    <xf numFmtId="0" fontId="10" fillId="5" borderId="11" xfId="0" quotePrefix="1" applyFont="1" applyFill="1" applyBorder="1" applyAlignment="1" applyProtection="1">
      <alignment horizontal="right" vertical="top" wrapText="1"/>
    </xf>
    <xf numFmtId="0" fontId="9" fillId="0" borderId="48" xfId="0" quotePrefix="1" applyFont="1" applyFill="1" applyBorder="1" applyAlignment="1" applyProtection="1">
      <alignment horizontal="left" vertical="top" wrapText="1"/>
    </xf>
    <xf numFmtId="0" fontId="3" fillId="0" borderId="48" xfId="0" applyFont="1" applyFill="1" applyBorder="1" applyAlignment="1" applyProtection="1">
      <alignment horizontal="left" vertical="top" wrapText="1"/>
    </xf>
    <xf numFmtId="0" fontId="33" fillId="6" borderId="6" xfId="0" applyFont="1" applyFill="1" applyBorder="1" applyAlignment="1" applyProtection="1">
      <alignment horizontal="center" wrapText="1"/>
    </xf>
    <xf numFmtId="0" fontId="33" fillId="6" borderId="15" xfId="0" applyFont="1" applyFill="1" applyBorder="1" applyAlignment="1" applyProtection="1">
      <alignment horizontal="center" wrapText="1"/>
    </xf>
    <xf numFmtId="0" fontId="33" fillId="6" borderId="50" xfId="0" applyFont="1" applyFill="1" applyBorder="1" applyAlignment="1" applyProtection="1">
      <alignment horizontal="left" wrapText="1"/>
    </xf>
    <xf numFmtId="0" fontId="33" fillId="6" borderId="48" xfId="0" applyFont="1" applyFill="1" applyBorder="1" applyAlignment="1" applyProtection="1">
      <alignment horizontal="left" wrapText="1"/>
    </xf>
    <xf numFmtId="0" fontId="33" fillId="6" borderId="45" xfId="0" applyFont="1" applyFill="1" applyBorder="1" applyAlignment="1" applyProtection="1">
      <alignment horizontal="left" wrapText="1"/>
    </xf>
    <xf numFmtId="0" fontId="33" fillId="6" borderId="28" xfId="0" applyFont="1" applyFill="1" applyBorder="1" applyAlignment="1" applyProtection="1">
      <alignment horizontal="left" wrapText="1"/>
    </xf>
    <xf numFmtId="0" fontId="33" fillId="6" borderId="29" xfId="0" applyFont="1" applyFill="1" applyBorder="1" applyAlignment="1" applyProtection="1">
      <alignment horizontal="left" wrapText="1"/>
    </xf>
    <xf numFmtId="0" fontId="33" fillId="6" borderId="14" xfId="0" applyFont="1" applyFill="1" applyBorder="1" applyAlignment="1" applyProtection="1">
      <alignment horizontal="left" wrapText="1"/>
    </xf>
    <xf numFmtId="0" fontId="29" fillId="6" borderId="35" xfId="0" applyFont="1" applyFill="1" applyBorder="1" applyAlignment="1" applyProtection="1">
      <alignment horizontal="left" vertical="center" wrapText="1"/>
    </xf>
    <xf numFmtId="0" fontId="29" fillId="6" borderId="2" xfId="0" applyFont="1" applyFill="1" applyBorder="1" applyAlignment="1" applyProtection="1">
      <alignment horizontal="left" vertical="center" wrapText="1"/>
    </xf>
    <xf numFmtId="0" fontId="33" fillId="6" borderId="12" xfId="0" applyFont="1" applyFill="1" applyBorder="1" applyAlignment="1" applyProtection="1">
      <alignment horizontal="center" wrapText="1"/>
    </xf>
    <xf numFmtId="0" fontId="33" fillId="6" borderId="13" xfId="0" applyFont="1" applyFill="1" applyBorder="1" applyAlignment="1" applyProtection="1">
      <alignment horizontal="center" wrapText="1"/>
    </xf>
    <xf numFmtId="0" fontId="33" fillId="6" borderId="33" xfId="0" applyFont="1" applyFill="1" applyBorder="1" applyAlignment="1" applyProtection="1">
      <alignment horizontal="left" wrapText="1"/>
    </xf>
    <xf numFmtId="0" fontId="33" fillId="6" borderId="34" xfId="0" applyFont="1" applyFill="1" applyBorder="1" applyAlignment="1" applyProtection="1">
      <alignment horizontal="left" wrapText="1"/>
    </xf>
    <xf numFmtId="0" fontId="33" fillId="6" borderId="60" xfId="0" applyFont="1" applyFill="1" applyBorder="1" applyAlignment="1" applyProtection="1">
      <alignment horizontal="left" wrapText="1"/>
    </xf>
    <xf numFmtId="0" fontId="33" fillId="6" borderId="89" xfId="0" applyFont="1" applyFill="1" applyBorder="1" applyAlignment="1" applyProtection="1">
      <alignment horizontal="left" wrapText="1"/>
    </xf>
    <xf numFmtId="0" fontId="33" fillId="6" borderId="11" xfId="0" applyFont="1" applyFill="1" applyBorder="1" applyAlignment="1" applyProtection="1">
      <alignment horizontal="center" wrapText="1"/>
    </xf>
    <xf numFmtId="1" fontId="29" fillId="0" borderId="58" xfId="0" applyNumberFormat="1" applyFont="1" applyBorder="1" applyAlignment="1" applyProtection="1">
      <alignment horizontal="center" vertical="center"/>
      <protection locked="0"/>
    </xf>
    <xf numFmtId="1" fontId="29" fillId="0" borderId="46" xfId="0" applyNumberFormat="1" applyFont="1" applyBorder="1" applyAlignment="1" applyProtection="1">
      <alignment horizontal="center" vertical="center"/>
      <protection locked="0"/>
    </xf>
    <xf numFmtId="0" fontId="29" fillId="6" borderId="50" xfId="0" applyFont="1" applyFill="1" applyBorder="1" applyAlignment="1" applyProtection="1">
      <alignment horizontal="left" vertical="center" wrapText="1"/>
    </xf>
    <xf numFmtId="0" fontId="29" fillId="6" borderId="48" xfId="0" applyFont="1" applyFill="1" applyBorder="1" applyAlignment="1" applyProtection="1">
      <alignment horizontal="left" vertical="center" wrapText="1"/>
    </xf>
    <xf numFmtId="0" fontId="29" fillId="6" borderId="45" xfId="0" applyFont="1" applyFill="1" applyBorder="1" applyAlignment="1" applyProtection="1">
      <alignment horizontal="left" vertical="center" wrapText="1"/>
    </xf>
    <xf numFmtId="0" fontId="29" fillId="6" borderId="27" xfId="0" applyFont="1" applyFill="1" applyBorder="1" applyAlignment="1" applyProtection="1">
      <alignment horizontal="left" vertical="center" wrapText="1"/>
    </xf>
    <xf numFmtId="0" fontId="29" fillId="6" borderId="0" xfId="0" applyFont="1" applyFill="1" applyBorder="1" applyAlignment="1" applyProtection="1">
      <alignment horizontal="left" vertical="center" wrapText="1"/>
    </xf>
    <xf numFmtId="0" fontId="29" fillId="6" borderId="18" xfId="0" applyFont="1" applyFill="1" applyBorder="1" applyAlignment="1" applyProtection="1">
      <alignment horizontal="left" vertical="center" wrapText="1"/>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5" borderId="5" xfId="0" applyFont="1" applyFill="1" applyBorder="1" applyAlignment="1" applyProtection="1">
      <alignment horizontal="center"/>
    </xf>
    <xf numFmtId="0" fontId="44" fillId="0" borderId="0" xfId="0" applyFont="1" applyBorder="1" applyAlignment="1" applyProtection="1">
      <alignment horizontal="center" vertical="center" wrapText="1"/>
    </xf>
    <xf numFmtId="0" fontId="34" fillId="0" borderId="3" xfId="0" applyFont="1" applyFill="1" applyBorder="1" applyAlignment="1" applyProtection="1">
      <alignment horizontal="center"/>
    </xf>
    <xf numFmtId="0" fontId="34" fillId="0" borderId="4" xfId="0" applyFont="1" applyFill="1" applyBorder="1" applyAlignment="1" applyProtection="1">
      <alignment horizontal="center"/>
    </xf>
    <xf numFmtId="0" fontId="34" fillId="0" borderId="5" xfId="0" applyFont="1" applyFill="1" applyBorder="1" applyAlignment="1" applyProtection="1">
      <alignment horizontal="center"/>
    </xf>
    <xf numFmtId="0" fontId="29" fillId="0" borderId="2" xfId="0" applyFont="1" applyFill="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29" fillId="0" borderId="46"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1" fontId="29" fillId="6" borderId="46" xfId="0" applyNumberFormat="1" applyFont="1" applyFill="1" applyBorder="1" applyAlignment="1" applyProtection="1">
      <alignment horizontal="center" vertical="center"/>
    </xf>
    <xf numFmtId="0" fontId="29" fillId="6" borderId="7" xfId="0" applyFont="1" applyFill="1" applyBorder="1" applyAlignment="1" applyProtection="1">
      <alignment horizontal="left" vertical="center" wrapText="1"/>
    </xf>
    <xf numFmtId="0" fontId="29" fillId="6" borderId="46" xfId="0" applyFont="1" applyFill="1" applyBorder="1" applyAlignment="1" applyProtection="1">
      <alignment horizontal="left" vertical="center" wrapText="1"/>
    </xf>
    <xf numFmtId="0" fontId="29" fillId="6" borderId="16" xfId="0" applyFont="1" applyFill="1" applyBorder="1" applyAlignment="1" applyProtection="1">
      <alignment horizontal="left" vertical="center" wrapText="1"/>
    </xf>
    <xf numFmtId="0" fontId="29" fillId="0" borderId="88" xfId="0" applyFont="1" applyFill="1" applyBorder="1" applyAlignment="1" applyProtection="1">
      <alignment horizontal="left" vertical="center" wrapText="1"/>
      <protection locked="0"/>
    </xf>
    <xf numFmtId="1" fontId="29" fillId="0" borderId="149" xfId="0" applyNumberFormat="1" applyFont="1" applyBorder="1" applyAlignment="1" applyProtection="1">
      <alignment horizontal="center" vertical="center"/>
      <protection locked="0"/>
    </xf>
    <xf numFmtId="0" fontId="29" fillId="0" borderId="27"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18" xfId="0" applyFont="1" applyBorder="1" applyAlignment="1" applyProtection="1">
      <alignment horizontal="left" vertical="center" wrapText="1"/>
      <protection locked="0"/>
    </xf>
    <xf numFmtId="0" fontId="29" fillId="0" borderId="28"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29" fillId="6" borderId="33" xfId="0" applyFont="1" applyFill="1" applyBorder="1" applyAlignment="1" applyProtection="1">
      <alignment horizontal="left" vertical="center" wrapText="1"/>
    </xf>
    <xf numFmtId="0" fontId="29" fillId="6" borderId="34" xfId="0" applyFont="1" applyFill="1" applyBorder="1" applyAlignment="1" applyProtection="1">
      <alignment horizontal="left" vertical="center" wrapText="1"/>
    </xf>
    <xf numFmtId="0" fontId="29" fillId="37" borderId="12" xfId="0" quotePrefix="1" applyFont="1" applyFill="1" applyBorder="1" applyAlignment="1" applyProtection="1">
      <alignment horizontal="center" vertical="center"/>
    </xf>
    <xf numFmtId="0" fontId="29" fillId="37" borderId="11" xfId="0" quotePrefix="1" applyFont="1" applyFill="1" applyBorder="1" applyAlignment="1" applyProtection="1">
      <alignment horizontal="center" vertical="center"/>
    </xf>
    <xf numFmtId="0" fontId="33" fillId="37" borderId="50" xfId="0" quotePrefix="1" applyFont="1" applyFill="1" applyBorder="1" applyAlignment="1" applyProtection="1">
      <alignment horizontal="center" vertical="center" wrapText="1"/>
    </xf>
    <xf numFmtId="0" fontId="33" fillId="37" borderId="48" xfId="0" applyFont="1" applyFill="1" applyBorder="1" applyAlignment="1" applyProtection="1">
      <alignment horizontal="center" vertical="center" wrapText="1"/>
    </xf>
    <xf numFmtId="0" fontId="33" fillId="37" borderId="45" xfId="0" applyFont="1" applyFill="1" applyBorder="1" applyAlignment="1" applyProtection="1">
      <alignment horizontal="center" vertical="center" wrapText="1"/>
    </xf>
    <xf numFmtId="0" fontId="33" fillId="37" borderId="28" xfId="0" quotePrefix="1" applyFont="1" applyFill="1" applyBorder="1" applyAlignment="1" applyProtection="1">
      <alignment horizontal="center" vertical="center" wrapText="1"/>
    </xf>
    <xf numFmtId="0" fontId="33" fillId="37" borderId="29" xfId="0" applyFont="1" applyFill="1" applyBorder="1" applyAlignment="1" applyProtection="1">
      <alignment horizontal="center" vertical="center" wrapText="1"/>
    </xf>
    <xf numFmtId="0" fontId="33" fillId="37" borderId="14" xfId="0" applyFont="1" applyFill="1" applyBorder="1" applyAlignment="1" applyProtection="1">
      <alignment horizontal="center" vertical="center" wrapText="1"/>
    </xf>
    <xf numFmtId="0" fontId="33" fillId="5" borderId="3" xfId="0" applyFont="1" applyFill="1" applyBorder="1" applyAlignment="1" applyProtection="1">
      <alignment horizontal="left" vertical="center" wrapText="1"/>
    </xf>
    <xf numFmtId="0" fontId="33" fillId="5" borderId="5" xfId="0" applyFont="1" applyFill="1" applyBorder="1" applyAlignment="1" applyProtection="1">
      <alignment horizontal="left" vertical="center" wrapText="1"/>
    </xf>
    <xf numFmtId="0" fontId="33" fillId="37" borderId="104" xfId="0" quotePrefix="1" applyFont="1" applyFill="1" applyBorder="1" applyAlignment="1" applyProtection="1">
      <alignment horizontal="center" vertical="center" wrapText="1"/>
    </xf>
    <xf numFmtId="0" fontId="33" fillId="37" borderId="103" xfId="0" applyFont="1" applyFill="1" applyBorder="1" applyAlignment="1" applyProtection="1">
      <alignment horizontal="center" vertical="center" wrapText="1"/>
    </xf>
    <xf numFmtId="0" fontId="33" fillId="37" borderId="102" xfId="0" applyFont="1" applyFill="1" applyBorder="1" applyAlignment="1" applyProtection="1">
      <alignment horizontal="center" vertical="center" wrapText="1"/>
    </xf>
    <xf numFmtId="0" fontId="29" fillId="6" borderId="88" xfId="0" applyFont="1" applyFill="1" applyBorder="1" applyAlignment="1" applyProtection="1">
      <alignment horizontal="center" wrapText="1"/>
    </xf>
    <xf numFmtId="0" fontId="29" fillId="6" borderId="34" xfId="0" applyFont="1" applyFill="1" applyBorder="1" applyAlignment="1" applyProtection="1">
      <alignment horizontal="center" wrapText="1"/>
    </xf>
    <xf numFmtId="0" fontId="29" fillId="6" borderId="40" xfId="0" applyFont="1" applyFill="1" applyBorder="1" applyAlignment="1" applyProtection="1">
      <alignment horizontal="center" wrapText="1"/>
    </xf>
    <xf numFmtId="0" fontId="29" fillId="6" borderId="89" xfId="0" applyFont="1" applyFill="1" applyBorder="1" applyAlignment="1" applyProtection="1">
      <alignment horizontal="center" wrapText="1"/>
    </xf>
    <xf numFmtId="0" fontId="29" fillId="5" borderId="3" xfId="0" applyFont="1" applyFill="1" applyBorder="1" applyAlignment="1" applyProtection="1">
      <alignment horizontal="left" vertical="center" wrapText="1"/>
    </xf>
    <xf numFmtId="0" fontId="29" fillId="5" borderId="5" xfId="0" applyFont="1" applyFill="1" applyBorder="1" applyAlignment="1" applyProtection="1">
      <alignment horizontal="left" vertical="center" wrapText="1"/>
    </xf>
    <xf numFmtId="0" fontId="33" fillId="6" borderId="50" xfId="0" applyFont="1" applyFill="1" applyBorder="1" applyAlignment="1" applyProtection="1">
      <alignment horizontal="left"/>
    </xf>
    <xf numFmtId="0" fontId="33" fillId="6" borderId="45" xfId="0" applyFont="1" applyFill="1" applyBorder="1" applyAlignment="1" applyProtection="1">
      <alignment horizontal="left"/>
    </xf>
    <xf numFmtId="0" fontId="33" fillId="6" borderId="27" xfId="0" applyFont="1" applyFill="1" applyBorder="1" applyAlignment="1" applyProtection="1">
      <alignment horizontal="left"/>
    </xf>
    <xf numFmtId="0" fontId="33" fillId="6" borderId="18" xfId="0" applyFont="1" applyFill="1" applyBorder="1" applyAlignment="1" applyProtection="1">
      <alignment horizontal="left"/>
    </xf>
    <xf numFmtId="0" fontId="33" fillId="6" borderId="28" xfId="0" applyFont="1" applyFill="1" applyBorder="1" applyAlignment="1" applyProtection="1">
      <alignment horizontal="left"/>
    </xf>
    <xf numFmtId="0" fontId="33" fillId="6" borderId="14" xfId="0" applyFont="1" applyFill="1" applyBorder="1" applyAlignment="1" applyProtection="1">
      <alignment horizontal="left"/>
    </xf>
    <xf numFmtId="0" fontId="33" fillId="6" borderId="47" xfId="0" applyFont="1" applyFill="1" applyBorder="1" applyAlignment="1" applyProtection="1">
      <alignment horizontal="center" wrapText="1"/>
    </xf>
    <xf numFmtId="0" fontId="9" fillId="6" borderId="2" xfId="0" applyFont="1" applyFill="1" applyBorder="1" applyAlignment="1" applyProtection="1">
      <alignment horizontal="left" vertical="center"/>
    </xf>
    <xf numFmtId="0" fontId="9" fillId="6" borderId="56" xfId="0" applyFont="1" applyFill="1" applyBorder="1" applyAlignment="1" applyProtection="1">
      <alignment horizontal="left" vertical="center"/>
    </xf>
    <xf numFmtId="0" fontId="29" fillId="6" borderId="7" xfId="0" applyFont="1" applyFill="1" applyBorder="1" applyAlignment="1" applyProtection="1">
      <alignment horizontal="center" wrapText="1"/>
    </xf>
    <xf numFmtId="0" fontId="29" fillId="6" borderId="16" xfId="0" applyFont="1" applyFill="1" applyBorder="1" applyAlignment="1" applyProtection="1">
      <alignment horizontal="center" wrapText="1"/>
    </xf>
    <xf numFmtId="0" fontId="29" fillId="6" borderId="46" xfId="0" applyFont="1" applyFill="1" applyBorder="1" applyAlignment="1" applyProtection="1">
      <alignment horizontal="center" wrapText="1"/>
    </xf>
    <xf numFmtId="0" fontId="9" fillId="6" borderId="51" xfId="0" applyFont="1" applyFill="1" applyBorder="1" applyAlignment="1" applyProtection="1">
      <alignment horizontal="left" vertical="center"/>
    </xf>
    <xf numFmtId="0" fontId="9" fillId="6" borderId="87" xfId="0" applyFont="1" applyFill="1" applyBorder="1" applyAlignment="1" applyProtection="1">
      <alignment horizontal="left" vertical="center"/>
    </xf>
    <xf numFmtId="0" fontId="9" fillId="6" borderId="35" xfId="0" applyFont="1" applyFill="1" applyBorder="1" applyAlignment="1" applyProtection="1">
      <alignment horizontal="left" vertical="center"/>
    </xf>
    <xf numFmtId="0" fontId="9" fillId="6" borderId="59" xfId="0" applyFont="1" applyFill="1" applyBorder="1" applyAlignment="1" applyProtection="1">
      <alignment horizontal="left" vertical="center"/>
    </xf>
    <xf numFmtId="0" fontId="9" fillId="6" borderId="1" xfId="0" applyFont="1" applyFill="1" applyBorder="1" applyAlignment="1" applyProtection="1">
      <alignment horizontal="left" vertical="center"/>
    </xf>
    <xf numFmtId="0" fontId="9" fillId="6" borderId="52" xfId="0" applyFont="1" applyFill="1" applyBorder="1" applyAlignment="1" applyProtection="1">
      <alignment horizontal="left" vertical="center"/>
    </xf>
    <xf numFmtId="0" fontId="29" fillId="0" borderId="0" xfId="0" quotePrefix="1" applyFont="1" applyAlignment="1">
      <alignment horizontal="left" wrapText="1"/>
    </xf>
    <xf numFmtId="169" fontId="9" fillId="5" borderId="75" xfId="0" applyNumberFormat="1" applyFont="1" applyFill="1" applyBorder="1" applyAlignment="1" applyProtection="1">
      <alignment horizontal="center" vertical="center"/>
    </xf>
    <xf numFmtId="169" fontId="9" fillId="5" borderId="76" xfId="0" applyNumberFormat="1" applyFont="1" applyFill="1" applyBorder="1" applyAlignment="1" applyProtection="1">
      <alignment horizontal="center" vertical="center"/>
    </xf>
    <xf numFmtId="3" fontId="9" fillId="6" borderId="30" xfId="0" applyNumberFormat="1" applyFont="1" applyFill="1" applyBorder="1" applyAlignment="1" applyProtection="1">
      <alignment horizontal="center" vertical="center"/>
    </xf>
    <xf numFmtId="3" fontId="9" fillId="6" borderId="24" xfId="0" applyNumberFormat="1" applyFont="1" applyFill="1" applyBorder="1" applyAlignment="1" applyProtection="1">
      <alignment horizontal="center" vertic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10" fillId="5" borderId="12" xfId="0" applyFont="1" applyFill="1" applyBorder="1" applyAlignment="1" applyProtection="1">
      <alignment horizontal="center"/>
    </xf>
    <xf numFmtId="0" fontId="10" fillId="5" borderId="11" xfId="0" applyFont="1" applyFill="1" applyBorder="1" applyAlignment="1" applyProtection="1">
      <alignment horizontal="center"/>
    </xf>
    <xf numFmtId="0" fontId="10" fillId="5" borderId="12" xfId="0" applyFont="1" applyFill="1" applyBorder="1" applyAlignment="1" applyProtection="1">
      <alignment horizontal="left"/>
    </xf>
    <xf numFmtId="0" fontId="10" fillId="5" borderId="11" xfId="0" applyFont="1" applyFill="1" applyBorder="1" applyAlignment="1" applyProtection="1">
      <alignment horizontal="left"/>
    </xf>
    <xf numFmtId="0" fontId="10" fillId="5" borderId="50" xfId="0" applyFont="1" applyFill="1" applyBorder="1" applyAlignment="1" applyProtection="1">
      <alignment horizontal="center"/>
    </xf>
    <xf numFmtId="0" fontId="10" fillId="5" borderId="45" xfId="0" applyFont="1" applyFill="1" applyBorder="1" applyAlignment="1" applyProtection="1">
      <alignment horizontal="center"/>
    </xf>
    <xf numFmtId="0" fontId="10" fillId="0" borderId="0" xfId="0" applyFont="1" applyFill="1" applyBorder="1" applyAlignment="1" applyProtection="1">
      <alignment horizontal="center" vertical="center"/>
    </xf>
    <xf numFmtId="3" fontId="9" fillId="5" borderId="75" xfId="0" applyNumberFormat="1" applyFont="1" applyFill="1" applyBorder="1" applyAlignment="1" applyProtection="1">
      <alignment horizontal="center" vertical="center"/>
    </xf>
    <xf numFmtId="3" fontId="9" fillId="5" borderId="76" xfId="0" applyNumberFormat="1" applyFont="1" applyFill="1" applyBorder="1" applyAlignment="1" applyProtection="1">
      <alignment horizontal="center" vertical="center"/>
    </xf>
    <xf numFmtId="3" fontId="10" fillId="5" borderId="3" xfId="0" applyNumberFormat="1" applyFont="1" applyFill="1" applyBorder="1" applyAlignment="1" applyProtection="1">
      <alignment horizontal="center" vertical="top"/>
    </xf>
    <xf numFmtId="3" fontId="10" fillId="5" borderId="5" xfId="0" applyNumberFormat="1" applyFont="1" applyFill="1" applyBorder="1" applyAlignment="1" applyProtection="1">
      <alignment horizontal="center" vertical="top"/>
    </xf>
    <xf numFmtId="0" fontId="9" fillId="5" borderId="35" xfId="0" applyFont="1" applyFill="1" applyBorder="1" applyAlignment="1">
      <alignment horizontal="left"/>
    </xf>
    <xf numFmtId="0" fontId="9" fillId="5" borderId="59" xfId="0" applyFont="1" applyFill="1" applyBorder="1" applyAlignment="1">
      <alignment horizontal="left"/>
    </xf>
    <xf numFmtId="0" fontId="9" fillId="5" borderId="47" xfId="0" applyNumberFormat="1" applyFont="1" applyFill="1" applyBorder="1" applyAlignment="1" applyProtection="1"/>
    <xf numFmtId="0" fontId="9" fillId="5" borderId="15" xfId="0" applyNumberFormat="1" applyFont="1" applyFill="1" applyBorder="1" applyAlignment="1" applyProtection="1"/>
    <xf numFmtId="0" fontId="9" fillId="5" borderId="2" xfId="0" applyFont="1" applyFill="1" applyBorder="1" applyAlignment="1">
      <alignment horizontal="left"/>
    </xf>
    <xf numFmtId="0" fontId="9" fillId="5" borderId="56" xfId="0" applyFont="1" applyFill="1" applyBorder="1" applyAlignment="1">
      <alignment horizontal="left"/>
    </xf>
    <xf numFmtId="0" fontId="9" fillId="5" borderId="46" xfId="0" quotePrefix="1" applyNumberFormat="1" applyFont="1" applyFill="1" applyBorder="1" applyAlignment="1" applyProtection="1"/>
    <xf numFmtId="0" fontId="9" fillId="5" borderId="16" xfId="0" quotePrefix="1" applyNumberFormat="1" applyFont="1" applyFill="1" applyBorder="1" applyAlignment="1" applyProtection="1"/>
    <xf numFmtId="0" fontId="9" fillId="5" borderId="1" xfId="0" applyFont="1" applyFill="1" applyBorder="1" applyAlignment="1">
      <alignment horizontal="left"/>
    </xf>
    <xf numFmtId="0" fontId="9" fillId="5" borderId="52" xfId="0" applyFont="1" applyFill="1" applyBorder="1" applyAlignment="1">
      <alignment horizontal="left"/>
    </xf>
    <xf numFmtId="0" fontId="9" fillId="5" borderId="31" xfId="0" applyFont="1" applyFill="1" applyBorder="1"/>
    <xf numFmtId="0" fontId="9" fillId="5" borderId="24" xfId="0" applyFont="1" applyFill="1" applyBorder="1"/>
    <xf numFmtId="0" fontId="7" fillId="5" borderId="3" xfId="0" applyFont="1" applyFill="1" applyBorder="1" applyAlignment="1">
      <alignment horizontal="center" vertical="top"/>
    </xf>
    <xf numFmtId="0" fontId="7" fillId="5" borderId="4" xfId="0" applyFont="1" applyFill="1" applyBorder="1" applyAlignment="1">
      <alignment horizontal="center" vertical="top"/>
    </xf>
    <xf numFmtId="0" fontId="7" fillId="5" borderId="5" xfId="0" applyFont="1" applyFill="1" applyBorder="1" applyAlignment="1">
      <alignment horizontal="center" vertical="top"/>
    </xf>
    <xf numFmtId="0" fontId="5" fillId="5" borderId="3" xfId="0" applyFont="1" applyFill="1" applyBorder="1" applyAlignment="1">
      <alignment horizontal="center"/>
    </xf>
    <xf numFmtId="0" fontId="5" fillId="5" borderId="5" xfId="0" applyFont="1" applyFill="1" applyBorder="1" applyAlignment="1">
      <alignment horizontal="center"/>
    </xf>
    <xf numFmtId="0" fontId="5" fillId="5" borderId="4" xfId="0" applyFont="1" applyFill="1" applyBorder="1" applyAlignment="1">
      <alignment horizontal="center"/>
    </xf>
    <xf numFmtId="0" fontId="7" fillId="5" borderId="3" xfId="0" applyFont="1" applyFill="1" applyBorder="1" applyAlignment="1">
      <alignment horizontal="center"/>
    </xf>
    <xf numFmtId="0" fontId="7" fillId="5" borderId="4" xfId="0" applyFont="1" applyFill="1" applyBorder="1" applyAlignment="1">
      <alignment horizontal="center"/>
    </xf>
    <xf numFmtId="0" fontId="7" fillId="5" borderId="5" xfId="0" applyFont="1" applyFill="1" applyBorder="1" applyAlignment="1">
      <alignment horizontal="center"/>
    </xf>
    <xf numFmtId="0" fontId="10" fillId="5" borderId="3" xfId="0" applyFont="1" applyFill="1" applyBorder="1"/>
    <xf numFmtId="0" fontId="10" fillId="5" borderId="5" xfId="0" applyFont="1" applyFill="1" applyBorder="1"/>
    <xf numFmtId="0" fontId="10" fillId="5" borderId="4" xfId="0" applyFont="1" applyFill="1" applyBorder="1" applyAlignment="1">
      <alignment horizontal="center"/>
    </xf>
    <xf numFmtId="0" fontId="10" fillId="5" borderId="5" xfId="0" applyFont="1" applyFill="1" applyBorder="1" applyAlignment="1">
      <alignment horizontal="center"/>
    </xf>
    <xf numFmtId="0" fontId="9" fillId="5" borderId="1" xfId="0" applyFont="1" applyFill="1" applyBorder="1"/>
    <xf numFmtId="0" fontId="9" fillId="5" borderId="52" xfId="0" applyFont="1" applyFill="1" applyBorder="1"/>
    <xf numFmtId="0" fontId="9" fillId="5" borderId="31" xfId="0" quotePrefix="1" applyNumberFormat="1" applyFont="1" applyFill="1" applyBorder="1" applyAlignment="1" applyProtection="1"/>
    <xf numFmtId="0" fontId="9" fillId="5" borderId="24" xfId="0" quotePrefix="1" applyNumberFormat="1" applyFont="1" applyFill="1" applyBorder="1" applyAlignment="1" applyProtection="1"/>
    <xf numFmtId="0" fontId="10" fillId="5" borderId="6" xfId="0" applyFont="1" applyFill="1" applyBorder="1"/>
    <xf numFmtId="0" fontId="10" fillId="5" borderId="15" xfId="0" applyFont="1" applyFill="1" applyBorder="1"/>
    <xf numFmtId="0" fontId="9" fillId="37" borderId="47" xfId="0" quotePrefix="1" applyFont="1" applyFill="1" applyBorder="1"/>
    <xf numFmtId="0" fontId="9" fillId="37" borderId="15" xfId="0" applyFont="1" applyFill="1" applyBorder="1"/>
    <xf numFmtId="0" fontId="9" fillId="5" borderId="35" xfId="0" applyFont="1" applyFill="1" applyBorder="1"/>
    <xf numFmtId="0" fontId="9" fillId="5" borderId="59" xfId="0" applyFont="1" applyFill="1" applyBorder="1"/>
    <xf numFmtId="0" fontId="9" fillId="5" borderId="2" xfId="0" applyFont="1" applyFill="1" applyBorder="1"/>
    <xf numFmtId="0" fontId="9" fillId="5" borderId="56" xfId="0" applyFont="1" applyFill="1" applyBorder="1"/>
    <xf numFmtId="0" fontId="10" fillId="5" borderId="7" xfId="0" applyFont="1" applyFill="1" applyBorder="1"/>
    <xf numFmtId="0" fontId="10" fillId="5" borderId="16" xfId="0" applyFont="1" applyFill="1" applyBorder="1"/>
    <xf numFmtId="0" fontId="9" fillId="37" borderId="46" xfId="0" quotePrefix="1" applyFont="1" applyFill="1" applyBorder="1"/>
    <xf numFmtId="0" fontId="9" fillId="37" borderId="16" xfId="0" applyFont="1" applyFill="1" applyBorder="1"/>
    <xf numFmtId="0" fontId="9" fillId="5" borderId="23" xfId="0" applyFont="1" applyFill="1" applyBorder="1" applyAlignment="1">
      <alignment horizontal="left"/>
    </xf>
    <xf numFmtId="0" fontId="9" fillId="5" borderId="46" xfId="0" quotePrefix="1" applyNumberFormat="1" applyFont="1" applyFill="1" applyBorder="1" applyAlignment="1" applyProtection="1">
      <alignment wrapText="1"/>
    </xf>
    <xf numFmtId="0" fontId="9" fillId="5" borderId="16" xfId="0" quotePrefix="1" applyNumberFormat="1" applyFont="1" applyFill="1" applyBorder="1" applyAlignment="1" applyProtection="1">
      <alignment wrapText="1"/>
    </xf>
    <xf numFmtId="0" fontId="9" fillId="5" borderId="30" xfId="0" quotePrefix="1" applyFont="1" applyFill="1" applyBorder="1" applyAlignment="1">
      <alignment horizontal="left"/>
    </xf>
    <xf numFmtId="0" fontId="9" fillId="5" borderId="24" xfId="0" quotePrefix="1" applyFont="1" applyFill="1" applyBorder="1" applyAlignment="1">
      <alignment horizontal="left"/>
    </xf>
    <xf numFmtId="0" fontId="9" fillId="5" borderId="31" xfId="0" quotePrefix="1" applyNumberFormat="1" applyFont="1" applyFill="1" applyBorder="1" applyAlignment="1" applyProtection="1">
      <alignment wrapText="1"/>
    </xf>
    <xf numFmtId="0" fontId="9" fillId="5" borderId="24" xfId="0" quotePrefix="1" applyNumberFormat="1" applyFont="1" applyFill="1" applyBorder="1" applyAlignment="1" applyProtection="1">
      <alignment wrapText="1"/>
    </xf>
    <xf numFmtId="0" fontId="9" fillId="5" borderId="6" xfId="0" applyFont="1" applyFill="1" applyBorder="1"/>
    <xf numFmtId="0" fontId="9" fillId="5" borderId="15" xfId="0" applyFont="1" applyFill="1" applyBorder="1"/>
    <xf numFmtId="0" fontId="9" fillId="5" borderId="47" xfId="0" applyFont="1" applyFill="1" applyBorder="1"/>
    <xf numFmtId="0" fontId="9" fillId="5" borderId="2" xfId="0" quotePrefix="1" applyFont="1" applyFill="1" applyBorder="1" applyAlignment="1">
      <alignment horizontal="left"/>
    </xf>
    <xf numFmtId="0" fontId="9" fillId="5" borderId="7" xfId="0" quotePrefix="1" applyFont="1" applyFill="1" applyBorder="1" applyAlignment="1">
      <alignment horizontal="left"/>
    </xf>
    <xf numFmtId="0" fontId="9" fillId="5" borderId="16" xfId="0" quotePrefix="1" applyFont="1" applyFill="1" applyBorder="1" applyAlignment="1">
      <alignment horizontal="left"/>
    </xf>
    <xf numFmtId="0" fontId="9" fillId="5" borderId="7" xfId="0" quotePrefix="1" applyNumberFormat="1" applyFont="1" applyFill="1" applyBorder="1" applyAlignment="1" applyProtection="1"/>
    <xf numFmtId="0" fontId="9" fillId="5" borderId="54" xfId="0" applyFont="1" applyFill="1" applyBorder="1" applyAlignment="1">
      <alignment horizontal="left"/>
    </xf>
    <xf numFmtId="0" fontId="9" fillId="5" borderId="21" xfId="0" applyFont="1" applyFill="1" applyBorder="1" applyAlignment="1">
      <alignment horizontal="left"/>
    </xf>
    <xf numFmtId="0" fontId="9" fillId="5" borderId="58" xfId="0" applyFont="1" applyFill="1" applyBorder="1" applyAlignment="1">
      <alignment wrapText="1"/>
    </xf>
    <xf numFmtId="0" fontId="9" fillId="5" borderId="21" xfId="0" applyFont="1" applyFill="1" applyBorder="1" applyAlignment="1">
      <alignment wrapText="1"/>
    </xf>
    <xf numFmtId="0" fontId="9" fillId="5" borderId="7" xfId="0" applyFont="1" applyFill="1" applyBorder="1" applyAlignment="1">
      <alignment horizontal="left"/>
    </xf>
    <xf numFmtId="0" fontId="9" fillId="5" borderId="16" xfId="0" applyFont="1" applyFill="1" applyBorder="1" applyAlignment="1">
      <alignment horizontal="left"/>
    </xf>
    <xf numFmtId="0" fontId="9" fillId="5" borderId="46" xfId="0" applyFont="1" applyFill="1" applyBorder="1"/>
    <xf numFmtId="0" fontId="9" fillId="5" borderId="16" xfId="0" applyFont="1" applyFill="1" applyBorder="1"/>
    <xf numFmtId="0" fontId="53" fillId="0" borderId="0" xfId="0" quotePrefix="1" applyFont="1" applyAlignment="1">
      <alignment horizontal="left" vertical="center"/>
    </xf>
    <xf numFmtId="0" fontId="53" fillId="0" borderId="0" xfId="0" applyFont="1" applyAlignment="1">
      <alignment horizontal="left" vertical="center"/>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5" borderId="5" xfId="0" applyFont="1" applyFill="1" applyBorder="1" applyAlignment="1">
      <alignment horizontal="center" vertical="top"/>
    </xf>
    <xf numFmtId="0" fontId="9" fillId="5" borderId="54" xfId="0" applyFont="1" applyFill="1" applyBorder="1" applyAlignment="1">
      <alignment horizontal="left" vertical="top" wrapText="1" indent="1"/>
    </xf>
    <xf numFmtId="0" fontId="9" fillId="5" borderId="42" xfId="0" applyFont="1" applyFill="1" applyBorder="1" applyAlignment="1">
      <alignment horizontal="left" vertical="top" wrapText="1" indent="1"/>
    </xf>
    <xf numFmtId="0" fontId="9" fillId="5" borderId="3" xfId="0" quotePrefix="1" applyNumberFormat="1" applyFont="1" applyFill="1" applyBorder="1" applyAlignment="1" applyProtection="1"/>
    <xf numFmtId="0" fontId="9" fillId="5" borderId="5" xfId="0" quotePrefix="1" applyNumberFormat="1" applyFont="1" applyFill="1" applyBorder="1" applyAlignment="1" applyProtection="1"/>
    <xf numFmtId="0" fontId="9" fillId="5" borderId="30" xfId="0" applyFont="1" applyFill="1" applyBorder="1" applyAlignment="1">
      <alignment horizontal="left" vertical="center" wrapText="1" indent="1"/>
    </xf>
    <xf numFmtId="0" fontId="9" fillId="5" borderId="44" xfId="0" applyFont="1" applyFill="1" applyBorder="1" applyAlignment="1">
      <alignment horizontal="left" vertical="center" wrapText="1" indent="1"/>
    </xf>
    <xf numFmtId="3" fontId="9" fillId="0" borderId="0" xfId="0" quotePrefix="1" applyNumberFormat="1" applyFont="1" applyFill="1" applyBorder="1" applyAlignment="1" applyProtection="1">
      <alignment horizontal="center" vertical="top" wrapText="1"/>
    </xf>
    <xf numFmtId="0" fontId="10" fillId="0" borderId="4" xfId="0" applyFont="1" applyBorder="1" applyAlignment="1" applyProtection="1">
      <alignment horizontal="center" vertical="top" wrapText="1"/>
      <protection locked="0"/>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10" fillId="5" borderId="5" xfId="0" applyFont="1" applyFill="1" applyBorder="1" applyAlignment="1">
      <alignment horizontal="center" vertical="top" wrapText="1"/>
    </xf>
    <xf numFmtId="0" fontId="9" fillId="5" borderId="2" xfId="0" applyFont="1" applyFill="1" applyBorder="1" applyAlignment="1">
      <alignment horizontal="left" vertical="top" wrapText="1" indent="1"/>
    </xf>
    <xf numFmtId="0" fontId="9" fillId="5" borderId="38" xfId="0" applyFont="1" applyFill="1" applyBorder="1" applyAlignment="1">
      <alignment horizontal="left" vertical="top" wrapText="1" indent="1"/>
    </xf>
    <xf numFmtId="0" fontId="9" fillId="5" borderId="2" xfId="0" quotePrefix="1" applyFont="1" applyFill="1" applyBorder="1" applyAlignment="1">
      <alignment horizontal="left" vertical="top" wrapText="1" indent="1"/>
    </xf>
    <xf numFmtId="0" fontId="9" fillId="5" borderId="1" xfId="0" applyFont="1" applyFill="1" applyBorder="1" applyAlignment="1">
      <alignment horizontal="left" vertical="top" wrapText="1" indent="1"/>
    </xf>
    <xf numFmtId="0" fontId="9" fillId="5" borderId="37" xfId="0" applyFont="1" applyFill="1" applyBorder="1" applyAlignment="1">
      <alignment horizontal="left" vertical="top" wrapText="1" indent="1"/>
    </xf>
    <xf numFmtId="0" fontId="9" fillId="0" borderId="48" xfId="0" applyFont="1" applyBorder="1" applyAlignment="1" applyProtection="1">
      <alignment horizontal="center"/>
      <protection locked="0"/>
    </xf>
    <xf numFmtId="0" fontId="9" fillId="0" borderId="0" xfId="0" quotePrefix="1" applyFont="1" applyAlignment="1">
      <alignment wrapText="1"/>
    </xf>
    <xf numFmtId="0" fontId="9" fillId="0" borderId="0" xfId="0" applyFont="1" applyAlignment="1">
      <alignment wrapText="1"/>
    </xf>
    <xf numFmtId="0" fontId="9" fillId="42" borderId="0" xfId="0" applyFont="1" applyFill="1" applyAlignment="1">
      <alignment wrapText="1"/>
    </xf>
    <xf numFmtId="0" fontId="37" fillId="6" borderId="2" xfId="0" applyFont="1" applyFill="1" applyBorder="1" applyAlignment="1" applyProtection="1">
      <alignment horizontal="left" vertical="center"/>
    </xf>
    <xf numFmtId="0" fontId="37" fillId="6" borderId="38" xfId="0" applyFont="1" applyFill="1" applyBorder="1" applyAlignment="1" applyProtection="1">
      <alignment horizontal="left" vertical="center"/>
    </xf>
    <xf numFmtId="0" fontId="37" fillId="6" borderId="23" xfId="0" applyFont="1" applyFill="1" applyBorder="1" applyAlignment="1" applyProtection="1">
      <alignment horizontal="left" vertical="center"/>
    </xf>
    <xf numFmtId="0" fontId="37" fillId="6" borderId="1" xfId="0" applyFont="1" applyFill="1" applyBorder="1" applyAlignment="1" applyProtection="1">
      <alignment horizontal="left" vertical="center"/>
    </xf>
    <xf numFmtId="0" fontId="37" fillId="6" borderId="37" xfId="0" applyFont="1" applyFill="1" applyBorder="1" applyAlignment="1" applyProtection="1">
      <alignment horizontal="left" vertical="center"/>
    </xf>
    <xf numFmtId="0" fontId="37" fillId="6" borderId="25" xfId="0" applyFont="1" applyFill="1" applyBorder="1" applyAlignment="1" applyProtection="1">
      <alignment horizontal="left" vertical="center"/>
    </xf>
    <xf numFmtId="0" fontId="38" fillId="5" borderId="22" xfId="0" applyFont="1" applyFill="1" applyBorder="1" applyAlignment="1" applyProtection="1">
      <alignment horizontal="center" vertical="center"/>
    </xf>
    <xf numFmtId="0" fontId="38" fillId="5" borderId="38" xfId="0" applyFont="1" applyFill="1" applyBorder="1" applyAlignment="1" applyProtection="1">
      <alignment horizontal="center" vertical="center"/>
    </xf>
    <xf numFmtId="0" fontId="38" fillId="5" borderId="56" xfId="0" applyFont="1" applyFill="1" applyBorder="1" applyAlignment="1" applyProtection="1">
      <alignment horizontal="center" vertical="center"/>
    </xf>
    <xf numFmtId="3" fontId="38" fillId="5" borderId="44" xfId="0" applyNumberFormat="1" applyFont="1" applyFill="1" applyBorder="1" applyAlignment="1" applyProtection="1">
      <alignment horizontal="center" vertical="center"/>
    </xf>
    <xf numFmtId="3" fontId="38" fillId="5" borderId="37" xfId="0" applyNumberFormat="1" applyFont="1" applyFill="1" applyBorder="1" applyAlignment="1" applyProtection="1">
      <alignment horizontal="center" vertical="center"/>
    </xf>
    <xf numFmtId="3" fontId="38" fillId="5" borderId="52" xfId="0" applyNumberFormat="1" applyFont="1" applyFill="1" applyBorder="1" applyAlignment="1" applyProtection="1">
      <alignment horizontal="center" vertical="center"/>
    </xf>
    <xf numFmtId="0" fontId="37" fillId="6" borderId="2" xfId="0" applyFont="1" applyFill="1" applyBorder="1" applyAlignment="1" applyProtection="1">
      <alignment horizontal="left" vertical="center" wrapText="1"/>
    </xf>
    <xf numFmtId="0" fontId="37" fillId="6" borderId="38" xfId="0" applyFont="1" applyFill="1" applyBorder="1" applyAlignment="1" applyProtection="1">
      <alignment horizontal="left" vertical="center" wrapText="1"/>
    </xf>
    <xf numFmtId="0" fontId="37" fillId="6" borderId="23" xfId="0" applyFont="1" applyFill="1" applyBorder="1" applyAlignment="1" applyProtection="1">
      <alignment horizontal="left" vertical="center" wrapText="1"/>
    </xf>
    <xf numFmtId="0" fontId="37" fillId="6" borderId="7" xfId="0" applyFont="1" applyFill="1" applyBorder="1" applyAlignment="1" applyProtection="1">
      <alignment horizontal="left" vertical="center" wrapText="1"/>
    </xf>
    <xf numFmtId="0" fontId="37" fillId="6" borderId="46" xfId="0" applyFont="1" applyFill="1" applyBorder="1" applyAlignment="1" applyProtection="1">
      <alignment horizontal="left" vertical="center" wrapText="1"/>
    </xf>
    <xf numFmtId="0" fontId="37" fillId="6" borderId="16" xfId="0" applyFont="1" applyFill="1" applyBorder="1" applyAlignment="1" applyProtection="1">
      <alignment horizontal="left" vertical="center" wrapText="1"/>
    </xf>
    <xf numFmtId="3" fontId="38" fillId="5" borderId="22" xfId="0" applyNumberFormat="1" applyFont="1" applyFill="1" applyBorder="1" applyAlignment="1" applyProtection="1">
      <alignment horizontal="center" vertical="center"/>
    </xf>
    <xf numFmtId="3" fontId="38" fillId="5" borderId="38" xfId="0" applyNumberFormat="1" applyFont="1" applyFill="1" applyBorder="1" applyAlignment="1" applyProtection="1">
      <alignment horizontal="center" vertical="center"/>
    </xf>
    <xf numFmtId="3" fontId="38" fillId="5" borderId="56" xfId="0" applyNumberFormat="1" applyFont="1" applyFill="1" applyBorder="1" applyAlignment="1" applyProtection="1">
      <alignment horizontal="center" vertical="center"/>
    </xf>
    <xf numFmtId="164" fontId="38" fillId="5" borderId="46" xfId="0" applyNumberFormat="1" applyFont="1" applyFill="1" applyBorder="1" applyAlignment="1" applyProtection="1">
      <alignment horizontal="center" vertical="center"/>
    </xf>
    <xf numFmtId="0" fontId="37" fillId="6" borderId="33" xfId="0" applyFont="1" applyFill="1" applyBorder="1" applyAlignment="1" applyProtection="1">
      <alignment horizontal="left"/>
    </xf>
    <xf numFmtId="0" fontId="37" fillId="6" borderId="57" xfId="0" applyFont="1" applyFill="1" applyBorder="1" applyAlignment="1" applyProtection="1">
      <alignment horizontal="left"/>
    </xf>
    <xf numFmtId="0" fontId="37" fillId="6" borderId="60" xfId="0" applyFont="1" applyFill="1" applyBorder="1" applyAlignment="1" applyProtection="1">
      <alignment horizontal="left"/>
    </xf>
    <xf numFmtId="0" fontId="37" fillId="6" borderId="6" xfId="0" applyFont="1" applyFill="1" applyBorder="1" applyAlignment="1" applyProtection="1">
      <alignment horizontal="center"/>
    </xf>
    <xf numFmtId="0" fontId="37" fillId="6" borderId="47" xfId="0" applyFont="1" applyFill="1" applyBorder="1" applyAlignment="1" applyProtection="1">
      <alignment horizontal="center"/>
    </xf>
    <xf numFmtId="0" fontId="37" fillId="6" borderId="15" xfId="0" applyFont="1" applyFill="1" applyBorder="1" applyAlignment="1" applyProtection="1">
      <alignment horizontal="center"/>
    </xf>
    <xf numFmtId="3" fontId="38" fillId="0" borderId="22" xfId="0" applyNumberFormat="1" applyFont="1" applyFill="1" applyBorder="1" applyAlignment="1" applyProtection="1">
      <alignment horizontal="center" vertical="center"/>
      <protection locked="0"/>
    </xf>
    <xf numFmtId="3" fontId="38" fillId="0" borderId="38" xfId="0" applyNumberFormat="1" applyFont="1" applyFill="1" applyBorder="1" applyAlignment="1" applyProtection="1">
      <alignment horizontal="center" vertical="center"/>
      <protection locked="0"/>
    </xf>
    <xf numFmtId="3" fontId="38" fillId="0" borderId="56" xfId="0" applyNumberFormat="1" applyFont="1" applyFill="1" applyBorder="1" applyAlignment="1" applyProtection="1">
      <alignment horizontal="center" vertical="center"/>
      <protection locked="0"/>
    </xf>
    <xf numFmtId="168" fontId="38" fillId="0" borderId="22" xfId="0" applyNumberFormat="1" applyFont="1" applyFill="1" applyBorder="1" applyAlignment="1" applyProtection="1">
      <alignment horizontal="center" vertical="center"/>
      <protection locked="0"/>
    </xf>
    <xf numFmtId="168" fontId="38" fillId="0" borderId="38" xfId="0" applyNumberFormat="1" applyFont="1" applyFill="1" applyBorder="1" applyAlignment="1" applyProtection="1">
      <alignment horizontal="center" vertical="center"/>
      <protection locked="0"/>
    </xf>
    <xf numFmtId="168" fontId="38" fillId="0" borderId="56" xfId="0" applyNumberFormat="1" applyFont="1" applyFill="1" applyBorder="1" applyAlignment="1" applyProtection="1">
      <alignment horizontal="center" vertical="center"/>
      <protection locked="0"/>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5" fillId="4" borderId="5" xfId="0" applyFont="1" applyFill="1" applyBorder="1" applyAlignment="1" applyProtection="1">
      <alignment horizontal="center"/>
    </xf>
    <xf numFmtId="0" fontId="38" fillId="0" borderId="7" xfId="0" applyFont="1" applyFill="1" applyBorder="1" applyAlignment="1" applyProtection="1">
      <alignment horizontal="center" vertical="center"/>
      <protection locked="0"/>
    </xf>
    <xf numFmtId="0" fontId="38" fillId="0" borderId="46" xfId="0" applyFont="1" applyFill="1" applyBorder="1" applyAlignment="1" applyProtection="1">
      <alignment horizontal="center" vertical="center"/>
      <protection locked="0"/>
    </xf>
    <xf numFmtId="0" fontId="38" fillId="0" borderId="16" xfId="0" applyFont="1" applyFill="1" applyBorder="1" applyAlignment="1" applyProtection="1">
      <alignment horizontal="center" vertical="center"/>
      <protection locked="0"/>
    </xf>
    <xf numFmtId="0" fontId="37" fillId="6" borderId="30" xfId="0" applyFont="1" applyFill="1" applyBorder="1" applyAlignment="1" applyProtection="1">
      <alignment horizontal="left" vertical="center" wrapText="1"/>
    </xf>
    <xf numFmtId="0" fontId="37" fillId="6" borderId="31" xfId="0" applyFont="1" applyFill="1" applyBorder="1" applyAlignment="1" applyProtection="1">
      <alignment horizontal="left" vertical="center" wrapText="1"/>
    </xf>
    <xf numFmtId="0" fontId="37" fillId="6" borderId="24" xfId="0" applyFont="1" applyFill="1" applyBorder="1" applyAlignment="1" applyProtection="1">
      <alignment horizontal="left" vertical="center" wrapText="1"/>
    </xf>
    <xf numFmtId="0" fontId="38" fillId="0" borderId="30" xfId="0" applyFont="1" applyFill="1" applyBorder="1" applyAlignment="1" applyProtection="1">
      <alignment horizontal="center" vertical="center"/>
      <protection locked="0"/>
    </xf>
    <xf numFmtId="0" fontId="38" fillId="0" borderId="31" xfId="0" applyFont="1" applyFill="1" applyBorder="1" applyAlignment="1" applyProtection="1">
      <alignment horizontal="center" vertical="center"/>
      <protection locked="0"/>
    </xf>
    <xf numFmtId="0" fontId="38" fillId="0" borderId="24" xfId="0" applyFont="1" applyFill="1" applyBorder="1" applyAlignment="1" applyProtection="1">
      <alignment horizontal="center" vertical="center"/>
      <protection locked="0"/>
    </xf>
    <xf numFmtId="0" fontId="0" fillId="6" borderId="86" xfId="0" applyFill="1" applyBorder="1" applyAlignment="1" applyProtection="1">
      <alignment horizontal="left" vertical="center"/>
    </xf>
    <xf numFmtId="0" fontId="0" fillId="6" borderId="149" xfId="0" applyFill="1" applyBorder="1" applyAlignment="1" applyProtection="1">
      <alignment horizontal="left" vertical="center"/>
    </xf>
    <xf numFmtId="0" fontId="0" fillId="6" borderId="139" xfId="0" applyFill="1" applyBorder="1" applyAlignment="1" applyProtection="1">
      <alignment horizontal="left" vertical="center"/>
    </xf>
    <xf numFmtId="0" fontId="0" fillId="6" borderId="27" xfId="0" applyFill="1" applyBorder="1" applyAlignment="1" applyProtection="1">
      <alignment horizontal="left" vertical="center"/>
    </xf>
    <xf numFmtId="0" fontId="0" fillId="6" borderId="0" xfId="0" applyFill="1" applyBorder="1" applyAlignment="1" applyProtection="1">
      <alignment horizontal="left" vertical="center"/>
    </xf>
    <xf numFmtId="0" fontId="0" fillId="6" borderId="18" xfId="0" applyFill="1" applyBorder="1" applyAlignment="1" applyProtection="1">
      <alignment horizontal="left" vertical="center"/>
    </xf>
    <xf numFmtId="0" fontId="0" fillId="6" borderId="28" xfId="0" applyFill="1" applyBorder="1" applyAlignment="1" applyProtection="1">
      <alignment horizontal="left" vertical="center"/>
    </xf>
    <xf numFmtId="0" fontId="0" fillId="6" borderId="29" xfId="0" applyFill="1" applyBorder="1" applyAlignment="1" applyProtection="1">
      <alignment horizontal="left" vertical="center"/>
    </xf>
    <xf numFmtId="0" fontId="0" fillId="6" borderId="14" xfId="0" applyFill="1" applyBorder="1" applyAlignment="1" applyProtection="1">
      <alignment horizontal="left" vertical="center"/>
    </xf>
    <xf numFmtId="0" fontId="10" fillId="0" borderId="0" xfId="0" applyFont="1" applyFill="1" applyBorder="1" applyAlignment="1" applyProtection="1">
      <alignment horizontal="center"/>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7" fillId="4" borderId="5" xfId="0" applyFont="1" applyFill="1" applyBorder="1" applyAlignment="1" applyProtection="1">
      <alignment horizontal="center" vertical="top"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31" fillId="6" borderId="33" xfId="0" applyFont="1" applyFill="1" applyBorder="1" applyAlignment="1" applyProtection="1">
      <alignment horizontal="center"/>
    </xf>
    <xf numFmtId="0" fontId="31" fillId="6" borderId="35" xfId="0" applyFont="1" applyFill="1" applyBorder="1" applyAlignment="1" applyProtection="1">
      <alignment horizontal="center"/>
    </xf>
    <xf numFmtId="0" fontId="31" fillId="6" borderId="60" xfId="0" applyFont="1" applyFill="1" applyBorder="1" applyAlignment="1" applyProtection="1">
      <alignment horizontal="center"/>
    </xf>
    <xf numFmtId="0" fontId="31" fillId="6" borderId="20" xfId="0" applyFont="1" applyFill="1" applyBorder="1" applyAlignment="1" applyProtection="1">
      <alignment horizontal="center"/>
    </xf>
    <xf numFmtId="0" fontId="35" fillId="6" borderId="6" xfId="0" applyFont="1" applyFill="1" applyBorder="1" applyAlignment="1" applyProtection="1">
      <alignment horizontal="center" wrapText="1"/>
    </xf>
    <xf numFmtId="0" fontId="35" fillId="6" borderId="47" xfId="0" applyFont="1" applyFill="1" applyBorder="1" applyAlignment="1" applyProtection="1">
      <alignment horizontal="center" wrapText="1"/>
    </xf>
    <xf numFmtId="0" fontId="35" fillId="6" borderId="15" xfId="0" applyFont="1" applyFill="1" applyBorder="1" applyAlignment="1" applyProtection="1">
      <alignment horizontal="center" wrapText="1"/>
    </xf>
    <xf numFmtId="0" fontId="37" fillId="6" borderId="50" xfId="0" applyFont="1" applyFill="1" applyBorder="1" applyAlignment="1" applyProtection="1">
      <alignment horizontal="left"/>
    </xf>
    <xf numFmtId="0" fontId="37" fillId="6" borderId="48" xfId="0" applyFont="1" applyFill="1" applyBorder="1" applyAlignment="1" applyProtection="1">
      <alignment horizontal="left"/>
    </xf>
    <xf numFmtId="0" fontId="37" fillId="6" borderId="45" xfId="0" applyFont="1" applyFill="1" applyBorder="1" applyAlignment="1" applyProtection="1">
      <alignment horizontal="left"/>
    </xf>
    <xf numFmtId="0" fontId="37" fillId="6" borderId="7" xfId="0" applyFont="1" applyFill="1" applyBorder="1" applyAlignment="1" applyProtection="1">
      <alignment horizontal="left" vertical="center"/>
    </xf>
    <xf numFmtId="0" fontId="37" fillId="6" borderId="46" xfId="0" applyFont="1" applyFill="1" applyBorder="1" applyAlignment="1" applyProtection="1">
      <alignment horizontal="left" vertical="center"/>
    </xf>
    <xf numFmtId="0" fontId="37" fillId="6" borderId="16" xfId="0" applyFont="1" applyFill="1" applyBorder="1" applyAlignment="1" applyProtection="1">
      <alignment horizontal="left" vertical="center"/>
    </xf>
    <xf numFmtId="0" fontId="37" fillId="6" borderId="28" xfId="0" applyFont="1" applyFill="1" applyBorder="1" applyAlignment="1" applyProtection="1">
      <alignment horizontal="left" vertical="center" wrapText="1"/>
    </xf>
    <xf numFmtId="0" fontId="37" fillId="6" borderId="29" xfId="0" applyFont="1" applyFill="1" applyBorder="1" applyAlignment="1" applyProtection="1">
      <alignment horizontal="left" vertical="center" wrapText="1"/>
    </xf>
    <xf numFmtId="0" fontId="37" fillId="6" borderId="14" xfId="0" applyFont="1" applyFill="1" applyBorder="1" applyAlignment="1" applyProtection="1">
      <alignment horizontal="left" vertical="center" wrapText="1"/>
    </xf>
    <xf numFmtId="167" fontId="37" fillId="6" borderId="7" xfId="0" applyNumberFormat="1" applyFont="1" applyFill="1" applyBorder="1" applyAlignment="1" applyProtection="1">
      <alignment horizontal="center" wrapText="1"/>
    </xf>
    <xf numFmtId="167" fontId="37" fillId="6" borderId="128" xfId="0" applyNumberFormat="1" applyFont="1" applyFill="1" applyBorder="1" applyAlignment="1" applyProtection="1">
      <alignment horizontal="center" wrapText="1"/>
    </xf>
    <xf numFmtId="167" fontId="38" fillId="6" borderId="7" xfId="0" applyNumberFormat="1" applyFont="1" applyFill="1" applyBorder="1" applyAlignment="1" applyProtection="1">
      <alignment horizontal="center"/>
    </xf>
    <xf numFmtId="167" fontId="38" fillId="6" borderId="128" xfId="0" applyNumberFormat="1" applyFont="1" applyFill="1" applyBorder="1" applyAlignment="1" applyProtection="1">
      <alignment horizontal="center"/>
    </xf>
    <xf numFmtId="167" fontId="38" fillId="6" borderId="46" xfId="0" applyNumberFormat="1" applyFont="1" applyFill="1" applyBorder="1" applyAlignment="1" applyProtection="1">
      <alignment horizontal="center"/>
    </xf>
    <xf numFmtId="167" fontId="38" fillId="6" borderId="16" xfId="0" applyNumberFormat="1" applyFont="1" applyFill="1" applyBorder="1" applyAlignment="1" applyProtection="1">
      <alignment horizontal="center"/>
    </xf>
    <xf numFmtId="168" fontId="37" fillId="5" borderId="3" xfId="0" applyNumberFormat="1" applyFont="1" applyFill="1" applyBorder="1" applyAlignment="1" applyProtection="1">
      <alignment horizontal="center" vertical="center"/>
    </xf>
    <xf numFmtId="168" fontId="37" fillId="5" borderId="4" xfId="0" applyNumberFormat="1" applyFont="1" applyFill="1" applyBorder="1" applyAlignment="1" applyProtection="1">
      <alignment horizontal="center" vertical="center"/>
    </xf>
    <xf numFmtId="168" fontId="37" fillId="5" borderId="5" xfId="0" applyNumberFormat="1" applyFont="1" applyFill="1" applyBorder="1" applyAlignment="1" applyProtection="1">
      <alignment horizontal="center" vertical="center"/>
    </xf>
    <xf numFmtId="0" fontId="37" fillId="6" borderId="7" xfId="0" applyFont="1" applyFill="1" applyBorder="1" applyAlignment="1" applyProtection="1">
      <alignment horizontal="left" wrapText="1"/>
    </xf>
    <xf numFmtId="0" fontId="37" fillId="6" borderId="46" xfId="0" applyFont="1" applyFill="1" applyBorder="1" applyAlignment="1" applyProtection="1">
      <alignment horizontal="left" wrapText="1"/>
    </xf>
    <xf numFmtId="0" fontId="37" fillId="6" borderId="16" xfId="0" applyFont="1" applyFill="1" applyBorder="1" applyAlignment="1" applyProtection="1">
      <alignment horizontal="left" wrapText="1"/>
    </xf>
    <xf numFmtId="168" fontId="38" fillId="6" borderId="7" xfId="0" applyNumberFormat="1" applyFont="1" applyFill="1" applyBorder="1" applyAlignment="1" applyProtection="1">
      <alignment horizontal="center"/>
    </xf>
    <xf numFmtId="168" fontId="38" fillId="6" borderId="128" xfId="0" applyNumberFormat="1" applyFont="1" applyFill="1" applyBorder="1" applyAlignment="1" applyProtection="1">
      <alignment horizontal="center"/>
    </xf>
    <xf numFmtId="168" fontId="38" fillId="6" borderId="46" xfId="0" applyNumberFormat="1" applyFont="1" applyFill="1" applyBorder="1" applyAlignment="1" applyProtection="1">
      <alignment horizontal="center"/>
    </xf>
    <xf numFmtId="168" fontId="38" fillId="6" borderId="16" xfId="0" applyNumberFormat="1" applyFont="1" applyFill="1" applyBorder="1" applyAlignment="1" applyProtection="1">
      <alignment horizontal="center"/>
    </xf>
    <xf numFmtId="0" fontId="41" fillId="37" borderId="3" xfId="0" applyFont="1" applyFill="1" applyBorder="1" applyAlignment="1" applyProtection="1">
      <alignment horizontal="center"/>
    </xf>
    <xf numFmtId="0" fontId="41" fillId="37" borderId="4" xfId="0" applyFont="1" applyFill="1" applyBorder="1" applyAlignment="1" applyProtection="1">
      <alignment horizontal="center"/>
    </xf>
    <xf numFmtId="0" fontId="41" fillId="37" borderId="5" xfId="0" applyFont="1" applyFill="1" applyBorder="1" applyAlignment="1" applyProtection="1">
      <alignment horizontal="center"/>
    </xf>
    <xf numFmtId="0" fontId="5" fillId="0" borderId="0" xfId="0" applyFont="1" applyFill="1" applyBorder="1" applyAlignment="1" applyProtection="1">
      <alignment horizontal="center"/>
    </xf>
    <xf numFmtId="168" fontId="38" fillId="6" borderId="28" xfId="0" applyNumberFormat="1" applyFont="1" applyFill="1" applyBorder="1" applyAlignment="1" applyProtection="1">
      <alignment horizontal="center" vertical="center"/>
    </xf>
    <xf numFmtId="168" fontId="38" fillId="6" borderId="29" xfId="0" applyNumberFormat="1" applyFont="1" applyFill="1" applyBorder="1" applyAlignment="1" applyProtection="1">
      <alignment horizontal="center" vertical="center"/>
    </xf>
    <xf numFmtId="168" fontId="38" fillId="6" borderId="14" xfId="0" applyNumberFormat="1" applyFont="1" applyFill="1" applyBorder="1" applyAlignment="1" applyProtection="1">
      <alignment horizontal="center" vertical="center"/>
    </xf>
    <xf numFmtId="167" fontId="37" fillId="6" borderId="46" xfId="0" applyNumberFormat="1" applyFont="1" applyFill="1" applyBorder="1" applyAlignment="1" applyProtection="1">
      <alignment horizontal="center" wrapText="1"/>
    </xf>
    <xf numFmtId="167" fontId="37" fillId="6" borderId="16" xfId="0" applyNumberFormat="1" applyFont="1" applyFill="1" applyBorder="1" applyAlignment="1" applyProtection="1">
      <alignment horizontal="center" wrapText="1"/>
    </xf>
    <xf numFmtId="0" fontId="9" fillId="3" borderId="0" xfId="0" quotePrefix="1" applyFont="1" applyFill="1" applyBorder="1" applyAlignment="1" applyProtection="1">
      <alignment horizontal="left" vertical="center" wrapText="1"/>
    </xf>
    <xf numFmtId="0" fontId="10" fillId="3" borderId="0" xfId="0" quotePrefix="1" applyFont="1" applyFill="1" applyBorder="1" applyAlignment="1" applyProtection="1">
      <alignment horizontal="left" vertical="center" wrapText="1"/>
    </xf>
    <xf numFmtId="0" fontId="10" fillId="4" borderId="3" xfId="0"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9" fillId="3" borderId="6"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9" fillId="3" borderId="30"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10" fillId="4" borderId="50" xfId="0" applyFont="1" applyFill="1" applyBorder="1" applyAlignment="1" applyProtection="1">
      <alignment horizontal="center" vertical="center" wrapText="1"/>
    </xf>
    <xf numFmtId="0" fontId="10" fillId="4" borderId="45"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9" fillId="3" borderId="0" xfId="0" applyFont="1" applyFill="1" applyBorder="1" applyAlignment="1" applyProtection="1">
      <alignment horizontal="left" vertical="center" wrapText="1"/>
    </xf>
    <xf numFmtId="0" fontId="9" fillId="3" borderId="29" xfId="0" applyFont="1" applyFill="1" applyBorder="1" applyAlignment="1" applyProtection="1">
      <alignment horizontal="center"/>
    </xf>
    <xf numFmtId="0" fontId="10" fillId="3" borderId="0" xfId="0" quotePrefix="1" applyFont="1" applyFill="1" applyAlignment="1" applyProtection="1">
      <alignment horizontal="left" vertical="center" wrapText="1"/>
    </xf>
    <xf numFmtId="0" fontId="9" fillId="3" borderId="0" xfId="0" applyFont="1" applyFill="1" applyAlignment="1" applyProtection="1">
      <alignment horizontal="left" vertical="center" wrapText="1"/>
    </xf>
    <xf numFmtId="0" fontId="10" fillId="4" borderId="50" xfId="0" quotePrefix="1" applyFont="1" applyFill="1" applyBorder="1" applyAlignment="1" applyProtection="1">
      <alignment horizontal="center" vertical="center" wrapText="1"/>
    </xf>
    <xf numFmtId="0" fontId="10" fillId="4" borderId="45" xfId="0" quotePrefix="1" applyFont="1" applyFill="1" applyBorder="1" applyAlignment="1" applyProtection="1">
      <alignment horizontal="center" vertical="center" wrapText="1"/>
    </xf>
    <xf numFmtId="0" fontId="10" fillId="4" borderId="28" xfId="0" quotePrefix="1" applyFont="1" applyFill="1" applyBorder="1" applyAlignment="1" applyProtection="1">
      <alignment horizontal="center" vertical="center" wrapText="1"/>
    </xf>
    <xf numFmtId="0" fontId="10" fillId="4" borderId="14" xfId="0" quotePrefix="1" applyFont="1" applyFill="1" applyBorder="1" applyAlignment="1" applyProtection="1">
      <alignment horizontal="center" vertical="center" wrapText="1"/>
    </xf>
    <xf numFmtId="0" fontId="10" fillId="6" borderId="50" xfId="0" applyFont="1" applyFill="1" applyBorder="1" applyAlignment="1" applyProtection="1">
      <alignment horizontal="center" vertical="center" wrapText="1"/>
    </xf>
    <xf numFmtId="0" fontId="10" fillId="6" borderId="45" xfId="0" applyFont="1" applyFill="1" applyBorder="1" applyAlignment="1" applyProtection="1">
      <alignment horizontal="center" vertical="center" wrapText="1"/>
    </xf>
    <xf numFmtId="0" fontId="10" fillId="6" borderId="28"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wrapText="1"/>
    </xf>
    <xf numFmtId="0" fontId="9" fillId="3" borderId="9" xfId="0" applyFont="1" applyFill="1" applyBorder="1" applyAlignment="1" applyProtection="1">
      <alignment horizontal="center" vertical="top" wrapText="1"/>
      <protection locked="0"/>
    </xf>
    <xf numFmtId="0" fontId="10" fillId="4" borderId="12"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6" xfId="0" applyFont="1" applyFill="1" applyBorder="1" applyAlignment="1" applyProtection="1">
      <alignment horizontal="left" vertical="top" wrapText="1"/>
    </xf>
    <xf numFmtId="0" fontId="10" fillId="4" borderId="26" xfId="0" applyFont="1" applyFill="1" applyBorder="1" applyAlignment="1" applyProtection="1">
      <alignment horizontal="left" vertical="top" wrapText="1"/>
    </xf>
    <xf numFmtId="0" fontId="10" fillId="4" borderId="7" xfId="0" applyFont="1" applyFill="1" applyBorder="1" applyAlignment="1" applyProtection="1">
      <alignment horizontal="left" vertical="top" wrapText="1"/>
    </xf>
    <xf numFmtId="0" fontId="10" fillId="4" borderId="22" xfId="0" applyFont="1" applyFill="1" applyBorder="1" applyAlignment="1" applyProtection="1">
      <alignment horizontal="left" vertical="top" wrapText="1"/>
    </xf>
    <xf numFmtId="0" fontId="10" fillId="0" borderId="47"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9" fillId="3" borderId="56"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3" xfId="0" applyFont="1" applyFill="1" applyBorder="1" applyAlignment="1" applyProtection="1">
      <alignment horizontal="center"/>
    </xf>
    <xf numFmtId="0" fontId="9" fillId="3" borderId="4" xfId="0" applyFont="1" applyFill="1" applyBorder="1" applyAlignment="1" applyProtection="1">
      <alignment horizontal="center"/>
    </xf>
    <xf numFmtId="0" fontId="9" fillId="3" borderId="5" xfId="0" applyFont="1" applyFill="1" applyBorder="1" applyAlignment="1" applyProtection="1">
      <alignment horizontal="center"/>
    </xf>
    <xf numFmtId="0" fontId="10" fillId="4" borderId="48" xfId="0" applyFont="1" applyFill="1" applyBorder="1" applyAlignment="1" applyProtection="1">
      <alignment horizontal="center" vertical="center" wrapText="1"/>
    </xf>
    <xf numFmtId="0" fontId="10" fillId="4" borderId="29"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top" wrapText="1"/>
    </xf>
    <xf numFmtId="0" fontId="10" fillId="4" borderId="14" xfId="0" applyFont="1" applyFill="1" applyBorder="1" applyAlignment="1" applyProtection="1">
      <alignment horizontal="center" vertical="top" wrapText="1"/>
    </xf>
    <xf numFmtId="49" fontId="9" fillId="4" borderId="6" xfId="0" applyNumberFormat="1" applyFont="1" applyFill="1" applyBorder="1" applyAlignment="1" applyProtection="1">
      <alignment horizontal="center" vertical="top" wrapText="1"/>
      <protection locked="0"/>
    </xf>
    <xf numFmtId="49" fontId="9" fillId="4" borderId="15" xfId="0" applyNumberFormat="1" applyFont="1" applyFill="1" applyBorder="1" applyAlignment="1" applyProtection="1">
      <alignment horizontal="center" vertical="top" wrapText="1"/>
      <protection locked="0"/>
    </xf>
    <xf numFmtId="0" fontId="9" fillId="3" borderId="7" xfId="0" applyFont="1" applyFill="1" applyBorder="1" applyAlignment="1" applyProtection="1">
      <alignment horizontal="center"/>
      <protection locked="0"/>
    </xf>
    <xf numFmtId="0" fontId="9" fillId="3" borderId="16" xfId="0" applyFont="1" applyFill="1" applyBorder="1" applyAlignment="1" applyProtection="1">
      <alignment horizontal="center"/>
      <protection locked="0"/>
    </xf>
    <xf numFmtId="0" fontId="10" fillId="4" borderId="50" xfId="0" applyFont="1" applyFill="1" applyBorder="1" applyAlignment="1" applyProtection="1">
      <alignment horizontal="left" vertical="top" wrapText="1"/>
    </xf>
    <xf numFmtId="0" fontId="10" fillId="4" borderId="64" xfId="0" applyFont="1" applyFill="1" applyBorder="1" applyAlignment="1" applyProtection="1">
      <alignment horizontal="left" vertical="top" wrapText="1"/>
    </xf>
    <xf numFmtId="0" fontId="10" fillId="4" borderId="28" xfId="0" applyFont="1" applyFill="1" applyBorder="1" applyAlignment="1" applyProtection="1">
      <alignment horizontal="left" vertical="top" wrapText="1"/>
    </xf>
    <xf numFmtId="0" fontId="10" fillId="4" borderId="43" xfId="0" applyFont="1" applyFill="1" applyBorder="1" applyAlignment="1" applyProtection="1">
      <alignment horizontal="left" vertical="top" wrapText="1"/>
    </xf>
    <xf numFmtId="0" fontId="10" fillId="4" borderId="4" xfId="0" applyFont="1" applyFill="1" applyBorder="1" applyAlignment="1" applyProtection="1">
      <alignment horizontal="center" vertical="top" wrapText="1"/>
    </xf>
    <xf numFmtId="0" fontId="9" fillId="4" borderId="28" xfId="0" applyFont="1" applyFill="1" applyBorder="1" applyAlignment="1" applyProtection="1">
      <alignment horizontal="center"/>
    </xf>
    <xf numFmtId="0" fontId="9" fillId="4" borderId="14" xfId="0" applyFont="1" applyFill="1" applyBorder="1" applyAlignment="1" applyProtection="1">
      <alignment horizontal="center"/>
    </xf>
    <xf numFmtId="0" fontId="9" fillId="3" borderId="61" xfId="0" applyFont="1" applyFill="1" applyBorder="1" applyAlignment="1" applyProtection="1">
      <alignment horizontal="center"/>
      <protection locked="0"/>
    </xf>
    <xf numFmtId="0" fontId="9" fillId="3" borderId="49" xfId="0" applyFont="1" applyFill="1" applyBorder="1" applyAlignment="1" applyProtection="1">
      <alignment horizontal="center"/>
      <protection locked="0"/>
    </xf>
    <xf numFmtId="0" fontId="10" fillId="4" borderId="30" xfId="0" applyFont="1" applyFill="1" applyBorder="1" applyAlignment="1" applyProtection="1">
      <alignment horizontal="left" vertical="top" wrapText="1"/>
    </xf>
    <xf numFmtId="0" fontId="10" fillId="4" borderId="44" xfId="0" applyFont="1" applyFill="1" applyBorder="1" applyAlignment="1" applyProtection="1">
      <alignment horizontal="left" vertical="top" wrapText="1"/>
    </xf>
    <xf numFmtId="169" fontId="9" fillId="3" borderId="56" xfId="0" applyNumberFormat="1" applyFont="1" applyFill="1" applyBorder="1" applyAlignment="1" applyProtection="1">
      <alignment horizontal="center" vertical="top" wrapText="1"/>
      <protection locked="0"/>
    </xf>
    <xf numFmtId="169" fontId="9" fillId="3" borderId="16" xfId="0" applyNumberFormat="1" applyFont="1" applyFill="1" applyBorder="1" applyAlignment="1" applyProtection="1">
      <alignment horizontal="center" vertical="top" wrapText="1"/>
      <protection locked="0"/>
    </xf>
    <xf numFmtId="3" fontId="9" fillId="3" borderId="52" xfId="0" applyNumberFormat="1" applyFont="1" applyFill="1" applyBorder="1" applyAlignment="1" applyProtection="1">
      <alignment horizontal="center" vertical="top" wrapText="1"/>
      <protection locked="0"/>
    </xf>
    <xf numFmtId="3" fontId="9" fillId="3" borderId="24" xfId="0" applyNumberFormat="1" applyFont="1" applyFill="1" applyBorder="1" applyAlignment="1" applyProtection="1">
      <alignment horizontal="center" vertical="top" wrapText="1"/>
      <protection locked="0"/>
    </xf>
    <xf numFmtId="0" fontId="9" fillId="4" borderId="56" xfId="0" applyFont="1" applyFill="1" applyBorder="1" applyAlignment="1" applyProtection="1">
      <alignment horizontal="center" vertical="top" wrapText="1"/>
      <protection locked="0"/>
    </xf>
    <xf numFmtId="0" fontId="9" fillId="4" borderId="16" xfId="0" applyFont="1" applyFill="1" applyBorder="1" applyAlignment="1" applyProtection="1">
      <alignment horizontal="center" vertical="top" wrapText="1"/>
      <protection locked="0"/>
    </xf>
    <xf numFmtId="3" fontId="9" fillId="3" borderId="56" xfId="0" applyNumberFormat="1" applyFont="1" applyFill="1" applyBorder="1" applyAlignment="1" applyProtection="1">
      <alignment horizontal="center" vertical="top" wrapText="1"/>
      <protection locked="0"/>
    </xf>
    <xf numFmtId="3" fontId="9" fillId="3" borderId="16" xfId="0" applyNumberFormat="1" applyFont="1" applyFill="1" applyBorder="1" applyAlignment="1" applyProtection="1">
      <alignment horizontal="center" vertical="top" wrapText="1"/>
      <protection locked="0"/>
    </xf>
    <xf numFmtId="0" fontId="10" fillId="4" borderId="3" xfId="0" quotePrefix="1" applyFont="1" applyFill="1" applyBorder="1" applyAlignment="1" applyProtection="1">
      <alignment horizontal="left" vertical="top" wrapText="1"/>
    </xf>
    <xf numFmtId="0" fontId="10" fillId="4" borderId="5" xfId="0" quotePrefix="1" applyFont="1" applyFill="1" applyBorder="1" applyAlignment="1" applyProtection="1">
      <alignment horizontal="left" vertical="top" wrapText="1"/>
    </xf>
    <xf numFmtId="0" fontId="10" fillId="4" borderId="50" xfId="0" applyFont="1" applyFill="1" applyBorder="1" applyAlignment="1" applyProtection="1">
      <alignment vertical="top" wrapText="1"/>
    </xf>
    <xf numFmtId="0" fontId="10" fillId="4" borderId="48" xfId="0" applyFont="1" applyFill="1" applyBorder="1" applyAlignment="1" applyProtection="1">
      <alignment vertical="top" wrapText="1"/>
    </xf>
    <xf numFmtId="0" fontId="10" fillId="4" borderId="45" xfId="0" applyFont="1" applyFill="1" applyBorder="1" applyAlignment="1" applyProtection="1">
      <alignment vertical="top" wrapText="1"/>
    </xf>
    <xf numFmtId="0" fontId="9" fillId="4" borderId="28" xfId="0" quotePrefix="1" applyFont="1" applyFill="1" applyBorder="1" applyAlignment="1" applyProtection="1">
      <alignment horizontal="left" vertical="top" wrapText="1"/>
    </xf>
    <xf numFmtId="0" fontId="9" fillId="4" borderId="29" xfId="0" applyFont="1" applyFill="1" applyBorder="1" applyAlignment="1" applyProtection="1">
      <alignment vertical="top" wrapText="1"/>
    </xf>
    <xf numFmtId="0" fontId="9" fillId="4" borderId="14" xfId="0" applyFont="1" applyFill="1" applyBorder="1" applyAlignment="1" applyProtection="1">
      <alignment vertical="top" wrapText="1"/>
    </xf>
    <xf numFmtId="167" fontId="9" fillId="0" borderId="3" xfId="0" applyNumberFormat="1" applyFont="1" applyFill="1" applyBorder="1" applyAlignment="1" applyProtection="1">
      <alignment horizontal="center" vertical="center"/>
      <protection locked="0"/>
    </xf>
    <xf numFmtId="167" fontId="9" fillId="0" borderId="5" xfId="0" applyNumberFormat="1" applyFont="1" applyFill="1" applyBorder="1" applyAlignment="1" applyProtection="1">
      <alignment horizontal="center" vertical="center"/>
      <protection locked="0"/>
    </xf>
    <xf numFmtId="3" fontId="9" fillId="3" borderId="7" xfId="0" applyNumberFormat="1" applyFont="1" applyFill="1" applyBorder="1" applyAlignment="1" applyProtection="1">
      <alignment horizontal="center" vertical="top" wrapText="1"/>
      <protection locked="0"/>
    </xf>
    <xf numFmtId="0" fontId="10" fillId="4" borderId="5" xfId="0" applyFont="1" applyFill="1" applyBorder="1" applyAlignment="1" applyProtection="1">
      <alignment vertical="top" wrapText="1"/>
    </xf>
    <xf numFmtId="168" fontId="9" fillId="4" borderId="3" xfId="0" applyNumberFormat="1" applyFont="1" applyFill="1" applyBorder="1" applyAlignment="1" applyProtection="1">
      <alignment horizontal="center" vertical="center" wrapText="1"/>
    </xf>
    <xf numFmtId="168" fontId="9" fillId="4" borderId="5" xfId="0" applyNumberFormat="1" applyFont="1" applyFill="1" applyBorder="1" applyAlignment="1" applyProtection="1">
      <alignment horizontal="center" vertical="center" wrapText="1"/>
    </xf>
    <xf numFmtId="0" fontId="10" fillId="4" borderId="28" xfId="0" applyFont="1" applyFill="1" applyBorder="1" applyAlignment="1" applyProtection="1">
      <alignment vertical="top" wrapText="1"/>
    </xf>
    <xf numFmtId="0" fontId="10" fillId="4" borderId="29" xfId="0" applyFont="1" applyFill="1" applyBorder="1" applyAlignment="1" applyProtection="1">
      <alignment vertical="top" wrapText="1"/>
    </xf>
    <xf numFmtId="49" fontId="9" fillId="3" borderId="7" xfId="0" applyNumberFormat="1" applyFont="1" applyFill="1" applyBorder="1" applyAlignment="1" applyProtection="1">
      <alignment vertical="top" wrapText="1"/>
      <protection locked="0"/>
    </xf>
    <xf numFmtId="49" fontId="9" fillId="3" borderId="46" xfId="0" applyNumberFormat="1" applyFont="1" applyFill="1" applyBorder="1" applyAlignment="1" applyProtection="1">
      <alignment vertical="top" wrapText="1"/>
      <protection locked="0"/>
    </xf>
    <xf numFmtId="167" fontId="9" fillId="3" borderId="7" xfId="0" applyNumberFormat="1" applyFont="1" applyFill="1" applyBorder="1" applyAlignment="1" applyProtection="1">
      <alignment horizontal="center" vertical="top" wrapText="1"/>
      <protection locked="0"/>
    </xf>
    <xf numFmtId="167" fontId="9" fillId="3" borderId="16" xfId="0" applyNumberFormat="1" applyFont="1" applyFill="1" applyBorder="1" applyAlignment="1" applyProtection="1">
      <alignment horizontal="center" vertical="top" wrapText="1"/>
      <protection locked="0"/>
    </xf>
    <xf numFmtId="0" fontId="9" fillId="3" borderId="39" xfId="0" applyFont="1" applyFill="1" applyBorder="1" applyAlignment="1" applyProtection="1">
      <alignment vertical="top" wrapText="1"/>
      <protection locked="0"/>
    </xf>
    <xf numFmtId="0" fontId="9" fillId="3" borderId="53" xfId="0" applyFont="1" applyFill="1" applyBorder="1" applyAlignment="1" applyProtection="1">
      <alignment vertical="top" wrapText="1"/>
      <protection locked="0"/>
    </xf>
    <xf numFmtId="167" fontId="9" fillId="3" borderId="6" xfId="0" applyNumberFormat="1" applyFont="1" applyFill="1" applyBorder="1" applyAlignment="1" applyProtection="1">
      <alignment horizontal="center" vertical="top" wrapText="1"/>
      <protection locked="0"/>
    </xf>
    <xf numFmtId="167" fontId="9" fillId="3" borderId="15" xfId="0" applyNumberFormat="1" applyFont="1" applyFill="1" applyBorder="1" applyAlignment="1" applyProtection="1">
      <alignment horizontal="center" vertical="top" wrapText="1"/>
      <protection locked="0"/>
    </xf>
    <xf numFmtId="0" fontId="10" fillId="4" borderId="28" xfId="0" quotePrefix="1" applyFont="1" applyFill="1" applyBorder="1" applyAlignment="1" applyProtection="1">
      <alignment horizontal="left" vertical="top" wrapText="1"/>
    </xf>
    <xf numFmtId="167" fontId="9" fillId="3" borderId="28" xfId="0" applyNumberFormat="1" applyFont="1" applyFill="1" applyBorder="1" applyAlignment="1" applyProtection="1">
      <alignment horizontal="center" vertical="top" wrapText="1"/>
      <protection locked="0"/>
    </xf>
    <xf numFmtId="167" fontId="9" fillId="3" borderId="14" xfId="0" applyNumberFormat="1" applyFont="1" applyFill="1" applyBorder="1" applyAlignment="1" applyProtection="1">
      <alignment horizontal="center" vertical="top" wrapText="1"/>
      <protection locked="0"/>
    </xf>
    <xf numFmtId="167" fontId="9" fillId="4" borderId="3" xfId="0" applyNumberFormat="1" applyFont="1" applyFill="1" applyBorder="1" applyAlignment="1" applyProtection="1">
      <alignment horizontal="center" vertical="top" wrapText="1"/>
    </xf>
    <xf numFmtId="167" fontId="9" fillId="4" borderId="5" xfId="0" applyNumberFormat="1" applyFont="1" applyFill="1" applyBorder="1" applyAlignment="1" applyProtection="1">
      <alignment horizontal="center" vertical="top" wrapText="1"/>
    </xf>
    <xf numFmtId="0" fontId="10" fillId="4" borderId="50" xfId="0" applyFont="1" applyFill="1" applyBorder="1" applyAlignment="1" applyProtection="1">
      <alignment horizontal="center" vertical="top" wrapText="1"/>
    </xf>
    <xf numFmtId="0" fontId="10" fillId="4" borderId="45" xfId="0" applyFont="1" applyFill="1" applyBorder="1" applyAlignment="1" applyProtection="1">
      <alignment horizontal="center" vertical="top" wrapText="1"/>
    </xf>
    <xf numFmtId="0" fontId="9" fillId="3" borderId="6"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9" fillId="3" borderId="19"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0" fontId="10" fillId="4" borderId="48" xfId="0" applyFont="1" applyFill="1" applyBorder="1" applyAlignment="1" applyProtection="1">
      <alignment horizontal="left" vertical="top" wrapText="1"/>
    </xf>
    <xf numFmtId="0" fontId="10" fillId="4" borderId="29" xfId="0" applyFont="1" applyFill="1" applyBorder="1" applyAlignment="1" applyProtection="1">
      <alignment horizontal="left" vertical="top" wrapText="1"/>
    </xf>
    <xf numFmtId="0" fontId="10" fillId="4" borderId="3" xfId="0" applyFont="1" applyFill="1" applyBorder="1" applyAlignment="1" applyProtection="1">
      <alignment vertical="top" wrapText="1"/>
    </xf>
    <xf numFmtId="167" fontId="9" fillId="0" borderId="3" xfId="0" quotePrefix="1" applyNumberFormat="1" applyFont="1" applyFill="1" applyBorder="1" applyAlignment="1" applyProtection="1">
      <alignment horizontal="center" vertical="center" wrapText="1"/>
      <protection locked="0"/>
    </xf>
    <xf numFmtId="167" fontId="9" fillId="0" borderId="5" xfId="0" quotePrefix="1" applyNumberFormat="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xf>
    <xf numFmtId="0" fontId="8" fillId="3" borderId="4" xfId="0" applyFont="1" applyFill="1" applyBorder="1" applyAlignment="1" applyProtection="1">
      <alignment horizontal="center"/>
    </xf>
    <xf numFmtId="0" fontId="8" fillId="3" borderId="5" xfId="0" applyFont="1" applyFill="1" applyBorder="1" applyAlignment="1" applyProtection="1">
      <alignment horizontal="center"/>
    </xf>
    <xf numFmtId="167" fontId="9" fillId="0" borderId="3" xfId="0" applyNumberFormat="1" applyFont="1" applyFill="1" applyBorder="1" applyAlignment="1" applyProtection="1">
      <alignment horizontal="center" wrapText="1"/>
      <protection locked="0"/>
    </xf>
    <xf numFmtId="167" fontId="9" fillId="0" borderId="5" xfId="0" applyNumberFormat="1" applyFont="1" applyFill="1" applyBorder="1" applyAlignment="1" applyProtection="1">
      <alignment horizontal="center" wrapText="1"/>
      <protection locked="0"/>
    </xf>
    <xf numFmtId="0" fontId="10" fillId="39" borderId="3" xfId="0" quotePrefix="1" applyFont="1" applyFill="1" applyBorder="1" applyAlignment="1" applyProtection="1">
      <alignment horizontal="left" vertical="top" wrapText="1"/>
    </xf>
    <xf numFmtId="0" fontId="10" fillId="39" borderId="4" xfId="0" applyFont="1" applyFill="1" applyBorder="1" applyAlignment="1" applyProtection="1">
      <alignment vertical="top" wrapText="1"/>
    </xf>
    <xf numFmtId="0" fontId="10" fillId="39" borderId="5" xfId="0" applyFont="1" applyFill="1" applyBorder="1" applyAlignment="1" applyProtection="1">
      <alignment vertical="top" wrapText="1"/>
    </xf>
    <xf numFmtId="167" fontId="9" fillId="0" borderId="3" xfId="0" applyNumberFormat="1" applyFont="1" applyFill="1" applyBorder="1" applyAlignment="1" applyProtection="1">
      <alignment horizontal="center" vertical="center" wrapText="1"/>
      <protection locked="0"/>
    </xf>
    <xf numFmtId="167" fontId="9" fillId="0" borderId="5" xfId="0" applyNumberFormat="1" applyFont="1" applyFill="1" applyBorder="1" applyAlignment="1" applyProtection="1">
      <alignment horizontal="center" vertical="center" wrapText="1"/>
      <protection locked="0"/>
    </xf>
    <xf numFmtId="49" fontId="9" fillId="3" borderId="28" xfId="0" applyNumberFormat="1" applyFont="1" applyFill="1" applyBorder="1" applyAlignment="1" applyProtection="1">
      <alignment vertical="top" wrapText="1"/>
      <protection locked="0"/>
    </xf>
    <xf numFmtId="49" fontId="9" fillId="3" borderId="29" xfId="0" applyNumberFormat="1" applyFont="1" applyFill="1" applyBorder="1" applyAlignment="1" applyProtection="1">
      <alignment vertical="top" wrapText="1"/>
      <protection locked="0"/>
    </xf>
    <xf numFmtId="0" fontId="9" fillId="3" borderId="6" xfId="0" applyFont="1" applyFill="1" applyBorder="1" applyAlignment="1" applyProtection="1">
      <alignment vertical="top" wrapText="1"/>
      <protection locked="0"/>
    </xf>
    <xf numFmtId="0" fontId="9" fillId="3" borderId="47" xfId="0" applyFont="1" applyFill="1" applyBorder="1" applyAlignment="1" applyProtection="1">
      <alignment vertical="top" wrapText="1"/>
      <protection locked="0"/>
    </xf>
    <xf numFmtId="49" fontId="9" fillId="3" borderId="39" xfId="0" applyNumberFormat="1" applyFont="1" applyFill="1" applyBorder="1" applyAlignment="1" applyProtection="1">
      <alignment vertical="top" wrapText="1"/>
      <protection locked="0"/>
    </xf>
    <xf numFmtId="49" fontId="9" fillId="3" borderId="53" xfId="0" applyNumberFormat="1" applyFont="1" applyFill="1" applyBorder="1" applyAlignment="1" applyProtection="1">
      <alignment vertical="top" wrapText="1"/>
      <protection locked="0"/>
    </xf>
    <xf numFmtId="0" fontId="10" fillId="6" borderId="12" xfId="0" applyFont="1" applyFill="1" applyBorder="1" applyAlignment="1" applyProtection="1">
      <alignment horizontal="center" vertical="center" wrapText="1"/>
    </xf>
    <xf numFmtId="0" fontId="10" fillId="6" borderId="11" xfId="0" applyFont="1" applyFill="1" applyBorder="1" applyAlignment="1" applyProtection="1">
      <alignment horizontal="center" vertical="center" wrapText="1"/>
    </xf>
    <xf numFmtId="0" fontId="10" fillId="4" borderId="45" xfId="0" applyFont="1" applyFill="1" applyBorder="1" applyAlignment="1" applyProtection="1">
      <alignment horizontal="left" vertical="top" wrapText="1"/>
    </xf>
    <xf numFmtId="0" fontId="10" fillId="4" borderId="14" xfId="0" applyFont="1" applyFill="1" applyBorder="1" applyAlignment="1" applyProtection="1">
      <alignment horizontal="left" vertical="top" wrapText="1"/>
    </xf>
    <xf numFmtId="0" fontId="9" fillId="3" borderId="0" xfId="0" applyFont="1" applyFill="1" applyBorder="1" applyAlignment="1" applyProtection="1">
      <alignment horizontal="center"/>
    </xf>
    <xf numFmtId="3" fontId="9" fillId="3" borderId="6" xfId="0" applyNumberFormat="1" applyFont="1" applyFill="1" applyBorder="1" applyAlignment="1" applyProtection="1">
      <alignment horizontal="center" vertical="top" wrapText="1"/>
      <protection locked="0"/>
    </xf>
    <xf numFmtId="3" fontId="9" fillId="3" borderId="15" xfId="0" applyNumberFormat="1" applyFont="1" applyFill="1" applyBorder="1" applyAlignment="1" applyProtection="1">
      <alignment horizontal="center" vertical="top" wrapText="1"/>
      <protection locked="0"/>
    </xf>
    <xf numFmtId="49" fontId="9" fillId="3" borderId="7" xfId="0" applyNumberFormat="1" applyFont="1" applyFill="1" applyBorder="1" applyAlignment="1" applyProtection="1">
      <alignment horizontal="left" vertical="top" wrapText="1"/>
      <protection locked="0"/>
    </xf>
    <xf numFmtId="49" fontId="9" fillId="3" borderId="16" xfId="0" applyNumberFormat="1" applyFont="1" applyFill="1" applyBorder="1" applyAlignment="1" applyProtection="1">
      <alignment horizontal="left" vertical="top" wrapText="1"/>
      <protection locked="0"/>
    </xf>
    <xf numFmtId="49" fontId="9" fillId="3" borderId="30" xfId="0" applyNumberFormat="1" applyFont="1" applyFill="1" applyBorder="1" applyAlignment="1" applyProtection="1">
      <alignment horizontal="left" vertical="top" wrapText="1"/>
      <protection locked="0"/>
    </xf>
    <xf numFmtId="49" fontId="9" fillId="3" borderId="24" xfId="0" applyNumberFormat="1" applyFont="1"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xf>
    <xf numFmtId="0" fontId="10" fillId="4" borderId="4" xfId="0" applyFont="1" applyFill="1" applyBorder="1" applyAlignment="1" applyProtection="1">
      <alignment horizontal="left" vertical="top" wrapText="1"/>
    </xf>
    <xf numFmtId="0" fontId="10" fillId="4" borderId="5" xfId="0" applyFont="1" applyFill="1" applyBorder="1" applyAlignment="1" applyProtection="1">
      <alignment horizontal="left" vertical="top" wrapText="1"/>
    </xf>
    <xf numFmtId="0" fontId="7" fillId="4" borderId="145" xfId="0" applyFont="1" applyFill="1" applyBorder="1" applyAlignment="1" applyProtection="1">
      <alignment horizontal="center" vertical="top" wrapText="1"/>
    </xf>
    <xf numFmtId="0" fontId="10" fillId="4" borderId="145" xfId="0" applyFont="1" applyFill="1" applyBorder="1" applyAlignment="1" applyProtection="1">
      <alignment horizontal="left" vertical="top" wrapText="1"/>
    </xf>
    <xf numFmtId="0" fontId="9" fillId="4" borderId="3" xfId="0" applyFont="1" applyFill="1" applyBorder="1" applyAlignment="1" applyProtection="1">
      <alignment horizontal="center" vertical="top" wrapText="1"/>
    </xf>
    <xf numFmtId="0" fontId="9" fillId="4" borderId="4" xfId="0" applyFont="1" applyFill="1" applyBorder="1" applyAlignment="1" applyProtection="1">
      <alignment horizontal="center" vertical="top" wrapText="1"/>
    </xf>
    <xf numFmtId="0" fontId="9" fillId="4" borderId="5" xfId="0" applyFont="1" applyFill="1" applyBorder="1" applyAlignment="1" applyProtection="1">
      <alignment horizontal="center" vertical="top" wrapText="1"/>
    </xf>
    <xf numFmtId="0" fontId="10" fillId="4" borderId="12" xfId="0" applyFont="1" applyFill="1" applyBorder="1" applyAlignment="1" applyProtection="1">
      <alignment horizontal="center" vertical="top" wrapText="1"/>
    </xf>
    <xf numFmtId="0" fontId="10" fillId="4" borderId="11" xfId="0" applyFont="1" applyFill="1" applyBorder="1" applyAlignment="1" applyProtection="1">
      <alignment horizontal="center" vertical="top" wrapText="1"/>
    </xf>
    <xf numFmtId="0" fontId="9" fillId="3" borderId="7" xfId="0" applyFont="1" applyFill="1" applyBorder="1" applyAlignment="1" applyProtection="1">
      <alignment horizontal="center" vertical="top" wrapText="1"/>
      <protection locked="0"/>
    </xf>
    <xf numFmtId="0" fontId="10" fillId="4" borderId="39" xfId="0" applyFont="1" applyFill="1" applyBorder="1" applyAlignment="1" applyProtection="1">
      <alignment horizontal="center" vertical="top" wrapText="1"/>
    </xf>
    <xf numFmtId="0" fontId="10" fillId="4" borderId="41" xfId="0" applyFont="1" applyFill="1" applyBorder="1" applyAlignment="1" applyProtection="1">
      <alignment horizontal="center" vertical="top" wrapText="1"/>
    </xf>
    <xf numFmtId="0" fontId="10" fillId="4" borderId="2" xfId="0" applyFont="1" applyFill="1" applyBorder="1" applyAlignment="1" applyProtection="1">
      <alignment horizontal="center" vertical="top" wrapText="1"/>
    </xf>
    <xf numFmtId="0" fontId="10" fillId="4" borderId="23" xfId="0" applyFont="1" applyFill="1" applyBorder="1" applyAlignment="1" applyProtection="1">
      <alignment horizontal="center" vertical="top" wrapText="1"/>
    </xf>
    <xf numFmtId="0" fontId="10" fillId="4" borderId="1" xfId="0" applyFont="1" applyFill="1" applyBorder="1" applyAlignment="1" applyProtection="1">
      <alignment horizontal="center" vertical="top" wrapText="1"/>
    </xf>
    <xf numFmtId="0" fontId="10" fillId="4" borderId="25" xfId="0" applyFont="1" applyFill="1" applyBorder="1" applyAlignment="1" applyProtection="1">
      <alignment horizontal="center" vertical="top" wrapText="1"/>
    </xf>
    <xf numFmtId="0" fontId="9" fillId="3" borderId="30" xfId="0" applyFont="1" applyFill="1" applyBorder="1" applyAlignment="1" applyProtection="1">
      <alignment horizontal="center" vertical="top" wrapText="1"/>
      <protection locked="0"/>
    </xf>
    <xf numFmtId="0" fontId="9" fillId="3" borderId="24" xfId="0" applyFont="1" applyFill="1" applyBorder="1" applyAlignment="1" applyProtection="1">
      <alignment horizontal="center" vertical="top" wrapText="1"/>
      <protection locked="0"/>
    </xf>
    <xf numFmtId="49" fontId="9" fillId="3" borderId="6" xfId="0" applyNumberFormat="1" applyFont="1" applyFill="1" applyBorder="1" applyAlignment="1" applyProtection="1">
      <alignment horizontal="left" vertical="top" wrapText="1"/>
      <protection locked="0"/>
    </xf>
    <xf numFmtId="49" fontId="9" fillId="3" borderId="15" xfId="0" applyNumberFormat="1" applyFont="1" applyFill="1" applyBorder="1" applyAlignment="1" applyProtection="1">
      <alignment horizontal="left" vertical="top" wrapText="1"/>
      <protection locked="0"/>
    </xf>
    <xf numFmtId="0" fontId="10" fillId="4" borderId="12" xfId="0" quotePrefix="1" applyFont="1" applyFill="1" applyBorder="1" applyAlignment="1" applyProtection="1">
      <alignment horizontal="center" vertical="center" wrapText="1"/>
    </xf>
    <xf numFmtId="0" fontId="10" fillId="4" borderId="11" xfId="0" quotePrefix="1" applyFont="1" applyFill="1" applyBorder="1" applyAlignment="1" applyProtection="1">
      <alignment horizontal="center" vertical="center" wrapText="1"/>
    </xf>
    <xf numFmtId="0" fontId="49" fillId="0" borderId="0" xfId="0" quotePrefix="1" applyFont="1" applyAlignment="1" applyProtection="1">
      <alignment horizontal="left" vertical="center" wrapText="1"/>
    </xf>
    <xf numFmtId="0" fontId="10" fillId="5" borderId="50" xfId="0" applyFont="1" applyFill="1" applyBorder="1" applyAlignment="1" applyProtection="1">
      <alignment horizontal="left" vertical="center" wrapText="1"/>
    </xf>
    <xf numFmtId="0" fontId="10" fillId="5" borderId="48" xfId="0" applyFont="1" applyFill="1" applyBorder="1" applyAlignment="1" applyProtection="1">
      <alignment horizontal="left" vertical="center" wrapText="1"/>
    </xf>
    <xf numFmtId="0" fontId="10" fillId="5" borderId="64" xfId="0" applyFont="1" applyFill="1" applyBorder="1" applyAlignment="1" applyProtection="1">
      <alignment horizontal="left" vertical="center" wrapText="1"/>
    </xf>
    <xf numFmtId="0" fontId="10" fillId="5" borderId="28" xfId="0" applyFont="1" applyFill="1" applyBorder="1" applyAlignment="1" applyProtection="1">
      <alignment horizontal="left" vertical="center" wrapText="1"/>
    </xf>
    <xf numFmtId="0" fontId="10" fillId="5" borderId="29" xfId="0" applyFont="1" applyFill="1" applyBorder="1" applyAlignment="1" applyProtection="1">
      <alignment horizontal="left" vertical="center" wrapText="1"/>
    </xf>
    <xf numFmtId="0" fontId="10" fillId="5" borderId="43" xfId="0" applyFont="1" applyFill="1" applyBorder="1" applyAlignment="1" applyProtection="1">
      <alignment horizontal="left" vertical="center" wrapText="1"/>
    </xf>
    <xf numFmtId="0" fontId="10" fillId="40" borderId="60" xfId="0" applyFont="1" applyFill="1" applyBorder="1" applyAlignment="1" applyProtection="1">
      <alignment horizontal="center" vertical="center"/>
      <protection locked="0"/>
    </xf>
    <xf numFmtId="0" fontId="10" fillId="40" borderId="89" xfId="0" applyFont="1" applyFill="1" applyBorder="1" applyAlignment="1" applyProtection="1">
      <alignment horizontal="center" vertical="center"/>
      <protection locked="0"/>
    </xf>
    <xf numFmtId="0" fontId="45" fillId="5" borderId="50" xfId="0" applyFont="1" applyFill="1" applyBorder="1" applyAlignment="1" applyProtection="1">
      <alignment horizontal="center"/>
    </xf>
    <xf numFmtId="0" fontId="45" fillId="5" borderId="48" xfId="0" applyFont="1" applyFill="1" applyBorder="1" applyAlignment="1" applyProtection="1">
      <alignment horizontal="center"/>
    </xf>
    <xf numFmtId="0" fontId="45" fillId="5" borderId="45" xfId="0" applyFont="1" applyFill="1" applyBorder="1" applyAlignment="1" applyProtection="1">
      <alignment horizontal="center"/>
    </xf>
    <xf numFmtId="0" fontId="46" fillId="5" borderId="3" xfId="0" applyFont="1" applyFill="1" applyBorder="1" applyAlignment="1" applyProtection="1">
      <alignment horizontal="left" vertical="center" wrapText="1"/>
    </xf>
    <xf numFmtId="0" fontId="46" fillId="5" borderId="4" xfId="0" applyFont="1" applyFill="1" applyBorder="1" applyAlignment="1" applyProtection="1">
      <alignment horizontal="left" vertical="center" wrapText="1"/>
    </xf>
    <xf numFmtId="0" fontId="46" fillId="5" borderId="5" xfId="0" applyFont="1" applyFill="1" applyBorder="1" applyAlignment="1" applyProtection="1">
      <alignment horizontal="left"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10" fillId="5" borderId="41" xfId="0" applyFont="1" applyFill="1" applyBorder="1" applyAlignment="1" applyProtection="1">
      <alignment horizontal="left" vertical="center" wrapText="1"/>
    </xf>
    <xf numFmtId="0" fontId="10" fillId="5" borderId="23" xfId="0" applyFont="1" applyFill="1" applyBorder="1" applyAlignment="1" applyProtection="1">
      <alignment horizontal="left" vertical="center" wrapText="1"/>
    </xf>
    <xf numFmtId="0" fontId="10" fillId="5" borderId="60" xfId="0" applyFont="1" applyFill="1" applyBorder="1" applyAlignment="1" applyProtection="1">
      <alignment vertical="center" wrapText="1"/>
    </xf>
    <xf numFmtId="0" fontId="10" fillId="5" borderId="84" xfId="0" applyFont="1" applyFill="1" applyBorder="1" applyAlignment="1" applyProtection="1">
      <alignment vertical="center" wrapText="1"/>
    </xf>
    <xf numFmtId="0" fontId="10" fillId="5" borderId="20" xfId="0" applyFont="1" applyFill="1" applyBorder="1" applyAlignment="1" applyProtection="1">
      <alignment vertical="center" wrapText="1"/>
    </xf>
    <xf numFmtId="0" fontId="7" fillId="5" borderId="3" xfId="0" applyFont="1" applyFill="1" applyBorder="1" applyAlignment="1" applyProtection="1">
      <alignment horizontal="center" wrapText="1"/>
    </xf>
    <xf numFmtId="0" fontId="7" fillId="5" borderId="4" xfId="0" applyFont="1" applyFill="1" applyBorder="1" applyAlignment="1" applyProtection="1">
      <alignment horizontal="center" wrapText="1"/>
    </xf>
    <xf numFmtId="0" fontId="7" fillId="5" borderId="5" xfId="0" applyFont="1" applyFill="1" applyBorder="1" applyAlignment="1" applyProtection="1">
      <alignment horizontal="center" wrapText="1"/>
    </xf>
    <xf numFmtId="0" fontId="7" fillId="5" borderId="3" xfId="0" applyFont="1" applyFill="1" applyBorder="1" applyAlignment="1" applyProtection="1">
      <alignment horizontal="left" wrapText="1"/>
    </xf>
    <xf numFmtId="0" fontId="7" fillId="5" borderId="4" xfId="0" applyFont="1" applyFill="1" applyBorder="1" applyAlignment="1" applyProtection="1">
      <alignment horizontal="left" wrapText="1"/>
    </xf>
    <xf numFmtId="0" fontId="7" fillId="5" borderId="5" xfId="0" applyFont="1" applyFill="1" applyBorder="1" applyAlignment="1" applyProtection="1">
      <alignment horizontal="left" wrapText="1"/>
    </xf>
    <xf numFmtId="0" fontId="47" fillId="0" borderId="0" xfId="0" quotePrefix="1" applyFont="1" applyAlignment="1" applyProtection="1">
      <alignment horizontal="center"/>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urrency" xfId="1" builtinId="4" customBuiltin="1"/>
    <cellStyle name="Date_A25 modèle de suivi du régime tarifaire PBC 22Dec07 version beta 1.0 test " xfId="44" xr:uid="{00000000-0005-0000-0000-00008B0B0000}"/>
    <cellStyle name="Explanatory Text" xfId="17" builtinId="53" customBuiltin="1"/>
    <cellStyle name="Followed Hyperlink" xfId="45" builtinId="9" hidde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3" builtinId="8" hidden="1"/>
    <cellStyle name="Input" xfId="11" builtinId="20" customBuiltin="1"/>
    <cellStyle name="Linked Cell" xfId="14" builtinId="24" customBuiltin="1"/>
    <cellStyle name="Neutral" xfId="10" builtinId="28" customBuiltin="1"/>
    <cellStyle name="Normal" xfId="0" builtinId="0" customBuiltin="1"/>
    <cellStyle name="Output" xfId="12" builtinId="21" customBuiltin="1"/>
    <cellStyle name="Percent" xfId="2" builtinId="5" customBuiltin="1"/>
    <cellStyle name="Title" xfId="3" builtinId="15" customBuiltin="1"/>
    <cellStyle name="Total" xfId="18" builtinId="25" customBuiltin="1"/>
    <cellStyle name="Warning Text" xfId="16" builtinId="11" customBuiltin="1"/>
  </cellStyles>
  <dxfs count="15">
    <dxf>
      <fill>
        <patternFill>
          <bgColor theme="1"/>
        </patternFill>
      </fill>
    </dxf>
    <dxf>
      <fill>
        <patternFill patternType="solid">
          <bgColor theme="1"/>
        </patternFill>
      </fill>
    </dxf>
    <dxf>
      <font>
        <b/>
        <i val="0"/>
        <color rgb="FFFF0000"/>
      </font>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ont>
        <color rgb="FF00B050"/>
      </font>
    </dxf>
    <dxf>
      <font>
        <color rgb="FFFF0000"/>
      </font>
    </dxf>
    <dxf>
      <fill>
        <patternFill>
          <bgColor theme="0" tint="-0.14996795556505021"/>
        </patternFill>
      </fill>
    </dxf>
    <dxf>
      <fill>
        <patternFill>
          <bgColor theme="0" tint="-0.14996795556505021"/>
        </patternFill>
      </fill>
    </dxf>
    <dxf>
      <fill>
        <patternFill patternType="solid">
          <bgColor theme="1"/>
        </patternFill>
      </fill>
    </dxf>
    <dxf>
      <fill>
        <patternFill>
          <bgColor theme="0"/>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FFCC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TPE\TPE-22\New%20Starts%20Reports\FY2027%20Annual%20Report\FY27-NS-Templates-basic-10-23-2024_IL.xlsx" TargetMode="External"/><Relationship Id="rId1" Type="http://schemas.openxmlformats.org/officeDocument/2006/relationships/externalLinkPath" Target="/TPE/TPE-22/New%20Starts%20Reports/FY2027%20Annual%20Report/FY27-NS-Templates-basic-10-23-2024_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ct Description"/>
      <sheetName val="Travel Forecasts"/>
      <sheetName val="Travel Forecasts for Evaluation"/>
      <sheetName val="Mobility Cost Eff &amp; Cong Relief"/>
      <sheetName val="Land Use"/>
      <sheetName val="Environmental Benefits"/>
      <sheetName val="Finance"/>
      <sheetName val="Rating Estimation"/>
      <sheetName val="Lookups"/>
    </sheetNames>
    <sheetDataSet>
      <sheetData sheetId="0"/>
      <sheetData sheetId="1"/>
      <sheetData sheetId="2"/>
      <sheetData sheetId="3"/>
      <sheetData sheetId="4"/>
      <sheetData sheetId="5"/>
      <sheetData sheetId="6"/>
      <sheetData sheetId="7"/>
      <sheetData sheetId="8">
        <row r="21">
          <cell r="L21" t="str">
            <v>MEDIUM (Warranted)</v>
          </cell>
        </row>
        <row r="22">
          <cell r="L22" t="str">
            <v>Project does not meet thresholds for warrants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pa.gov/green-book" TargetMode="External"/><Relationship Id="rId1" Type="http://schemas.openxmlformats.org/officeDocument/2006/relationships/hyperlink" Target="http://www.epa.gov/oaqps001/greenbk/"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transit.dot.gov/funding/grant-programs/capital-investments/regulation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E193"/>
  <sheetViews>
    <sheetView tabSelected="1" view="pageBreakPreview" zoomScaleNormal="100" zoomScaleSheetLayoutView="100" workbookViewId="0">
      <selection activeCell="C24" sqref="C24:D24"/>
    </sheetView>
  </sheetViews>
  <sheetFormatPr defaultColWidth="9.25" defaultRowHeight="14.25" x14ac:dyDescent="0.2"/>
  <cols>
    <col min="1" max="1" width="26.5" style="509" customWidth="1"/>
    <col min="2" max="2" width="42.875" style="509" customWidth="1"/>
    <col min="3" max="4" width="29.875" style="509" customWidth="1"/>
    <col min="5" max="16384" width="9.25" style="509"/>
  </cols>
  <sheetData>
    <row r="1" spans="1:4" s="365" customFormat="1" ht="20.25" customHeight="1" thickBot="1" x14ac:dyDescent="0.25">
      <c r="A1" s="720" t="s">
        <v>455</v>
      </c>
      <c r="B1" s="721"/>
      <c r="C1" s="721"/>
      <c r="D1" s="722"/>
    </row>
    <row r="2" spans="1:4" s="79" customFormat="1" ht="16.5" thickBot="1" x14ac:dyDescent="0.25">
      <c r="A2" s="11" t="s">
        <v>0</v>
      </c>
      <c r="B2" s="738"/>
      <c r="C2" s="739"/>
      <c r="D2" s="740"/>
    </row>
    <row r="3" spans="1:4" s="368" customFormat="1" ht="13.5" thickBot="1" x14ac:dyDescent="0.25">
      <c r="A3" s="735" t="s">
        <v>1</v>
      </c>
      <c r="B3" s="736"/>
      <c r="C3" s="736"/>
      <c r="D3" s="737"/>
    </row>
    <row r="4" spans="1:4" s="368" customFormat="1" ht="12.75" x14ac:dyDescent="0.2">
      <c r="A4" s="700" t="s">
        <v>2</v>
      </c>
      <c r="B4" s="333" t="s">
        <v>3</v>
      </c>
      <c r="C4" s="741"/>
      <c r="D4" s="742"/>
    </row>
    <row r="5" spans="1:4" s="368" customFormat="1" ht="12.75" x14ac:dyDescent="0.2">
      <c r="A5" s="701"/>
      <c r="B5" s="12" t="s">
        <v>4</v>
      </c>
      <c r="C5" s="692"/>
      <c r="D5" s="693"/>
    </row>
    <row r="6" spans="1:4" s="368" customFormat="1" ht="12.75" x14ac:dyDescent="0.2">
      <c r="A6" s="701"/>
      <c r="B6" s="12" t="s">
        <v>5</v>
      </c>
      <c r="C6" s="692"/>
      <c r="D6" s="693"/>
    </row>
    <row r="7" spans="1:4" s="368" customFormat="1" ht="12.75" x14ac:dyDescent="0.2">
      <c r="A7" s="701"/>
      <c r="B7" s="12" t="s">
        <v>6</v>
      </c>
      <c r="C7" s="692"/>
      <c r="D7" s="693"/>
    </row>
    <row r="8" spans="1:4" s="368" customFormat="1" ht="12.75" x14ac:dyDescent="0.2">
      <c r="A8" s="701"/>
      <c r="B8" s="13" t="s">
        <v>7</v>
      </c>
      <c r="C8" s="692"/>
      <c r="D8" s="693"/>
    </row>
    <row r="9" spans="1:4" s="368" customFormat="1" ht="13.5" thickBot="1" x14ac:dyDescent="0.25">
      <c r="A9" s="702"/>
      <c r="B9" s="14" t="s">
        <v>8</v>
      </c>
      <c r="C9" s="694"/>
      <c r="D9" s="695"/>
    </row>
    <row r="10" spans="1:4" s="368" customFormat="1" ht="12.75" x14ac:dyDescent="0.2">
      <c r="A10" s="700" t="s">
        <v>9</v>
      </c>
      <c r="B10" s="15" t="s">
        <v>3</v>
      </c>
      <c r="C10" s="703"/>
      <c r="D10" s="704"/>
    </row>
    <row r="11" spans="1:4" s="368" customFormat="1" ht="12.75" x14ac:dyDescent="0.2">
      <c r="A11" s="701"/>
      <c r="B11" s="13" t="s">
        <v>4</v>
      </c>
      <c r="C11" s="692"/>
      <c r="D11" s="693"/>
    </row>
    <row r="12" spans="1:4" s="368" customFormat="1" ht="12.75" x14ac:dyDescent="0.2">
      <c r="A12" s="701"/>
      <c r="B12" s="13" t="s">
        <v>5</v>
      </c>
      <c r="C12" s="692"/>
      <c r="D12" s="693"/>
    </row>
    <row r="13" spans="1:4" s="368" customFormat="1" ht="12.75" x14ac:dyDescent="0.2">
      <c r="A13" s="701"/>
      <c r="B13" s="13" t="s">
        <v>6</v>
      </c>
      <c r="C13" s="692"/>
      <c r="D13" s="693"/>
    </row>
    <row r="14" spans="1:4" s="368" customFormat="1" ht="12.75" x14ac:dyDescent="0.2">
      <c r="A14" s="701"/>
      <c r="B14" s="13" t="s">
        <v>7</v>
      </c>
      <c r="C14" s="692"/>
      <c r="D14" s="693"/>
    </row>
    <row r="15" spans="1:4" s="368" customFormat="1" ht="13.5" thickBot="1" x14ac:dyDescent="0.25">
      <c r="A15" s="702"/>
      <c r="B15" s="14" t="s">
        <v>8</v>
      </c>
      <c r="C15" s="694"/>
      <c r="D15" s="695"/>
    </row>
    <row r="16" spans="1:4" s="368" customFormat="1" ht="12.75" x14ac:dyDescent="0.2">
      <c r="A16" s="700" t="s">
        <v>10</v>
      </c>
      <c r="B16" s="15" t="s">
        <v>3</v>
      </c>
      <c r="C16" s="703"/>
      <c r="D16" s="704"/>
    </row>
    <row r="17" spans="1:4" s="368" customFormat="1" ht="12.75" x14ac:dyDescent="0.2">
      <c r="A17" s="701"/>
      <c r="B17" s="13" t="s">
        <v>4</v>
      </c>
      <c r="C17" s="692"/>
      <c r="D17" s="693"/>
    </row>
    <row r="18" spans="1:4" s="368" customFormat="1" ht="12.75" x14ac:dyDescent="0.2">
      <c r="A18" s="701"/>
      <c r="B18" s="13" t="s">
        <v>5</v>
      </c>
      <c r="C18" s="692"/>
      <c r="D18" s="693"/>
    </row>
    <row r="19" spans="1:4" s="368" customFormat="1" ht="12.75" x14ac:dyDescent="0.2">
      <c r="A19" s="701"/>
      <c r="B19" s="13" t="s">
        <v>6</v>
      </c>
      <c r="C19" s="692"/>
      <c r="D19" s="693"/>
    </row>
    <row r="20" spans="1:4" s="368" customFormat="1" ht="12.75" x14ac:dyDescent="0.2">
      <c r="A20" s="701"/>
      <c r="B20" s="13" t="s">
        <v>7</v>
      </c>
      <c r="C20" s="692"/>
      <c r="D20" s="693"/>
    </row>
    <row r="21" spans="1:4" s="368" customFormat="1" ht="13.5" thickBot="1" x14ac:dyDescent="0.25">
      <c r="A21" s="702"/>
      <c r="B21" s="14" t="s">
        <v>8</v>
      </c>
      <c r="C21" s="694"/>
      <c r="D21" s="695"/>
    </row>
    <row r="22" spans="1:4" s="368" customFormat="1" ht="12.75" x14ac:dyDescent="0.2">
      <c r="A22" s="700" t="s">
        <v>11</v>
      </c>
      <c r="B22" s="15" t="s">
        <v>3</v>
      </c>
      <c r="C22" s="703"/>
      <c r="D22" s="704"/>
    </row>
    <row r="23" spans="1:4" s="368" customFormat="1" ht="12.75" x14ac:dyDescent="0.2">
      <c r="A23" s="701"/>
      <c r="B23" s="13" t="s">
        <v>4</v>
      </c>
      <c r="C23" s="692"/>
      <c r="D23" s="693"/>
    </row>
    <row r="24" spans="1:4" s="368" customFormat="1" ht="12.75" x14ac:dyDescent="0.2">
      <c r="A24" s="701"/>
      <c r="B24" s="13" t="s">
        <v>5</v>
      </c>
      <c r="C24" s="692"/>
      <c r="D24" s="693"/>
    </row>
    <row r="25" spans="1:4" s="368" customFormat="1" ht="12.75" x14ac:dyDescent="0.2">
      <c r="A25" s="701"/>
      <c r="B25" s="13" t="s">
        <v>6</v>
      </c>
      <c r="C25" s="692"/>
      <c r="D25" s="693"/>
    </row>
    <row r="26" spans="1:4" s="368" customFormat="1" ht="12.75" x14ac:dyDescent="0.2">
      <c r="A26" s="701"/>
      <c r="B26" s="13" t="s">
        <v>7</v>
      </c>
      <c r="C26" s="692"/>
      <c r="D26" s="693"/>
    </row>
    <row r="27" spans="1:4" s="368" customFormat="1" ht="13.5" thickBot="1" x14ac:dyDescent="0.25">
      <c r="A27" s="702"/>
      <c r="B27" s="14" t="s">
        <v>8</v>
      </c>
      <c r="C27" s="694"/>
      <c r="D27" s="695"/>
    </row>
    <row r="28" spans="1:4" s="368" customFormat="1" ht="12.75" x14ac:dyDescent="0.2">
      <c r="A28" s="700" t="s">
        <v>12</v>
      </c>
      <c r="B28" s="15" t="s">
        <v>3</v>
      </c>
      <c r="C28" s="703"/>
      <c r="D28" s="704"/>
    </row>
    <row r="29" spans="1:4" s="368" customFormat="1" ht="12.75" x14ac:dyDescent="0.2">
      <c r="A29" s="701"/>
      <c r="B29" s="13" t="s">
        <v>4</v>
      </c>
      <c r="C29" s="692"/>
      <c r="D29" s="693"/>
    </row>
    <row r="30" spans="1:4" s="368" customFormat="1" ht="12.75" x14ac:dyDescent="0.2">
      <c r="A30" s="701"/>
      <c r="B30" s="13" t="s">
        <v>5</v>
      </c>
      <c r="C30" s="692"/>
      <c r="D30" s="693"/>
    </row>
    <row r="31" spans="1:4" s="368" customFormat="1" ht="12.75" x14ac:dyDescent="0.2">
      <c r="A31" s="701"/>
      <c r="B31" s="13" t="s">
        <v>6</v>
      </c>
      <c r="C31" s="692"/>
      <c r="D31" s="693"/>
    </row>
    <row r="32" spans="1:4" s="368" customFormat="1" ht="12.75" x14ac:dyDescent="0.2">
      <c r="A32" s="701"/>
      <c r="B32" s="13" t="s">
        <v>7</v>
      </c>
      <c r="C32" s="692"/>
      <c r="D32" s="693"/>
    </row>
    <row r="33" spans="1:5" s="368" customFormat="1" ht="13.5" thickBot="1" x14ac:dyDescent="0.25">
      <c r="A33" s="702"/>
      <c r="B33" s="14" t="s">
        <v>8</v>
      </c>
      <c r="C33" s="694"/>
      <c r="D33" s="695"/>
      <c r="E33" s="285"/>
    </row>
    <row r="34" spans="1:5" s="368" customFormat="1" ht="12.75" x14ac:dyDescent="0.2">
      <c r="A34" s="700" t="s">
        <v>12</v>
      </c>
      <c r="B34" s="15" t="s">
        <v>3</v>
      </c>
      <c r="C34" s="703"/>
      <c r="D34" s="704"/>
      <c r="E34" s="285"/>
    </row>
    <row r="35" spans="1:5" s="368" customFormat="1" ht="12.75" x14ac:dyDescent="0.2">
      <c r="A35" s="701"/>
      <c r="B35" s="13" t="s">
        <v>4</v>
      </c>
      <c r="C35" s="692"/>
      <c r="D35" s="693"/>
      <c r="E35" s="285"/>
    </row>
    <row r="36" spans="1:5" s="368" customFormat="1" ht="12.75" x14ac:dyDescent="0.2">
      <c r="A36" s="701"/>
      <c r="B36" s="13" t="s">
        <v>5</v>
      </c>
      <c r="C36" s="692"/>
      <c r="D36" s="693"/>
      <c r="E36" s="285"/>
    </row>
    <row r="37" spans="1:5" s="368" customFormat="1" ht="12.75" x14ac:dyDescent="0.2">
      <c r="A37" s="701"/>
      <c r="B37" s="13" t="s">
        <v>6</v>
      </c>
      <c r="C37" s="692"/>
      <c r="D37" s="693"/>
      <c r="E37" s="285"/>
    </row>
    <row r="38" spans="1:5" s="368" customFormat="1" ht="12.75" x14ac:dyDescent="0.2">
      <c r="A38" s="701"/>
      <c r="B38" s="13" t="s">
        <v>7</v>
      </c>
      <c r="C38" s="692"/>
      <c r="D38" s="693"/>
      <c r="E38" s="285"/>
    </row>
    <row r="39" spans="1:5" s="368" customFormat="1" ht="13.5" thickBot="1" x14ac:dyDescent="0.25">
      <c r="A39" s="702"/>
      <c r="B39" s="14" t="s">
        <v>8</v>
      </c>
      <c r="C39" s="694"/>
      <c r="D39" s="695"/>
      <c r="E39" s="285"/>
    </row>
    <row r="40" spans="1:5" s="368" customFormat="1" ht="12.75" x14ac:dyDescent="0.2">
      <c r="A40" s="700" t="s">
        <v>12</v>
      </c>
      <c r="B40" s="15" t="s">
        <v>3</v>
      </c>
      <c r="C40" s="703"/>
      <c r="D40" s="704"/>
      <c r="E40" s="285"/>
    </row>
    <row r="41" spans="1:5" s="368" customFormat="1" ht="12.75" x14ac:dyDescent="0.2">
      <c r="A41" s="701"/>
      <c r="B41" s="13" t="s">
        <v>4</v>
      </c>
      <c r="C41" s="692"/>
      <c r="D41" s="693"/>
      <c r="E41" s="285"/>
    </row>
    <row r="42" spans="1:5" s="368" customFormat="1" ht="12.75" x14ac:dyDescent="0.2">
      <c r="A42" s="701"/>
      <c r="B42" s="13" t="s">
        <v>5</v>
      </c>
      <c r="C42" s="692"/>
      <c r="D42" s="693"/>
      <c r="E42" s="285"/>
    </row>
    <row r="43" spans="1:5" s="368" customFormat="1" ht="12.75" x14ac:dyDescent="0.2">
      <c r="A43" s="701"/>
      <c r="B43" s="13" t="s">
        <v>6</v>
      </c>
      <c r="C43" s="692"/>
      <c r="D43" s="693"/>
      <c r="E43" s="285"/>
    </row>
    <row r="44" spans="1:5" s="368" customFormat="1" ht="12.75" x14ac:dyDescent="0.2">
      <c r="A44" s="701"/>
      <c r="B44" s="13" t="s">
        <v>7</v>
      </c>
      <c r="C44" s="692"/>
      <c r="D44" s="693"/>
      <c r="E44" s="285"/>
    </row>
    <row r="45" spans="1:5" s="368" customFormat="1" ht="13.5" thickBot="1" x14ac:dyDescent="0.25">
      <c r="A45" s="702"/>
      <c r="B45" s="14" t="s">
        <v>8</v>
      </c>
      <c r="C45" s="694"/>
      <c r="D45" s="695"/>
      <c r="E45" s="285"/>
    </row>
    <row r="46" spans="1:5" s="366" customFormat="1" ht="15.75" thickBot="1" x14ac:dyDescent="0.25">
      <c r="A46" s="16"/>
      <c r="B46" s="261"/>
      <c r="C46" s="261"/>
      <c r="D46" s="261"/>
      <c r="E46" s="261"/>
    </row>
    <row r="47" spans="1:5" s="365" customFormat="1" ht="18.75" thickBot="1" x14ac:dyDescent="0.25">
      <c r="A47" s="720" t="s">
        <v>13</v>
      </c>
      <c r="B47" s="721"/>
      <c r="C47" s="721"/>
      <c r="D47" s="722"/>
      <c r="E47" s="364"/>
    </row>
    <row r="48" spans="1:5" s="365" customFormat="1" ht="13.5" thickBot="1" x14ac:dyDescent="0.25">
      <c r="A48" s="732" t="s">
        <v>14</v>
      </c>
      <c r="B48" s="17" t="s">
        <v>15</v>
      </c>
      <c r="C48" s="723"/>
      <c r="D48" s="724"/>
      <c r="E48" s="369" t="str">
        <f>IF(OR(ISNUMBER(C48),C48=""),"","Please enter only the length in miles; do not include any text")</f>
        <v/>
      </c>
    </row>
    <row r="49" spans="1:4" s="365" customFormat="1" ht="13.5" thickBot="1" x14ac:dyDescent="0.25">
      <c r="A49" s="733"/>
      <c r="B49" s="18" t="s">
        <v>16</v>
      </c>
      <c r="C49" s="747"/>
      <c r="D49" s="748"/>
    </row>
    <row r="50" spans="1:4" s="365" customFormat="1" ht="13.5" thickBot="1" x14ac:dyDescent="0.25">
      <c r="A50" s="733"/>
      <c r="B50" s="18" t="s">
        <v>17</v>
      </c>
      <c r="C50" s="723"/>
      <c r="D50" s="724"/>
    </row>
    <row r="51" spans="1:4" s="365" customFormat="1" ht="12.75" x14ac:dyDescent="0.2">
      <c r="A51" s="733"/>
      <c r="B51" s="700" t="s">
        <v>18</v>
      </c>
      <c r="C51" s="698"/>
      <c r="D51" s="699"/>
    </row>
    <row r="52" spans="1:4" s="365" customFormat="1" ht="12.75" x14ac:dyDescent="0.2">
      <c r="A52" s="733"/>
      <c r="B52" s="701"/>
      <c r="C52" s="692"/>
      <c r="D52" s="693"/>
    </row>
    <row r="53" spans="1:4" s="365" customFormat="1" ht="12.75" x14ac:dyDescent="0.2">
      <c r="A53" s="733"/>
      <c r="B53" s="701"/>
      <c r="C53" s="692"/>
      <c r="D53" s="693"/>
    </row>
    <row r="54" spans="1:4" s="365" customFormat="1" ht="12.75" x14ac:dyDescent="0.2">
      <c r="A54" s="733"/>
      <c r="B54" s="701"/>
      <c r="C54" s="692"/>
      <c r="D54" s="693"/>
    </row>
    <row r="55" spans="1:4" s="365" customFormat="1" ht="12.75" x14ac:dyDescent="0.2">
      <c r="A55" s="733"/>
      <c r="B55" s="701"/>
      <c r="C55" s="692"/>
      <c r="D55" s="693"/>
    </row>
    <row r="56" spans="1:4" s="365" customFormat="1" ht="12.75" x14ac:dyDescent="0.2">
      <c r="A56" s="733"/>
      <c r="B56" s="701"/>
      <c r="C56" s="692"/>
      <c r="D56" s="693"/>
    </row>
    <row r="57" spans="1:4" s="365" customFormat="1" ht="12.75" x14ac:dyDescent="0.2">
      <c r="A57" s="733"/>
      <c r="B57" s="701"/>
      <c r="C57" s="692"/>
      <c r="D57" s="693"/>
    </row>
    <row r="58" spans="1:4" s="365" customFormat="1" ht="12.75" x14ac:dyDescent="0.2">
      <c r="A58" s="733"/>
      <c r="B58" s="701"/>
      <c r="C58" s="692"/>
      <c r="D58" s="693"/>
    </row>
    <row r="59" spans="1:4" s="365" customFormat="1" ht="12.75" x14ac:dyDescent="0.2">
      <c r="A59" s="733"/>
      <c r="B59" s="701"/>
      <c r="C59" s="692"/>
      <c r="D59" s="693"/>
    </row>
    <row r="60" spans="1:4" s="365" customFormat="1" ht="12.75" x14ac:dyDescent="0.2">
      <c r="A60" s="733"/>
      <c r="B60" s="701"/>
      <c r="C60" s="692"/>
      <c r="D60" s="693"/>
    </row>
    <row r="61" spans="1:4" s="365" customFormat="1" ht="12.75" x14ac:dyDescent="0.2">
      <c r="A61" s="733"/>
      <c r="B61" s="701"/>
      <c r="C61" s="692"/>
      <c r="D61" s="693"/>
    </row>
    <row r="62" spans="1:4" s="365" customFormat="1" ht="12.75" x14ac:dyDescent="0.2">
      <c r="A62" s="733"/>
      <c r="B62" s="701"/>
      <c r="C62" s="692"/>
      <c r="D62" s="693"/>
    </row>
    <row r="63" spans="1:4" s="365" customFormat="1" ht="12.75" x14ac:dyDescent="0.2">
      <c r="A63" s="733"/>
      <c r="B63" s="701"/>
      <c r="C63" s="692"/>
      <c r="D63" s="693"/>
    </row>
    <row r="64" spans="1:4" s="365" customFormat="1" ht="12.75" x14ac:dyDescent="0.2">
      <c r="A64" s="733"/>
      <c r="B64" s="701"/>
      <c r="C64" s="692"/>
      <c r="D64" s="693"/>
    </row>
    <row r="65" spans="1:4" s="365" customFormat="1" ht="12.75" x14ac:dyDescent="0.2">
      <c r="A65" s="733"/>
      <c r="B65" s="701"/>
      <c r="C65" s="692"/>
      <c r="D65" s="693"/>
    </row>
    <row r="66" spans="1:4" s="365" customFormat="1" ht="12.75" x14ac:dyDescent="0.2">
      <c r="A66" s="733"/>
      <c r="B66" s="701"/>
      <c r="C66" s="692"/>
      <c r="D66" s="693"/>
    </row>
    <row r="67" spans="1:4" s="365" customFormat="1" ht="12.75" x14ac:dyDescent="0.2">
      <c r="A67" s="733"/>
      <c r="B67" s="701"/>
      <c r="C67" s="692"/>
      <c r="D67" s="693"/>
    </row>
    <row r="68" spans="1:4" s="365" customFormat="1" ht="12.75" x14ac:dyDescent="0.2">
      <c r="A68" s="733"/>
      <c r="B68" s="701"/>
      <c r="C68" s="692"/>
      <c r="D68" s="693"/>
    </row>
    <row r="69" spans="1:4" s="365" customFormat="1" ht="12.75" x14ac:dyDescent="0.2">
      <c r="A69" s="733"/>
      <c r="B69" s="701"/>
      <c r="C69" s="692"/>
      <c r="D69" s="693"/>
    </row>
    <row r="70" spans="1:4" s="365" customFormat="1" ht="13.5" thickBot="1" x14ac:dyDescent="0.25">
      <c r="A70" s="733"/>
      <c r="B70" s="702"/>
      <c r="C70" s="725"/>
      <c r="D70" s="726"/>
    </row>
    <row r="71" spans="1:4" s="365" customFormat="1" ht="12.75" x14ac:dyDescent="0.2">
      <c r="A71" s="733"/>
      <c r="B71" s="700" t="s">
        <v>19</v>
      </c>
      <c r="C71" s="698"/>
      <c r="D71" s="699"/>
    </row>
    <row r="72" spans="1:4" s="365" customFormat="1" ht="12.75" x14ac:dyDescent="0.2">
      <c r="A72" s="733"/>
      <c r="B72" s="701"/>
      <c r="C72" s="692"/>
      <c r="D72" s="693"/>
    </row>
    <row r="73" spans="1:4" s="365" customFormat="1" ht="12.75" x14ac:dyDescent="0.2">
      <c r="A73" s="733"/>
      <c r="B73" s="701"/>
      <c r="C73" s="692"/>
      <c r="D73" s="693"/>
    </row>
    <row r="74" spans="1:4" s="365" customFormat="1" ht="12.75" x14ac:dyDescent="0.2">
      <c r="A74" s="733"/>
      <c r="B74" s="701"/>
      <c r="C74" s="692"/>
      <c r="D74" s="693"/>
    </row>
    <row r="75" spans="1:4" s="365" customFormat="1" ht="12.75" x14ac:dyDescent="0.2">
      <c r="A75" s="733"/>
      <c r="B75" s="701"/>
      <c r="C75" s="692"/>
      <c r="D75" s="693"/>
    </row>
    <row r="76" spans="1:4" s="365" customFormat="1" ht="12.75" x14ac:dyDescent="0.2">
      <c r="A76" s="733"/>
      <c r="B76" s="701"/>
      <c r="C76" s="692"/>
      <c r="D76" s="693"/>
    </row>
    <row r="77" spans="1:4" s="365" customFormat="1" ht="12.75" x14ac:dyDescent="0.2">
      <c r="A77" s="733"/>
      <c r="B77" s="701"/>
      <c r="C77" s="692"/>
      <c r="D77" s="693"/>
    </row>
    <row r="78" spans="1:4" s="365" customFormat="1" ht="12.75" x14ac:dyDescent="0.2">
      <c r="A78" s="733"/>
      <c r="B78" s="701"/>
      <c r="C78" s="692"/>
      <c r="D78" s="693"/>
    </row>
    <row r="79" spans="1:4" s="365" customFormat="1" ht="12.75" x14ac:dyDescent="0.2">
      <c r="A79" s="733"/>
      <c r="B79" s="701"/>
      <c r="C79" s="692"/>
      <c r="D79" s="693"/>
    </row>
    <row r="80" spans="1:4" s="365" customFormat="1" ht="12.75" x14ac:dyDescent="0.2">
      <c r="A80" s="733"/>
      <c r="B80" s="701"/>
      <c r="C80" s="692"/>
      <c r="D80" s="693"/>
    </row>
    <row r="81" spans="1:5" s="365" customFormat="1" ht="13.5" thickBot="1" x14ac:dyDescent="0.25">
      <c r="A81" s="733"/>
      <c r="B81" s="702"/>
      <c r="C81" s="725"/>
      <c r="D81" s="726"/>
      <c r="E81" s="364"/>
    </row>
    <row r="82" spans="1:5" s="365" customFormat="1" ht="13.5" thickBot="1" x14ac:dyDescent="0.25">
      <c r="A82" s="734"/>
      <c r="B82" s="18" t="s">
        <v>20</v>
      </c>
      <c r="C82" s="723"/>
      <c r="D82" s="724"/>
      <c r="E82" s="364"/>
    </row>
    <row r="83" spans="1:5" s="365" customFormat="1" ht="13.5" thickBot="1" x14ac:dyDescent="0.25">
      <c r="A83" s="700" t="s">
        <v>21</v>
      </c>
      <c r="B83" s="18" t="s">
        <v>22</v>
      </c>
      <c r="C83" s="723"/>
      <c r="D83" s="724"/>
      <c r="E83" s="364"/>
    </row>
    <row r="84" spans="1:5" s="365" customFormat="1" ht="13.5" thickBot="1" x14ac:dyDescent="0.25">
      <c r="A84" s="701"/>
      <c r="B84" s="18" t="s">
        <v>23</v>
      </c>
      <c r="C84" s="723"/>
      <c r="D84" s="724"/>
      <c r="E84" s="364"/>
    </row>
    <row r="85" spans="1:5" s="365" customFormat="1" ht="13.5" thickBot="1" x14ac:dyDescent="0.25">
      <c r="A85" s="701"/>
      <c r="B85" s="18" t="s">
        <v>24</v>
      </c>
      <c r="C85" s="723"/>
      <c r="D85" s="724"/>
      <c r="E85" s="364"/>
    </row>
    <row r="86" spans="1:5" s="365" customFormat="1" ht="13.5" thickBot="1" x14ac:dyDescent="0.25">
      <c r="A86" s="701"/>
      <c r="B86" s="18" t="s">
        <v>25</v>
      </c>
      <c r="C86" s="723"/>
      <c r="D86" s="724"/>
      <c r="E86" s="364"/>
    </row>
    <row r="87" spans="1:5" s="365" customFormat="1" ht="13.5" thickBot="1" x14ac:dyDescent="0.25">
      <c r="A87" s="702"/>
      <c r="B87" s="18" t="s">
        <v>26</v>
      </c>
      <c r="C87" s="723"/>
      <c r="D87" s="724"/>
      <c r="E87" s="364"/>
    </row>
    <row r="88" spans="1:5" s="365" customFormat="1" ht="27.75" customHeight="1" thickBot="1" x14ac:dyDescent="0.25">
      <c r="A88" s="732" t="s">
        <v>27</v>
      </c>
      <c r="B88" s="18" t="s">
        <v>28</v>
      </c>
      <c r="C88" s="723"/>
      <c r="D88" s="724"/>
      <c r="E88" s="364"/>
    </row>
    <row r="89" spans="1:5" s="365" customFormat="1" ht="27.75" customHeight="1" thickBot="1" x14ac:dyDescent="0.25">
      <c r="A89" s="734"/>
      <c r="B89" s="18" t="s">
        <v>29</v>
      </c>
      <c r="C89" s="723"/>
      <c r="D89" s="724"/>
      <c r="E89" s="364"/>
    </row>
    <row r="90" spans="1:5" s="366" customFormat="1" ht="15.75" thickBot="1" x14ac:dyDescent="0.25">
      <c r="A90" s="16"/>
      <c r="B90" s="261"/>
      <c r="C90" s="261"/>
      <c r="D90" s="261"/>
      <c r="E90" s="261"/>
    </row>
    <row r="91" spans="1:5" s="365" customFormat="1" ht="21.75" customHeight="1" thickBot="1" x14ac:dyDescent="0.25">
      <c r="A91" s="720" t="s">
        <v>30</v>
      </c>
      <c r="B91" s="721"/>
      <c r="C91" s="721"/>
      <c r="D91" s="722"/>
      <c r="E91" s="364"/>
    </row>
    <row r="92" spans="1:5" s="368" customFormat="1" ht="12.75" x14ac:dyDescent="0.2">
      <c r="A92" s="754" t="s">
        <v>31</v>
      </c>
      <c r="B92" s="755"/>
      <c r="C92" s="698" t="s">
        <v>52</v>
      </c>
      <c r="D92" s="699"/>
      <c r="E92" s="370"/>
    </row>
    <row r="93" spans="1:5" s="368" customFormat="1" ht="13.5" thickBot="1" x14ac:dyDescent="0.25">
      <c r="A93" s="758" t="str">
        <f>IF(C92="Yes","   Specify existing weekday transit trips in the corridor","")</f>
        <v/>
      </c>
      <c r="B93" s="759"/>
      <c r="C93" s="756"/>
      <c r="D93" s="757"/>
      <c r="E93" s="371"/>
    </row>
    <row r="94" spans="1:5" s="368" customFormat="1" ht="13.5" thickBot="1" x14ac:dyDescent="0.25">
      <c r="A94" s="77" t="s">
        <v>32</v>
      </c>
      <c r="B94" s="325"/>
      <c r="C94" s="325"/>
      <c r="D94" s="331"/>
      <c r="E94" s="285"/>
    </row>
    <row r="95" spans="1:5" s="368" customFormat="1" ht="27.75" customHeight="1" thickBot="1" x14ac:dyDescent="0.25">
      <c r="A95" s="176" t="s">
        <v>33</v>
      </c>
      <c r="B95" s="177" t="s">
        <v>34</v>
      </c>
      <c r="C95" s="177" t="str">
        <f>IF(C92&lt;&gt;"Yes","Horizon","")</f>
        <v>Horizon</v>
      </c>
      <c r="D95" s="331" t="str">
        <f>IF(C92&lt;&gt;"Yes","Exact Horizon Year"&amp;CHAR(10)&amp;"(e.g., 2045)","")</f>
        <v>Exact Horizon Year
(e.g., 2045)</v>
      </c>
      <c r="E95" s="285"/>
    </row>
    <row r="96" spans="1:5" s="368" customFormat="1" ht="13.5" thickBot="1" x14ac:dyDescent="0.25">
      <c r="A96" s="263"/>
      <c r="B96" s="264"/>
      <c r="C96" s="264" t="s">
        <v>454</v>
      </c>
      <c r="D96" s="265"/>
    </row>
    <row r="97" spans="1:4" s="368" customFormat="1" ht="13.5" thickBot="1" x14ac:dyDescent="0.25">
      <c r="A97" s="732" t="s">
        <v>35</v>
      </c>
      <c r="B97" s="18" t="s">
        <v>457</v>
      </c>
      <c r="C97" s="751">
        <f>+Finance!B4</f>
        <v>0</v>
      </c>
      <c r="D97" s="752"/>
    </row>
    <row r="98" spans="1:4" s="368" customFormat="1" ht="13.5" thickBot="1" x14ac:dyDescent="0.25">
      <c r="A98" s="734"/>
      <c r="B98" s="18" t="s">
        <v>36</v>
      </c>
      <c r="C98" s="751">
        <f>+Finance!E4</f>
        <v>0</v>
      </c>
      <c r="D98" s="752"/>
    </row>
    <row r="99" spans="1:4" s="368" customFormat="1" ht="13.5" thickBot="1" x14ac:dyDescent="0.25">
      <c r="A99" s="732" t="s">
        <v>37</v>
      </c>
      <c r="B99" s="19" t="s">
        <v>38</v>
      </c>
      <c r="C99" s="78" t="s">
        <v>34</v>
      </c>
      <c r="D99" s="330" t="s">
        <v>39</v>
      </c>
    </row>
    <row r="100" spans="1:4" s="368" customFormat="1" ht="12.75" x14ac:dyDescent="0.2">
      <c r="A100" s="733"/>
      <c r="B100" s="20" t="s">
        <v>40</v>
      </c>
      <c r="C100" s="227"/>
      <c r="D100" s="334"/>
    </row>
    <row r="101" spans="1:4" s="368" customFormat="1" ht="12.75" x14ac:dyDescent="0.2">
      <c r="A101" s="733"/>
      <c r="B101" s="20" t="s">
        <v>41</v>
      </c>
      <c r="C101" s="228"/>
      <c r="D101" s="229"/>
    </row>
    <row r="102" spans="1:4" s="368" customFormat="1" ht="12.75" x14ac:dyDescent="0.2">
      <c r="A102" s="733"/>
      <c r="B102" s="20" t="s">
        <v>42</v>
      </c>
      <c r="C102" s="228"/>
      <c r="D102" s="229"/>
    </row>
    <row r="103" spans="1:4" s="368" customFormat="1" ht="13.5" thickBot="1" x14ac:dyDescent="0.25">
      <c r="A103" s="733"/>
      <c r="B103" s="21" t="s">
        <v>43</v>
      </c>
      <c r="C103" s="230"/>
      <c r="D103" s="231"/>
    </row>
    <row r="104" spans="1:4" s="368" customFormat="1" ht="13.5" thickBot="1" x14ac:dyDescent="0.25">
      <c r="A104" s="733"/>
      <c r="B104" s="19" t="s">
        <v>44</v>
      </c>
      <c r="C104" s="78" t="s">
        <v>34</v>
      </c>
      <c r="D104" s="78" t="s">
        <v>39</v>
      </c>
    </row>
    <row r="105" spans="1:4" s="368" customFormat="1" ht="12.75" x14ac:dyDescent="0.2">
      <c r="A105" s="733"/>
      <c r="B105" s="20" t="s">
        <v>45</v>
      </c>
      <c r="C105" s="232"/>
      <c r="D105" s="320"/>
    </row>
    <row r="106" spans="1:4" s="368" customFormat="1" ht="13.5" thickBot="1" x14ac:dyDescent="0.25">
      <c r="A106" s="734"/>
      <c r="B106" s="21" t="s">
        <v>43</v>
      </c>
      <c r="C106" s="233"/>
      <c r="D106" s="323"/>
    </row>
    <row r="107" spans="1:4" s="368" customFormat="1" ht="13.5" thickBot="1" x14ac:dyDescent="0.25">
      <c r="A107" s="730" t="str">
        <f>IF(C92&lt;&gt;"Yes","Type of Model Used for Travel Forecasts","")</f>
        <v>Type of Model Used for Travel Forecasts</v>
      </c>
      <c r="B107" s="731"/>
      <c r="C107" s="747" t="s">
        <v>46</v>
      </c>
      <c r="D107" s="748"/>
    </row>
    <row r="108" spans="1:4" s="368" customFormat="1" ht="15" thickBot="1" x14ac:dyDescent="0.25">
      <c r="A108" s="730" t="str">
        <f>IF(C92&lt;&gt;"Yes","Fare Policy Assumptions Used in Travel Forecasts [footnote 1]","")</f>
        <v>Fare Policy Assumptions Used in Travel Forecasts [footnote 1]</v>
      </c>
      <c r="B108" s="753"/>
      <c r="C108" s="745"/>
      <c r="D108" s="746"/>
    </row>
    <row r="109" spans="1:4" s="368" customFormat="1" ht="27.75" customHeight="1" thickBot="1" x14ac:dyDescent="0.25">
      <c r="A109" s="743" t="s">
        <v>47</v>
      </c>
      <c r="B109" s="744"/>
      <c r="C109" s="745"/>
      <c r="D109" s="746"/>
    </row>
    <row r="110" spans="1:4" s="368" customFormat="1" ht="13.5" thickBot="1" x14ac:dyDescent="0.25">
      <c r="A110" s="713" t="s">
        <v>48</v>
      </c>
      <c r="B110" s="727" t="s">
        <v>49</v>
      </c>
      <c r="C110" s="728"/>
      <c r="D110" s="729"/>
    </row>
    <row r="111" spans="1:4" s="368" customFormat="1" ht="13.5" thickBot="1" x14ac:dyDescent="0.25">
      <c r="A111" s="714"/>
      <c r="B111" s="717" t="s">
        <v>50</v>
      </c>
      <c r="C111" s="718"/>
      <c r="D111" s="719"/>
    </row>
    <row r="112" spans="1:4" s="368" customFormat="1" ht="12.75" x14ac:dyDescent="0.2">
      <c r="A112" s="714"/>
      <c r="B112" s="749" t="s">
        <v>51</v>
      </c>
      <c r="C112" s="750"/>
      <c r="D112" s="232" t="s">
        <v>52</v>
      </c>
    </row>
    <row r="113" spans="1:4" s="368" customFormat="1" ht="12.75" x14ac:dyDescent="0.2">
      <c r="A113" s="714"/>
      <c r="B113" s="711" t="s">
        <v>53</v>
      </c>
      <c r="C113" s="712"/>
      <c r="D113" s="144"/>
    </row>
    <row r="114" spans="1:4" s="368" customFormat="1" ht="12.75" x14ac:dyDescent="0.2">
      <c r="A114" s="714"/>
      <c r="B114" s="716" t="str">
        <f>IF(D112="Environmental Impact Statement (EIS)","Notice of Intent",IF(D112="Environmental Assessment (EA)","Finding of No Significant Impact (FONSI)",IF(D112="Categorical Exclusion (CE)","Receipt of CE","(Select NEPA class of action above)")))</f>
        <v>(Select NEPA class of action above)</v>
      </c>
      <c r="C114" s="712"/>
      <c r="D114" s="144"/>
    </row>
    <row r="115" spans="1:4" s="368" customFormat="1" ht="12.75" x14ac:dyDescent="0.2">
      <c r="A115" s="714"/>
      <c r="B115" s="711" t="str">
        <f>IF(D112="Environmental Impact Statement (EIS)","Publication of DEIS","")</f>
        <v/>
      </c>
      <c r="C115" s="712"/>
      <c r="D115" s="144"/>
    </row>
    <row r="116" spans="1:4" s="368" customFormat="1" ht="12.75" x14ac:dyDescent="0.2">
      <c r="A116" s="714"/>
      <c r="B116" s="711" t="str">
        <f>IF(D112="Environmental Impact Statement (EIS)","Publication of FEIS","")</f>
        <v/>
      </c>
      <c r="C116" s="712"/>
      <c r="D116" s="144"/>
    </row>
    <row r="117" spans="1:4" s="368" customFormat="1" ht="12.75" x14ac:dyDescent="0.2">
      <c r="A117" s="714"/>
      <c r="B117" s="711" t="str">
        <f>IF(D112="Environmental Impact Statement (EIS)","Record of Decision","")</f>
        <v/>
      </c>
      <c r="C117" s="712"/>
      <c r="D117" s="144"/>
    </row>
    <row r="118" spans="1:4" s="368" customFormat="1" ht="12.75" x14ac:dyDescent="0.2">
      <c r="A118" s="714"/>
      <c r="B118" s="711" t="s">
        <v>54</v>
      </c>
      <c r="C118" s="712"/>
      <c r="D118" s="144"/>
    </row>
    <row r="119" spans="1:4" s="368" customFormat="1" ht="12.75" x14ac:dyDescent="0.2">
      <c r="A119" s="714"/>
      <c r="B119" s="711" t="s">
        <v>55</v>
      </c>
      <c r="C119" s="712"/>
      <c r="D119" s="144"/>
    </row>
    <row r="120" spans="1:4" s="368" customFormat="1" ht="12.75" x14ac:dyDescent="0.2">
      <c r="A120" s="714"/>
      <c r="B120" s="711" t="s">
        <v>56</v>
      </c>
      <c r="C120" s="712"/>
      <c r="D120" s="144"/>
    </row>
    <row r="121" spans="1:4" s="368" customFormat="1" ht="12.75" x14ac:dyDescent="0.2">
      <c r="A121" s="714"/>
      <c r="B121" s="711" t="s">
        <v>57</v>
      </c>
      <c r="C121" s="712"/>
      <c r="D121" s="144"/>
    </row>
    <row r="122" spans="1:4" s="368" customFormat="1" ht="12.75" x14ac:dyDescent="0.2">
      <c r="A122" s="714"/>
      <c r="B122" s="711" t="s">
        <v>58</v>
      </c>
      <c r="C122" s="712"/>
      <c r="D122" s="144"/>
    </row>
    <row r="123" spans="1:4" s="368" customFormat="1" ht="13.5" thickBot="1" x14ac:dyDescent="0.25">
      <c r="A123" s="715"/>
      <c r="B123" s="709" t="s">
        <v>59</v>
      </c>
      <c r="C123" s="710"/>
      <c r="D123" s="145"/>
    </row>
    <row r="124" spans="1:4" s="368" customFormat="1" ht="13.5" thickBot="1" x14ac:dyDescent="0.25">
      <c r="A124" s="324" t="s">
        <v>60</v>
      </c>
      <c r="B124" s="325"/>
      <c r="C124" s="325"/>
      <c r="D124" s="326"/>
    </row>
    <row r="125" spans="1:4" s="368" customFormat="1" ht="12.75" x14ac:dyDescent="0.2">
      <c r="A125" s="705" t="s">
        <v>61</v>
      </c>
      <c r="B125" s="22" t="s">
        <v>3</v>
      </c>
      <c r="C125" s="698"/>
      <c r="D125" s="699"/>
    </row>
    <row r="126" spans="1:4" s="368" customFormat="1" ht="12.75" x14ac:dyDescent="0.2">
      <c r="A126" s="706"/>
      <c r="B126" s="23" t="s">
        <v>5</v>
      </c>
      <c r="C126" s="692"/>
      <c r="D126" s="693"/>
    </row>
    <row r="127" spans="1:4" s="368" customFormat="1" ht="12.75" x14ac:dyDescent="0.2">
      <c r="A127" s="706"/>
      <c r="B127" s="23" t="s">
        <v>62</v>
      </c>
      <c r="C127" s="692"/>
      <c r="D127" s="693"/>
    </row>
    <row r="128" spans="1:4" s="368" customFormat="1" ht="12.75" x14ac:dyDescent="0.2">
      <c r="A128" s="706"/>
      <c r="B128" s="23" t="s">
        <v>63</v>
      </c>
      <c r="C128" s="692"/>
      <c r="D128" s="693"/>
    </row>
    <row r="129" spans="1:4" s="368" customFormat="1" ht="13.5" thickBot="1" x14ac:dyDescent="0.25">
      <c r="A129" s="707"/>
      <c r="B129" s="24" t="s">
        <v>8</v>
      </c>
      <c r="C129" s="694"/>
      <c r="D129" s="695"/>
    </row>
    <row r="130" spans="1:4" s="368" customFormat="1" ht="12.75" x14ac:dyDescent="0.2">
      <c r="A130" s="705" t="s">
        <v>64</v>
      </c>
      <c r="B130" s="25" t="s">
        <v>3</v>
      </c>
      <c r="C130" s="698"/>
      <c r="D130" s="699"/>
    </row>
    <row r="131" spans="1:4" s="368" customFormat="1" ht="12.75" x14ac:dyDescent="0.2">
      <c r="A131" s="706"/>
      <c r="B131" s="23" t="s">
        <v>5</v>
      </c>
      <c r="C131" s="692"/>
      <c r="D131" s="693"/>
    </row>
    <row r="132" spans="1:4" s="368" customFormat="1" ht="12.75" x14ac:dyDescent="0.2">
      <c r="A132" s="706"/>
      <c r="B132" s="23" t="s">
        <v>62</v>
      </c>
      <c r="C132" s="692"/>
      <c r="D132" s="693"/>
    </row>
    <row r="133" spans="1:4" s="368" customFormat="1" ht="12.75" x14ac:dyDescent="0.2">
      <c r="A133" s="706"/>
      <c r="B133" s="23" t="s">
        <v>63</v>
      </c>
      <c r="C133" s="692"/>
      <c r="D133" s="693"/>
    </row>
    <row r="134" spans="1:4" s="368" customFormat="1" ht="13.5" thickBot="1" x14ac:dyDescent="0.25">
      <c r="A134" s="707"/>
      <c r="B134" s="24" t="s">
        <v>8</v>
      </c>
      <c r="C134" s="694"/>
      <c r="D134" s="695"/>
    </row>
    <row r="135" spans="1:4" s="368" customFormat="1" ht="12.75" x14ac:dyDescent="0.2">
      <c r="A135" s="708" t="s">
        <v>65</v>
      </c>
      <c r="B135" s="25" t="s">
        <v>3</v>
      </c>
      <c r="C135" s="698"/>
      <c r="D135" s="699"/>
    </row>
    <row r="136" spans="1:4" s="368" customFormat="1" ht="12.75" x14ac:dyDescent="0.2">
      <c r="A136" s="706"/>
      <c r="B136" s="23" t="s">
        <v>5</v>
      </c>
      <c r="C136" s="692"/>
      <c r="D136" s="693"/>
    </row>
    <row r="137" spans="1:4" s="368" customFormat="1" ht="12.75" x14ac:dyDescent="0.2">
      <c r="A137" s="706"/>
      <c r="B137" s="23" t="s">
        <v>62</v>
      </c>
      <c r="C137" s="692"/>
      <c r="D137" s="693"/>
    </row>
    <row r="138" spans="1:4" s="368" customFormat="1" ht="12.75" x14ac:dyDescent="0.2">
      <c r="A138" s="706"/>
      <c r="B138" s="23" t="s">
        <v>63</v>
      </c>
      <c r="C138" s="692"/>
      <c r="D138" s="693"/>
    </row>
    <row r="139" spans="1:4" s="368" customFormat="1" ht="13.5" thickBot="1" x14ac:dyDescent="0.25">
      <c r="A139" s="707"/>
      <c r="B139" s="24" t="s">
        <v>8</v>
      </c>
      <c r="C139" s="694"/>
      <c r="D139" s="695"/>
    </row>
    <row r="140" spans="1:4" s="368" customFormat="1" ht="12.75" x14ac:dyDescent="0.2">
      <c r="A140" s="762" t="s">
        <v>66</v>
      </c>
      <c r="B140" s="763"/>
      <c r="C140" s="763"/>
      <c r="D140" s="763"/>
    </row>
    <row r="141" spans="1:4" s="366" customFormat="1" ht="13.5" thickBot="1" x14ac:dyDescent="0.25">
      <c r="A141" s="266"/>
      <c r="B141" s="266"/>
      <c r="C141" s="266"/>
      <c r="D141" s="266"/>
    </row>
    <row r="142" spans="1:4" s="365" customFormat="1" ht="18.75" customHeight="1" thickBot="1" x14ac:dyDescent="0.25">
      <c r="A142" s="720" t="s">
        <v>67</v>
      </c>
      <c r="B142" s="721"/>
      <c r="C142" s="721"/>
      <c r="D142" s="722"/>
    </row>
    <row r="143" spans="1:4" s="368" customFormat="1" ht="12.75" x14ac:dyDescent="0.2">
      <c r="A143" s="708" t="s">
        <v>68</v>
      </c>
      <c r="B143" s="25" t="s">
        <v>3</v>
      </c>
      <c r="C143" s="698"/>
      <c r="D143" s="699"/>
    </row>
    <row r="144" spans="1:4" s="368" customFormat="1" ht="12.75" x14ac:dyDescent="0.2">
      <c r="A144" s="760"/>
      <c r="B144" s="23" t="s">
        <v>5</v>
      </c>
      <c r="C144" s="692"/>
      <c r="D144" s="693"/>
    </row>
    <row r="145" spans="1:4" s="368" customFormat="1" ht="12.75" x14ac:dyDescent="0.2">
      <c r="A145" s="760"/>
      <c r="B145" s="23" t="s">
        <v>62</v>
      </c>
      <c r="C145" s="692"/>
      <c r="D145" s="693"/>
    </row>
    <row r="146" spans="1:4" s="368" customFormat="1" ht="12.75" x14ac:dyDescent="0.2">
      <c r="A146" s="760"/>
      <c r="B146" s="23" t="s">
        <v>63</v>
      </c>
      <c r="C146" s="692"/>
      <c r="D146" s="693"/>
    </row>
    <row r="147" spans="1:4" s="368" customFormat="1" ht="13.5" thickBot="1" x14ac:dyDescent="0.25">
      <c r="A147" s="761"/>
      <c r="B147" s="26" t="s">
        <v>8</v>
      </c>
      <c r="C147" s="694"/>
      <c r="D147" s="695"/>
    </row>
    <row r="148" spans="1:4" s="368" customFormat="1" ht="12.75" x14ac:dyDescent="0.2">
      <c r="A148" s="322" t="s">
        <v>69</v>
      </c>
      <c r="B148" s="22" t="s">
        <v>3</v>
      </c>
      <c r="C148" s="698"/>
      <c r="D148" s="699"/>
    </row>
    <row r="149" spans="1:4" s="368" customFormat="1" ht="12.75" x14ac:dyDescent="0.2">
      <c r="A149" s="321" t="s">
        <v>70</v>
      </c>
      <c r="B149" s="23" t="s">
        <v>5</v>
      </c>
      <c r="C149" s="692"/>
      <c r="D149" s="693"/>
    </row>
    <row r="150" spans="1:4" s="368" customFormat="1" ht="12.75" x14ac:dyDescent="0.2">
      <c r="A150" s="267"/>
      <c r="B150" s="23" t="s">
        <v>62</v>
      </c>
      <c r="C150" s="692"/>
      <c r="D150" s="693"/>
    </row>
    <row r="151" spans="1:4" s="368" customFormat="1" ht="12.75" x14ac:dyDescent="0.2">
      <c r="A151" s="267"/>
      <c r="B151" s="23" t="s">
        <v>63</v>
      </c>
      <c r="C151" s="692"/>
      <c r="D151" s="693"/>
    </row>
    <row r="152" spans="1:4" s="368" customFormat="1" ht="13.5" thickBot="1" x14ac:dyDescent="0.25">
      <c r="A152" s="268"/>
      <c r="B152" s="24" t="s">
        <v>8</v>
      </c>
      <c r="C152" s="694"/>
      <c r="D152" s="695"/>
    </row>
    <row r="153" spans="1:4" s="365" customFormat="1" ht="12.75" x14ac:dyDescent="0.2">
      <c r="A153" s="322" t="s">
        <v>71</v>
      </c>
      <c r="B153" s="22" t="s">
        <v>3</v>
      </c>
      <c r="C153" s="698"/>
      <c r="D153" s="699"/>
    </row>
    <row r="154" spans="1:4" s="365" customFormat="1" ht="12.75" x14ac:dyDescent="0.2">
      <c r="A154" s="327" t="s">
        <v>72</v>
      </c>
      <c r="B154" s="23" t="s">
        <v>5</v>
      </c>
      <c r="C154" s="692"/>
      <c r="D154" s="693"/>
    </row>
    <row r="155" spans="1:4" s="365" customFormat="1" ht="12.75" x14ac:dyDescent="0.2">
      <c r="A155" s="321" t="s">
        <v>73</v>
      </c>
      <c r="B155" s="23" t="s">
        <v>62</v>
      </c>
      <c r="C155" s="692"/>
      <c r="D155" s="693"/>
    </row>
    <row r="156" spans="1:4" s="365" customFormat="1" ht="12.75" x14ac:dyDescent="0.2">
      <c r="A156" s="267"/>
      <c r="B156" s="23" t="s">
        <v>63</v>
      </c>
      <c r="C156" s="692"/>
      <c r="D156" s="693"/>
    </row>
    <row r="157" spans="1:4" s="365" customFormat="1" ht="13.5" thickBot="1" x14ac:dyDescent="0.25">
      <c r="A157" s="268"/>
      <c r="B157" s="24" t="s">
        <v>8</v>
      </c>
      <c r="C157" s="694"/>
      <c r="D157" s="695"/>
    </row>
    <row r="158" spans="1:4" s="365" customFormat="1" ht="12.75" x14ac:dyDescent="0.2">
      <c r="A158" s="327" t="s">
        <v>71</v>
      </c>
      <c r="B158" s="25" t="s">
        <v>3</v>
      </c>
      <c r="C158" s="698"/>
      <c r="D158" s="699"/>
    </row>
    <row r="159" spans="1:4" s="365" customFormat="1" ht="12.75" x14ac:dyDescent="0.2">
      <c r="A159" s="321" t="s">
        <v>74</v>
      </c>
      <c r="B159" s="23" t="s">
        <v>5</v>
      </c>
      <c r="C159" s="692"/>
      <c r="D159" s="693"/>
    </row>
    <row r="160" spans="1:4" s="365" customFormat="1" ht="12.75" x14ac:dyDescent="0.2">
      <c r="A160" s="267"/>
      <c r="B160" s="23" t="s">
        <v>62</v>
      </c>
      <c r="C160" s="692"/>
      <c r="D160" s="693"/>
    </row>
    <row r="161" spans="1:4" s="365" customFormat="1" ht="12.75" x14ac:dyDescent="0.2">
      <c r="A161" s="267"/>
      <c r="B161" s="23" t="s">
        <v>63</v>
      </c>
      <c r="C161" s="692"/>
      <c r="D161" s="693"/>
    </row>
    <row r="162" spans="1:4" s="365" customFormat="1" ht="13.5" thickBot="1" x14ac:dyDescent="0.25">
      <c r="A162" s="268"/>
      <c r="B162" s="24" t="s">
        <v>8</v>
      </c>
      <c r="C162" s="694"/>
      <c r="D162" s="695"/>
    </row>
    <row r="163" spans="1:4" s="365" customFormat="1" ht="12.75" x14ac:dyDescent="0.2">
      <c r="A163" s="327" t="s">
        <v>71</v>
      </c>
      <c r="B163" s="25" t="s">
        <v>3</v>
      </c>
      <c r="C163" s="698"/>
      <c r="D163" s="699"/>
    </row>
    <row r="164" spans="1:4" s="365" customFormat="1" ht="12.75" x14ac:dyDescent="0.2">
      <c r="A164" s="321" t="s">
        <v>75</v>
      </c>
      <c r="B164" s="23" t="s">
        <v>5</v>
      </c>
      <c r="C164" s="692"/>
      <c r="D164" s="693"/>
    </row>
    <row r="165" spans="1:4" s="365" customFormat="1" ht="12.75" x14ac:dyDescent="0.2">
      <c r="A165" s="267"/>
      <c r="B165" s="23" t="s">
        <v>62</v>
      </c>
      <c r="C165" s="692"/>
      <c r="D165" s="693"/>
    </row>
    <row r="166" spans="1:4" s="365" customFormat="1" ht="12.75" x14ac:dyDescent="0.2">
      <c r="A166" s="267"/>
      <c r="B166" s="23" t="s">
        <v>63</v>
      </c>
      <c r="C166" s="692"/>
      <c r="D166" s="693"/>
    </row>
    <row r="167" spans="1:4" s="365" customFormat="1" ht="13.5" thickBot="1" x14ac:dyDescent="0.25">
      <c r="A167" s="268"/>
      <c r="B167" s="24" t="s">
        <v>8</v>
      </c>
      <c r="C167" s="694"/>
      <c r="D167" s="695"/>
    </row>
    <row r="168" spans="1:4" s="365" customFormat="1" ht="12.75" x14ac:dyDescent="0.2">
      <c r="A168" s="327" t="s">
        <v>71</v>
      </c>
      <c r="B168" s="25" t="s">
        <v>3</v>
      </c>
      <c r="C168" s="698"/>
      <c r="D168" s="699"/>
    </row>
    <row r="169" spans="1:4" s="365" customFormat="1" ht="12.75" x14ac:dyDescent="0.2">
      <c r="A169" s="321" t="s">
        <v>76</v>
      </c>
      <c r="B169" s="23" t="s">
        <v>5</v>
      </c>
      <c r="C169" s="692"/>
      <c r="D169" s="693"/>
    </row>
    <row r="170" spans="1:4" s="365" customFormat="1" ht="12.75" x14ac:dyDescent="0.2">
      <c r="A170" s="267"/>
      <c r="B170" s="23" t="s">
        <v>62</v>
      </c>
      <c r="C170" s="692"/>
      <c r="D170" s="693"/>
    </row>
    <row r="171" spans="1:4" s="365" customFormat="1" ht="12.75" x14ac:dyDescent="0.2">
      <c r="A171" s="267"/>
      <c r="B171" s="23" t="s">
        <v>63</v>
      </c>
      <c r="C171" s="692"/>
      <c r="D171" s="693"/>
    </row>
    <row r="172" spans="1:4" s="365" customFormat="1" ht="13.5" thickBot="1" x14ac:dyDescent="0.25">
      <c r="A172" s="268"/>
      <c r="B172" s="24" t="s">
        <v>8</v>
      </c>
      <c r="C172" s="694"/>
      <c r="D172" s="695"/>
    </row>
    <row r="173" spans="1:4" s="365" customFormat="1" ht="13.5" thickBot="1" x14ac:dyDescent="0.25">
      <c r="A173" s="27" t="s">
        <v>77</v>
      </c>
      <c r="B173" s="28"/>
      <c r="C173" s="696"/>
      <c r="D173" s="697"/>
    </row>
    <row r="174" spans="1:4" s="365" customFormat="1" ht="12.75" x14ac:dyDescent="0.2">
      <c r="A174" s="705" t="s">
        <v>78</v>
      </c>
      <c r="B174" s="22" t="s">
        <v>3</v>
      </c>
      <c r="C174" s="698"/>
      <c r="D174" s="699"/>
    </row>
    <row r="175" spans="1:4" s="365" customFormat="1" ht="12.75" x14ac:dyDescent="0.2">
      <c r="A175" s="706"/>
      <c r="B175" s="23" t="s">
        <v>5</v>
      </c>
      <c r="C175" s="692"/>
      <c r="D175" s="693"/>
    </row>
    <row r="176" spans="1:4" s="365" customFormat="1" ht="12.75" x14ac:dyDescent="0.2">
      <c r="A176" s="706"/>
      <c r="B176" s="23" t="s">
        <v>62</v>
      </c>
      <c r="C176" s="692"/>
      <c r="D176" s="693"/>
    </row>
    <row r="177" spans="1:4" s="365" customFormat="1" ht="12.75" x14ac:dyDescent="0.2">
      <c r="A177" s="706"/>
      <c r="B177" s="23" t="s">
        <v>63</v>
      </c>
      <c r="C177" s="692"/>
      <c r="D177" s="693"/>
    </row>
    <row r="178" spans="1:4" s="365" customFormat="1" ht="13.5" thickBot="1" x14ac:dyDescent="0.25">
      <c r="A178" s="707"/>
      <c r="B178" s="24" t="s">
        <v>8</v>
      </c>
      <c r="C178" s="694"/>
      <c r="D178" s="695"/>
    </row>
    <row r="179" spans="1:4" s="365" customFormat="1" ht="12.75" x14ac:dyDescent="0.2">
      <c r="A179" s="705" t="s">
        <v>79</v>
      </c>
      <c r="B179" s="25" t="s">
        <v>3</v>
      </c>
      <c r="C179" s="698"/>
      <c r="D179" s="699"/>
    </row>
    <row r="180" spans="1:4" s="365" customFormat="1" ht="12.75" x14ac:dyDescent="0.2">
      <c r="A180" s="706"/>
      <c r="B180" s="23" t="s">
        <v>5</v>
      </c>
      <c r="C180" s="692"/>
      <c r="D180" s="693"/>
    </row>
    <row r="181" spans="1:4" s="365" customFormat="1" ht="12.75" x14ac:dyDescent="0.2">
      <c r="A181" s="706"/>
      <c r="B181" s="23" t="s">
        <v>62</v>
      </c>
      <c r="C181" s="692"/>
      <c r="D181" s="693"/>
    </row>
    <row r="182" spans="1:4" s="365" customFormat="1" ht="12.75" x14ac:dyDescent="0.2">
      <c r="A182" s="706"/>
      <c r="B182" s="23" t="s">
        <v>63</v>
      </c>
      <c r="C182" s="692"/>
      <c r="D182" s="693"/>
    </row>
    <row r="183" spans="1:4" s="365" customFormat="1" ht="13.5" thickBot="1" x14ac:dyDescent="0.25">
      <c r="A183" s="707"/>
      <c r="B183" s="24" t="s">
        <v>8</v>
      </c>
      <c r="C183" s="694"/>
      <c r="D183" s="695"/>
    </row>
    <row r="184" spans="1:4" s="365" customFormat="1" ht="12.75" x14ac:dyDescent="0.2">
      <c r="A184" s="708" t="s">
        <v>80</v>
      </c>
      <c r="B184" s="25" t="s">
        <v>3</v>
      </c>
      <c r="C184" s="698"/>
      <c r="D184" s="699"/>
    </row>
    <row r="185" spans="1:4" s="365" customFormat="1" ht="12.75" x14ac:dyDescent="0.2">
      <c r="A185" s="706"/>
      <c r="B185" s="23" t="s">
        <v>5</v>
      </c>
      <c r="C185" s="692"/>
      <c r="D185" s="693"/>
    </row>
    <row r="186" spans="1:4" s="365" customFormat="1" ht="12.75" x14ac:dyDescent="0.2">
      <c r="A186" s="706"/>
      <c r="B186" s="23" t="s">
        <v>62</v>
      </c>
      <c r="C186" s="692"/>
      <c r="D186" s="693"/>
    </row>
    <row r="187" spans="1:4" s="365" customFormat="1" ht="12.75" x14ac:dyDescent="0.2">
      <c r="A187" s="706"/>
      <c r="B187" s="23" t="s">
        <v>63</v>
      </c>
      <c r="C187" s="692"/>
      <c r="D187" s="693"/>
    </row>
    <row r="188" spans="1:4" s="365" customFormat="1" ht="13.5" thickBot="1" x14ac:dyDescent="0.25">
      <c r="A188" s="707"/>
      <c r="B188" s="24" t="s">
        <v>8</v>
      </c>
      <c r="C188" s="694"/>
      <c r="D188" s="695"/>
    </row>
    <row r="189" spans="1:4" s="365" customFormat="1" ht="12.75" x14ac:dyDescent="0.2">
      <c r="A189" s="708" t="s">
        <v>81</v>
      </c>
      <c r="B189" s="25" t="s">
        <v>3</v>
      </c>
      <c r="C189" s="698"/>
      <c r="D189" s="699"/>
    </row>
    <row r="190" spans="1:4" s="365" customFormat="1" ht="12.75" x14ac:dyDescent="0.2">
      <c r="A190" s="706"/>
      <c r="B190" s="23" t="s">
        <v>5</v>
      </c>
      <c r="C190" s="692"/>
      <c r="D190" s="693"/>
    </row>
    <row r="191" spans="1:4" s="365" customFormat="1" ht="12.75" x14ac:dyDescent="0.2">
      <c r="A191" s="706"/>
      <c r="B191" s="23" t="s">
        <v>62</v>
      </c>
      <c r="C191" s="692"/>
      <c r="D191" s="693"/>
    </row>
    <row r="192" spans="1:4" s="365" customFormat="1" ht="12.75" x14ac:dyDescent="0.2">
      <c r="A192" s="706"/>
      <c r="B192" s="23" t="s">
        <v>63</v>
      </c>
      <c r="C192" s="692"/>
      <c r="D192" s="693"/>
    </row>
    <row r="193" spans="1:4" s="365" customFormat="1" ht="13.5" thickBot="1" x14ac:dyDescent="0.25">
      <c r="A193" s="707"/>
      <c r="B193" s="24" t="s">
        <v>8</v>
      </c>
      <c r="C193" s="694"/>
      <c r="D193" s="695"/>
    </row>
  </sheetData>
  <sheetProtection algorithmName="SHA-512" hashValue="xbSM1kzYMw0qzhvB31depSpN5CTsWHmBwMIhb1xRRBIkmypJMjWut4FiIXEu+0KsbV0rWF6qEopW0fYn/OPQtA==" saltValue="YCCxC52CNC7ZubRtZER6Ow==" spinCount="100000" sheet="1" formatCells="0" formatColumns="0" formatRows="0" insertColumns="0" insertRows="0" insertHyperlinks="0" selectLockedCells="1"/>
  <customSheetViews>
    <customSheetView guid="{AB5399CE-BEB7-40AA-A66C-46449E135DF8}" showGridLines="0" topLeftCell="A61">
      <selection activeCell="B93" sqref="B93"/>
      <rowBreaks count="3" manualBreakCount="3">
        <brk id="46" max="16383" man="1"/>
        <brk id="90" max="16383" man="1"/>
        <brk id="151" max="16383" man="1"/>
      </rowBreaks>
      <pageMargins left="0" right="0" top="0" bottom="0" header="0" footer="0"/>
      <printOptions horizontalCentered="1"/>
      <pageSetup scale="84" fitToHeight="7" orientation="portrait" r:id="rId1"/>
      <headerFooter alignWithMargins="0"/>
    </customSheetView>
  </customSheetViews>
  <mergeCells count="206">
    <mergeCell ref="C167:D167"/>
    <mergeCell ref="C97:D97"/>
    <mergeCell ref="C98:D98"/>
    <mergeCell ref="C160:D160"/>
    <mergeCell ref="C162:D162"/>
    <mergeCell ref="A108:B108"/>
    <mergeCell ref="C108:D108"/>
    <mergeCell ref="A92:B92"/>
    <mergeCell ref="C92:D92"/>
    <mergeCell ref="C93:D93"/>
    <mergeCell ref="A93:B93"/>
    <mergeCell ref="A97:A98"/>
    <mergeCell ref="C165:D165"/>
    <mergeCell ref="C154:D154"/>
    <mergeCell ref="C143:D143"/>
    <mergeCell ref="C134:D134"/>
    <mergeCell ref="C133:D133"/>
    <mergeCell ref="C145:D145"/>
    <mergeCell ref="C144:D144"/>
    <mergeCell ref="A143:A147"/>
    <mergeCell ref="A140:D140"/>
    <mergeCell ref="A91:D91"/>
    <mergeCell ref="C166:D166"/>
    <mergeCell ref="B112:C112"/>
    <mergeCell ref="C158:D158"/>
    <mergeCell ref="C161:D161"/>
    <mergeCell ref="B122:C122"/>
    <mergeCell ref="C136:D136"/>
    <mergeCell ref="C126:D126"/>
    <mergeCell ref="C135:D135"/>
    <mergeCell ref="C159:D159"/>
    <mergeCell ref="C132:D132"/>
    <mergeCell ref="C127:D127"/>
    <mergeCell ref="C149:D149"/>
    <mergeCell ref="C148:D148"/>
    <mergeCell ref="C147:D147"/>
    <mergeCell ref="C146:D146"/>
    <mergeCell ref="B120:C120"/>
    <mergeCell ref="B121:C121"/>
    <mergeCell ref="B113:C113"/>
    <mergeCell ref="B119:C119"/>
    <mergeCell ref="C139:D139"/>
    <mergeCell ref="C155:D155"/>
    <mergeCell ref="C156:D156"/>
    <mergeCell ref="C157:D157"/>
    <mergeCell ref="A16:A21"/>
    <mergeCell ref="A22:A27"/>
    <mergeCell ref="A28:A33"/>
    <mergeCell ref="C28:D28"/>
    <mergeCell ref="C30:D30"/>
    <mergeCell ref="C35:D35"/>
    <mergeCell ref="C32:D32"/>
    <mergeCell ref="C107:D107"/>
    <mergeCell ref="C51:D51"/>
    <mergeCell ref="C71:D71"/>
    <mergeCell ref="A99:A106"/>
    <mergeCell ref="C36:D36"/>
    <mergeCell ref="C37:D37"/>
    <mergeCell ref="C54:D54"/>
    <mergeCell ref="A47:D47"/>
    <mergeCell ref="C48:D48"/>
    <mergeCell ref="C42:D42"/>
    <mergeCell ref="C43:D43"/>
    <mergeCell ref="C31:D31"/>
    <mergeCell ref="C38:D38"/>
    <mergeCell ref="C73:D73"/>
    <mergeCell ref="C66:D66"/>
    <mergeCell ref="C49:D49"/>
    <mergeCell ref="C50:D50"/>
    <mergeCell ref="A88:A89"/>
    <mergeCell ref="A189:A193"/>
    <mergeCell ref="A184:A188"/>
    <mergeCell ref="C45:D45"/>
    <mergeCell ref="C131:D131"/>
    <mergeCell ref="A109:B109"/>
    <mergeCell ref="C109:D109"/>
    <mergeCell ref="C193:D193"/>
    <mergeCell ref="C192:D192"/>
    <mergeCell ref="C191:D191"/>
    <mergeCell ref="C190:D190"/>
    <mergeCell ref="C189:D189"/>
    <mergeCell ref="C153:D153"/>
    <mergeCell ref="C152:D152"/>
    <mergeCell ref="C151:D151"/>
    <mergeCell ref="C150:D150"/>
    <mergeCell ref="C168:D168"/>
    <mergeCell ref="C163:D163"/>
    <mergeCell ref="C164:D164"/>
    <mergeCell ref="C60:D60"/>
    <mergeCell ref="C81:D81"/>
    <mergeCell ref="C86:D86"/>
    <mergeCell ref="C61:D61"/>
    <mergeCell ref="C58:D58"/>
    <mergeCell ref="A1:D1"/>
    <mergeCell ref="A3:D3"/>
    <mergeCell ref="B2:D2"/>
    <mergeCell ref="C7:D7"/>
    <mergeCell ref="C4:D4"/>
    <mergeCell ref="A10:A15"/>
    <mergeCell ref="A4:A9"/>
    <mergeCell ref="C23:D23"/>
    <mergeCell ref="C24:D24"/>
    <mergeCell ref="C9:D9"/>
    <mergeCell ref="C10:D10"/>
    <mergeCell ref="C11:D11"/>
    <mergeCell ref="C5:D5"/>
    <mergeCell ref="C6:D6"/>
    <mergeCell ref="C8:D8"/>
    <mergeCell ref="C17:D17"/>
    <mergeCell ref="C20:D20"/>
    <mergeCell ref="C21:D21"/>
    <mergeCell ref="C13:D13"/>
    <mergeCell ref="C18:D18"/>
    <mergeCell ref="C12:D12"/>
    <mergeCell ref="C19:D19"/>
    <mergeCell ref="C22:D22"/>
    <mergeCell ref="C14:D14"/>
    <mergeCell ref="C15:D15"/>
    <mergeCell ref="C26:D26"/>
    <mergeCell ref="C27:D27"/>
    <mergeCell ref="C29:D29"/>
    <mergeCell ref="C16:D16"/>
    <mergeCell ref="C25:D25"/>
    <mergeCell ref="B110:D110"/>
    <mergeCell ref="C83:D83"/>
    <mergeCell ref="C87:D87"/>
    <mergeCell ref="A107:B107"/>
    <mergeCell ref="C84:D84"/>
    <mergeCell ref="C85:D85"/>
    <mergeCell ref="A83:A87"/>
    <mergeCell ref="C79:D79"/>
    <mergeCell ref="C88:D88"/>
    <mergeCell ref="C89:D89"/>
    <mergeCell ref="C33:D33"/>
    <mergeCell ref="C67:D67"/>
    <mergeCell ref="C34:D34"/>
    <mergeCell ref="C62:D62"/>
    <mergeCell ref="C56:D56"/>
    <mergeCell ref="A34:A39"/>
    <mergeCell ref="A48:A82"/>
    <mergeCell ref="C39:D39"/>
    <mergeCell ref="C65:D65"/>
    <mergeCell ref="C44:D44"/>
    <mergeCell ref="C82:D82"/>
    <mergeCell ref="C69:D69"/>
    <mergeCell ref="C68:D68"/>
    <mergeCell ref="C70:D70"/>
    <mergeCell ref="B51:B70"/>
    <mergeCell ref="C63:D63"/>
    <mergeCell ref="C64:D64"/>
    <mergeCell ref="C52:D52"/>
    <mergeCell ref="B71:B81"/>
    <mergeCell ref="C57:D57"/>
    <mergeCell ref="C59:D59"/>
    <mergeCell ref="C72:D72"/>
    <mergeCell ref="C53:D53"/>
    <mergeCell ref="C55:D55"/>
    <mergeCell ref="C77:D77"/>
    <mergeCell ref="C75:D75"/>
    <mergeCell ref="C76:D76"/>
    <mergeCell ref="C78:D78"/>
    <mergeCell ref="C80:D80"/>
    <mergeCell ref="A40:A45"/>
    <mergeCell ref="C40:D40"/>
    <mergeCell ref="C41:D41"/>
    <mergeCell ref="A174:A178"/>
    <mergeCell ref="A179:A183"/>
    <mergeCell ref="A130:A134"/>
    <mergeCell ref="A135:A139"/>
    <mergeCell ref="C74:D74"/>
    <mergeCell ref="B123:C123"/>
    <mergeCell ref="B118:C118"/>
    <mergeCell ref="A125:A129"/>
    <mergeCell ref="C125:D125"/>
    <mergeCell ref="A110:A123"/>
    <mergeCell ref="B116:C116"/>
    <mergeCell ref="B117:C117"/>
    <mergeCell ref="C128:D128"/>
    <mergeCell ref="C129:D129"/>
    <mergeCell ref="B114:C114"/>
    <mergeCell ref="B115:C115"/>
    <mergeCell ref="B111:D111"/>
    <mergeCell ref="C138:D138"/>
    <mergeCell ref="C137:D137"/>
    <mergeCell ref="C130:D130"/>
    <mergeCell ref="A142:D142"/>
    <mergeCell ref="C187:D187"/>
    <mergeCell ref="C188:D188"/>
    <mergeCell ref="C169:D169"/>
    <mergeCell ref="C176:D176"/>
    <mergeCell ref="C177:D177"/>
    <mergeCell ref="C170:D170"/>
    <mergeCell ref="C171:D171"/>
    <mergeCell ref="C172:D172"/>
    <mergeCell ref="C173:D173"/>
    <mergeCell ref="C184:D184"/>
    <mergeCell ref="C185:D185"/>
    <mergeCell ref="C186:D186"/>
    <mergeCell ref="C182:D182"/>
    <mergeCell ref="C183:D183"/>
    <mergeCell ref="C178:D178"/>
    <mergeCell ref="C179:D179"/>
    <mergeCell ref="C180:D180"/>
    <mergeCell ref="C181:D181"/>
    <mergeCell ref="C174:D174"/>
    <mergeCell ref="C175:D175"/>
  </mergeCells>
  <phoneticPr fontId="0" type="noConversion"/>
  <conditionalFormatting sqref="D115:D117">
    <cfRule type="expression" dxfId="14" priority="30">
      <formula>AND(D$112&lt;&gt;"Environmental Impact Statement (EIS)")</formula>
    </cfRule>
  </conditionalFormatting>
  <conditionalFormatting sqref="C93:D93">
    <cfRule type="expression" dxfId="13" priority="8">
      <formula>AND(C92="Yes")</formula>
    </cfRule>
  </conditionalFormatting>
  <conditionalFormatting sqref="C96:D96 C107:D107">
    <cfRule type="expression" dxfId="12" priority="6">
      <formula>AND($C$92="Yes")</formula>
    </cfRule>
  </conditionalFormatting>
  <conditionalFormatting sqref="D100:D103">
    <cfRule type="expression" dxfId="11" priority="2">
      <formula>OR(#REF!="(Select…)",#REF!="n/a")</formula>
    </cfRule>
  </conditionalFormatting>
  <conditionalFormatting sqref="D105:D106">
    <cfRule type="expression" dxfId="10" priority="1">
      <formula>OR(#REF!="(Select…)",#REF!="n/a")</formula>
    </cfRule>
  </conditionalFormatting>
  <dataValidations count="4">
    <dataValidation type="list" allowBlank="1" showInputMessage="1" showErrorMessage="1" error="Please select a value from the drop-down list.  (Do not change the list -- otherwise formulas in this workbook will not work correctly.)" sqref="D112" xr:uid="{00000000-0002-0000-0000-000000000000}">
      <formula1>"(Select…),Categorical Exclusion (CE),Environmental Assessment (EA), Environmental Impact Statement (EIS)"</formula1>
    </dataValidation>
    <dataValidation type="list" allowBlank="1" showInputMessage="1" showErrorMessage="1" error="Please select a value from the drop-down list.  (Do not change the list -- otherwise formulas in this workbook will not work correctly.)" sqref="C96" xr:uid="{00000000-0002-0000-0000-000001000000}">
      <formula1>"(Select…),None,10 Years,20 Years"</formula1>
    </dataValidation>
    <dataValidation type="list" allowBlank="1" showInputMessage="1" showErrorMessage="1" error="Please select a value from the drop-down list.  (Do not change the list -- otherwise formulas in this workbook will not work correctly.)" sqref="C107:D107" xr:uid="{00000000-0002-0000-0000-000002000000}">
      <formula1>"(Select...),Local model,FTA Simplified Trips on Projects (STOPS) model,Incremental data-driven method"</formula1>
    </dataValidation>
    <dataValidation type="list" allowBlank="1" showInputMessage="1" showErrorMessage="1" sqref="D92 C92" xr:uid="{00000000-0002-0000-0000-000003000000}">
      <formula1>"(Select…),Yes,No"</formula1>
    </dataValidation>
  </dataValidations>
  <printOptions horizontalCentered="1"/>
  <pageMargins left="0.75" right="0.75" top="1" bottom="1" header="0.5" footer="0.5"/>
  <pageSetup scale="63" fitToHeight="7" orientation="portrait" r:id="rId2"/>
  <headerFooter alignWithMargins="0"/>
  <rowBreaks count="3" manualBreakCount="3">
    <brk id="46" max="16383" man="1"/>
    <brk id="90" max="16383" man="1"/>
    <brk id="141" max="3" man="1"/>
  </rowBreaks>
  <ignoredErrors>
    <ignoredError sqref="B114 B115:C117" unlockedFormula="1"/>
  </ignoredErrors>
  <legacyDrawing r:id="rId3"/>
  <extLst>
    <ext xmlns:x14="http://schemas.microsoft.com/office/spreadsheetml/2009/9/main" uri="{78C0D931-6437-407d-A8EE-F0AAD7539E65}">
      <x14:conditionalFormattings>
        <x14:conditionalFormatting xmlns:xm="http://schemas.microsoft.com/office/excel/2006/main">
          <x14:cfRule type="expression" priority="4" id="{FAAFD886-A711-44CB-88C8-0D61ECCE22B5}">
            <xm:f>AND(Lookups!$K$20="No")</xm:f>
            <x14:dxf>
              <font>
                <color rgb="FFFF0000"/>
              </font>
            </x14:dxf>
          </x14:cfRule>
          <x14:cfRule type="expression" priority="5" id="{3B558E67-9E6A-42B3-8FBF-B66DC82D5E63}">
            <xm:f>AND(Lookups!$K$20="Yes")</xm:f>
            <x14:dxf>
              <font>
                <color rgb="FF00B050"/>
              </font>
            </x14:dxf>
          </x14:cfRule>
          <xm:sqref>E92:E93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003ED-1F7D-402D-9BEB-6AB054C8EFFD}">
  <sheetPr codeName="Sheet2">
    <pageSetUpPr fitToPage="1"/>
  </sheetPr>
  <dimension ref="A1:Q42"/>
  <sheetViews>
    <sheetView showGridLines="0" view="pageBreakPreview" zoomScaleNormal="100" zoomScaleSheetLayoutView="100" workbookViewId="0">
      <selection activeCell="D25" sqref="D25"/>
    </sheetView>
  </sheetViews>
  <sheetFormatPr defaultColWidth="9.25" defaultRowHeight="15" customHeight="1" x14ac:dyDescent="0.2"/>
  <cols>
    <col min="1" max="1" width="6.5" style="5" customWidth="1"/>
    <col min="2" max="2" width="23.25" style="6" customWidth="1"/>
    <col min="3" max="3" width="28.25" style="5" customWidth="1"/>
    <col min="4" max="8" width="13.5" style="5" customWidth="1"/>
    <col min="9" max="12" width="18.5" style="5" customWidth="1"/>
    <col min="13" max="14" width="16.5" style="5" customWidth="1"/>
    <col min="15" max="16" width="9.25" style="5"/>
    <col min="17" max="17" width="9.25" style="255"/>
    <col min="18" max="16384" width="9.25" style="5"/>
  </cols>
  <sheetData>
    <row r="1" spans="1:17" s="2" customFormat="1" ht="20.25" customHeight="1" thickBot="1" x14ac:dyDescent="0.25">
      <c r="A1" s="720" t="s">
        <v>456</v>
      </c>
      <c r="B1" s="721"/>
      <c r="C1" s="721"/>
      <c r="D1" s="721"/>
      <c r="E1" s="721"/>
      <c r="F1" s="721"/>
      <c r="G1" s="721"/>
      <c r="H1" s="721"/>
      <c r="I1" s="721"/>
      <c r="J1" s="721"/>
      <c r="K1" s="721"/>
      <c r="L1" s="721"/>
      <c r="M1" s="721"/>
      <c r="N1" s="722"/>
      <c r="O1" s="262"/>
      <c r="P1" s="262"/>
      <c r="Q1" s="269"/>
    </row>
    <row r="2" spans="1:17" s="3" customFormat="1" ht="16.5" thickBot="1" x14ac:dyDescent="0.3">
      <c r="A2" s="789" t="s">
        <v>0</v>
      </c>
      <c r="B2" s="790"/>
      <c r="C2" s="790"/>
      <c r="D2" s="789" t="str">
        <f>Finance!B2</f>
        <v/>
      </c>
      <c r="E2" s="790"/>
      <c r="F2" s="790"/>
      <c r="G2" s="790"/>
      <c r="H2" s="790"/>
      <c r="I2" s="790"/>
      <c r="J2" s="790"/>
      <c r="K2" s="790"/>
      <c r="L2" s="790"/>
      <c r="M2" s="790"/>
      <c r="N2" s="791"/>
      <c r="Q2" s="253"/>
    </row>
    <row r="3" spans="1:17" s="1" customFormat="1" ht="6" customHeight="1" x14ac:dyDescent="0.25">
      <c r="A3" s="260"/>
      <c r="B3" s="210"/>
      <c r="C3" s="210"/>
      <c r="D3" s="210"/>
      <c r="E3" s="210"/>
      <c r="F3" s="210"/>
      <c r="G3" s="210"/>
      <c r="H3" s="210"/>
      <c r="I3" s="210"/>
      <c r="J3" s="210"/>
      <c r="K3" s="210"/>
      <c r="L3" s="210"/>
      <c r="M3" s="210"/>
      <c r="N3" s="210"/>
      <c r="Q3" s="254"/>
    </row>
    <row r="4" spans="1:17" ht="15" customHeight="1" x14ac:dyDescent="0.2">
      <c r="A4" s="792" t="str">
        <f>IF('Project Description'!$C$92="Yes","*** Travel forecasts are not required for projects that qualify for warrants.  Complete only the current year transit VMT section (for use in the Env. Ben. measure) below. ***","")</f>
        <v/>
      </c>
      <c r="B4" s="792"/>
      <c r="C4" s="792"/>
      <c r="D4" s="792"/>
      <c r="E4" s="792"/>
      <c r="F4" s="792"/>
      <c r="G4" s="792"/>
      <c r="H4" s="792"/>
      <c r="I4" s="792"/>
      <c r="J4" s="792"/>
      <c r="K4" s="792"/>
      <c r="L4" s="792"/>
      <c r="M4" s="792"/>
      <c r="N4" s="792"/>
    </row>
    <row r="5" spans="1:17" ht="6" customHeight="1" thickBot="1" x14ac:dyDescent="0.25">
      <c r="A5" s="29"/>
      <c r="B5" s="211"/>
      <c r="C5" s="211"/>
      <c r="D5" s="211"/>
      <c r="E5" s="211"/>
      <c r="F5" s="211"/>
      <c r="G5" s="211"/>
      <c r="H5" s="211"/>
      <c r="I5" s="211"/>
      <c r="J5" s="211"/>
      <c r="K5" s="211"/>
      <c r="L5" s="211"/>
      <c r="M5" s="211"/>
      <c r="N5" s="211"/>
    </row>
    <row r="6" spans="1:17" ht="16.5" thickBot="1" x14ac:dyDescent="0.3">
      <c r="A6" s="793" t="s">
        <v>82</v>
      </c>
      <c r="B6" s="794"/>
      <c r="C6" s="794"/>
      <c r="D6" s="794"/>
      <c r="E6" s="794"/>
      <c r="F6" s="794"/>
      <c r="G6" s="794"/>
      <c r="H6" s="794"/>
      <c r="I6" s="794"/>
      <c r="J6" s="794"/>
      <c r="K6" s="794"/>
      <c r="L6" s="794"/>
      <c r="M6" s="794"/>
      <c r="N6" s="795"/>
    </row>
    <row r="7" spans="1:17" ht="40.5" customHeight="1" x14ac:dyDescent="0.2">
      <c r="A7" s="774" t="s">
        <v>83</v>
      </c>
      <c r="B7" s="776" t="s">
        <v>84</v>
      </c>
      <c r="C7" s="778" t="s">
        <v>85</v>
      </c>
      <c r="D7" s="764" t="s">
        <v>86</v>
      </c>
      <c r="E7" s="765"/>
      <c r="F7" s="774" t="s">
        <v>87</v>
      </c>
      <c r="G7" s="764" t="s">
        <v>88</v>
      </c>
      <c r="H7" s="765"/>
      <c r="I7" s="766" t="s">
        <v>89</v>
      </c>
      <c r="J7" s="767"/>
      <c r="K7" s="767"/>
      <c r="L7" s="767"/>
      <c r="M7" s="767"/>
      <c r="N7" s="768"/>
    </row>
    <row r="8" spans="1:17" s="10" customFormat="1" ht="28.5" customHeight="1" thickBot="1" x14ac:dyDescent="0.25">
      <c r="A8" s="775"/>
      <c r="B8" s="777"/>
      <c r="C8" s="779"/>
      <c r="D8" s="31" t="str">
        <f>CONCATENATE("Current Year (",'Project Description'!A96,")")</f>
        <v>Current Year ()</v>
      </c>
      <c r="E8" s="32" t="str">
        <f>CONCATENATE("Horizon (",IF('Project Description'!$C$92="Yes","N/A",IF('Project Description'!C96="(Select…)","",'Project Description'!C96)),")")</f>
        <v>Horizon (None)</v>
      </c>
      <c r="F8" s="780"/>
      <c r="G8" s="31" t="str">
        <f>D8</f>
        <v>Current Year ()</v>
      </c>
      <c r="H8" s="32" t="str">
        <f>E8</f>
        <v>Horizon (None)</v>
      </c>
      <c r="I8" s="769"/>
      <c r="J8" s="770"/>
      <c r="K8" s="770"/>
      <c r="L8" s="770"/>
      <c r="M8" s="770"/>
      <c r="N8" s="771"/>
      <c r="Q8" s="256"/>
    </row>
    <row r="9" spans="1:17" ht="14.25" customHeight="1" x14ac:dyDescent="0.2">
      <c r="A9" s="33" t="s">
        <v>90</v>
      </c>
      <c r="B9" s="772" t="s">
        <v>91</v>
      </c>
      <c r="C9" s="458" t="s">
        <v>92</v>
      </c>
      <c r="D9" s="57"/>
      <c r="E9" s="58"/>
      <c r="F9" s="781"/>
      <c r="G9" s="34">
        <f>D9*F9</f>
        <v>0</v>
      </c>
      <c r="H9" s="35" t="str">
        <f>IF('Project Description'!$C$96="(Select…)","-",IF('Project Description'!$C$96="None","---",E9*F9))</f>
        <v>---</v>
      </c>
      <c r="I9" s="783" t="str">
        <f>IF('Project Description'!C107="(Select...)","(Linked from Type of Model Used for Travel Forecasts field of Project Description Template)",'Project Description'!C107)</f>
        <v>(Linked from Type of Model Used for Travel Forecasts field of Project Description Template)</v>
      </c>
      <c r="J9" s="784"/>
      <c r="K9" s="784"/>
      <c r="L9" s="784"/>
      <c r="M9" s="784"/>
      <c r="N9" s="785"/>
      <c r="P9" s="147"/>
    </row>
    <row r="10" spans="1:17" ht="14.25" customHeight="1" x14ac:dyDescent="0.2">
      <c r="A10" s="36" t="s">
        <v>93</v>
      </c>
      <c r="B10" s="773"/>
      <c r="C10" s="459" t="s">
        <v>94</v>
      </c>
      <c r="D10" s="59"/>
      <c r="E10" s="60"/>
      <c r="F10" s="782"/>
      <c r="G10" s="37">
        <f>D10*F9</f>
        <v>0</v>
      </c>
      <c r="H10" s="38" t="str">
        <f>IF(NOT(ISNUMBER(H9)),H9,E10*F9)</f>
        <v>---</v>
      </c>
      <c r="I10" s="786"/>
      <c r="J10" s="787"/>
      <c r="K10" s="787"/>
      <c r="L10" s="787"/>
      <c r="M10" s="787"/>
      <c r="N10" s="788"/>
    </row>
    <row r="11" spans="1:17" ht="14.25" customHeight="1" x14ac:dyDescent="0.2">
      <c r="A11" s="39" t="s">
        <v>95</v>
      </c>
      <c r="B11" s="773" t="s">
        <v>96</v>
      </c>
      <c r="C11" s="460" t="s">
        <v>92</v>
      </c>
      <c r="D11" s="61"/>
      <c r="E11" s="355"/>
      <c r="F11" s="800">
        <f>F9</f>
        <v>0</v>
      </c>
      <c r="G11" s="40">
        <f>D11*F11</f>
        <v>0</v>
      </c>
      <c r="H11" s="41" t="str">
        <f>IF(NOT(ISNUMBER(H9)),H9,E11*F11)</f>
        <v>---</v>
      </c>
      <c r="I11" s="801" t="str">
        <f>IF('Project Description'!C107="(Select...)","(Linked from Type of Model Used for Travel Forecasts field of Project Description Template)",'Project Description'!C107)</f>
        <v>(Linked from Type of Model Used for Travel Forecasts field of Project Description Template)</v>
      </c>
      <c r="J11" s="802"/>
      <c r="K11" s="802"/>
      <c r="L11" s="802"/>
      <c r="M11" s="802"/>
      <c r="N11" s="803"/>
    </row>
    <row r="12" spans="1:17" ht="14.25" customHeight="1" x14ac:dyDescent="0.2">
      <c r="A12" s="36" t="s">
        <v>97</v>
      </c>
      <c r="B12" s="773"/>
      <c r="C12" s="459" t="s">
        <v>94</v>
      </c>
      <c r="D12" s="59"/>
      <c r="E12" s="60"/>
      <c r="F12" s="800"/>
      <c r="G12" s="37">
        <f>D12*F11</f>
        <v>0</v>
      </c>
      <c r="H12" s="38" t="str">
        <f>IF(NOT(ISNUMBER(H9)),H9,E12*F11)</f>
        <v>---</v>
      </c>
      <c r="I12" s="801"/>
      <c r="J12" s="802"/>
      <c r="K12" s="802"/>
      <c r="L12" s="802"/>
      <c r="M12" s="802"/>
      <c r="N12" s="803"/>
    </row>
    <row r="13" spans="1:17" ht="14.25" customHeight="1" x14ac:dyDescent="0.2">
      <c r="A13" s="39" t="s">
        <v>98</v>
      </c>
      <c r="B13" s="796" t="s">
        <v>99</v>
      </c>
      <c r="C13" s="460" t="s">
        <v>92</v>
      </c>
      <c r="D13" s="61"/>
      <c r="E13" s="355"/>
      <c r="F13" s="782"/>
      <c r="G13" s="40">
        <f>D13*F13</f>
        <v>0</v>
      </c>
      <c r="H13" s="41" t="str">
        <f>IF(NOT(ISNUMBER(H9)),H9,E13*F13)</f>
        <v>---</v>
      </c>
      <c r="I13" s="797"/>
      <c r="J13" s="798"/>
      <c r="K13" s="798"/>
      <c r="L13" s="798"/>
      <c r="M13" s="798"/>
      <c r="N13" s="799"/>
    </row>
    <row r="14" spans="1:17" ht="14.25" customHeight="1" x14ac:dyDescent="0.2">
      <c r="A14" s="36" t="s">
        <v>100</v>
      </c>
      <c r="B14" s="796"/>
      <c r="C14" s="459" t="s">
        <v>94</v>
      </c>
      <c r="D14" s="59"/>
      <c r="E14" s="60"/>
      <c r="F14" s="782"/>
      <c r="G14" s="37">
        <f>D14*F13</f>
        <v>0</v>
      </c>
      <c r="H14" s="38" t="str">
        <f>IF(NOT(ISNUMBER(H9)),H9,E14*F13)</f>
        <v>---</v>
      </c>
      <c r="I14" s="797"/>
      <c r="J14" s="798"/>
      <c r="K14" s="798"/>
      <c r="L14" s="798"/>
      <c r="M14" s="798"/>
      <c r="N14" s="799"/>
    </row>
    <row r="15" spans="1:17" ht="14.25" customHeight="1" x14ac:dyDescent="0.2">
      <c r="A15" s="39" t="s">
        <v>101</v>
      </c>
      <c r="B15" s="796" t="s">
        <v>102</v>
      </c>
      <c r="C15" s="460" t="s">
        <v>92</v>
      </c>
      <c r="D15" s="61"/>
      <c r="E15" s="355"/>
      <c r="F15" s="782"/>
      <c r="G15" s="40">
        <f>D15*F15</f>
        <v>0</v>
      </c>
      <c r="H15" s="41" t="str">
        <f>IF(NOT(ISNUMBER(H9)),H9,E15*F15)</f>
        <v>---</v>
      </c>
      <c r="I15" s="797"/>
      <c r="J15" s="798"/>
      <c r="K15" s="798"/>
      <c r="L15" s="798"/>
      <c r="M15" s="798"/>
      <c r="N15" s="799"/>
    </row>
    <row r="16" spans="1:17" ht="14.25" customHeight="1" x14ac:dyDescent="0.2">
      <c r="A16" s="36" t="s">
        <v>103</v>
      </c>
      <c r="B16" s="796"/>
      <c r="C16" s="459" t="s">
        <v>94</v>
      </c>
      <c r="D16" s="59"/>
      <c r="E16" s="60"/>
      <c r="F16" s="782"/>
      <c r="G16" s="37">
        <f>D16*F15</f>
        <v>0</v>
      </c>
      <c r="H16" s="38" t="str">
        <f>IF(NOT(ISNUMBER(H9)),H9,E16*F15)</f>
        <v>---</v>
      </c>
      <c r="I16" s="797"/>
      <c r="J16" s="798"/>
      <c r="K16" s="798"/>
      <c r="L16" s="798"/>
      <c r="M16" s="798"/>
      <c r="N16" s="799"/>
    </row>
    <row r="17" spans="1:17" ht="14.25" customHeight="1" x14ac:dyDescent="0.2">
      <c r="A17" s="39" t="s">
        <v>104</v>
      </c>
      <c r="B17" s="796" t="s">
        <v>105</v>
      </c>
      <c r="C17" s="460" t="s">
        <v>92</v>
      </c>
      <c r="D17" s="61"/>
      <c r="E17" s="355"/>
      <c r="F17" s="782"/>
      <c r="G17" s="40">
        <f>D17*F17</f>
        <v>0</v>
      </c>
      <c r="H17" s="41" t="str">
        <f>IF(NOT(ISNUMBER(H9)),H9,E17*F17)</f>
        <v>---</v>
      </c>
      <c r="I17" s="797"/>
      <c r="J17" s="798"/>
      <c r="K17" s="798"/>
      <c r="L17" s="798"/>
      <c r="M17" s="798"/>
      <c r="N17" s="799"/>
    </row>
    <row r="18" spans="1:17" ht="14.25" customHeight="1" x14ac:dyDescent="0.2">
      <c r="A18" s="36" t="s">
        <v>106</v>
      </c>
      <c r="B18" s="796"/>
      <c r="C18" s="459" t="s">
        <v>94</v>
      </c>
      <c r="D18" s="59"/>
      <c r="E18" s="60"/>
      <c r="F18" s="782"/>
      <c r="G18" s="37">
        <f>D18*F17</f>
        <v>0</v>
      </c>
      <c r="H18" s="38" t="str">
        <f>IF(NOT(ISNUMBER(H9)),H9,E18*F17)</f>
        <v>---</v>
      </c>
      <c r="I18" s="797"/>
      <c r="J18" s="798"/>
      <c r="K18" s="798"/>
      <c r="L18" s="798"/>
      <c r="M18" s="798"/>
      <c r="N18" s="799"/>
    </row>
    <row r="19" spans="1:17" ht="14.25" customHeight="1" x14ac:dyDescent="0.2">
      <c r="A19" s="39" t="s">
        <v>107</v>
      </c>
      <c r="B19" s="796" t="s">
        <v>108</v>
      </c>
      <c r="C19" s="460" t="s">
        <v>92</v>
      </c>
      <c r="D19" s="61"/>
      <c r="E19" s="355"/>
      <c r="F19" s="782"/>
      <c r="G19" s="40">
        <f>D19*F19</f>
        <v>0</v>
      </c>
      <c r="H19" s="41" t="str">
        <f>IF(NOT(ISNUMBER(H9)),H9,E19*F19)</f>
        <v>---</v>
      </c>
      <c r="I19" s="806"/>
      <c r="J19" s="807"/>
      <c r="K19" s="807"/>
      <c r="L19" s="807"/>
      <c r="M19" s="807"/>
      <c r="N19" s="808"/>
    </row>
    <row r="20" spans="1:17" ht="14.25" customHeight="1" thickBot="1" x14ac:dyDescent="0.25">
      <c r="A20" s="42" t="s">
        <v>109</v>
      </c>
      <c r="B20" s="804"/>
      <c r="C20" s="461" t="s">
        <v>94</v>
      </c>
      <c r="D20" s="360"/>
      <c r="E20" s="361"/>
      <c r="F20" s="805"/>
      <c r="G20" s="43">
        <f>D20*F19</f>
        <v>0</v>
      </c>
      <c r="H20" s="44" t="str">
        <f>IF(NOT(ISNUMBER(H9)),H9,E20*F19)</f>
        <v>---</v>
      </c>
      <c r="I20" s="809"/>
      <c r="J20" s="810"/>
      <c r="K20" s="810"/>
      <c r="L20" s="810"/>
      <c r="M20" s="810"/>
      <c r="N20" s="811"/>
    </row>
    <row r="21" spans="1:17" ht="14.25" customHeight="1" x14ac:dyDescent="0.2">
      <c r="A21" s="33" t="s">
        <v>110</v>
      </c>
      <c r="B21" s="812" t="s">
        <v>111</v>
      </c>
      <c r="C21" s="458" t="s">
        <v>92</v>
      </c>
      <c r="D21" s="356" t="s">
        <v>112</v>
      </c>
      <c r="E21" s="357" t="s">
        <v>112</v>
      </c>
      <c r="F21" s="814" t="s">
        <v>112</v>
      </c>
      <c r="G21" s="34">
        <f>G9+G11+G13+G15+G17+G19</f>
        <v>0</v>
      </c>
      <c r="H21" s="35" t="str">
        <f>IF(NOT(ISNUMBER(H9)),H9,H9+H11+H13+H15+H17+H19)</f>
        <v>---</v>
      </c>
      <c r="I21" s="816" t="s">
        <v>112</v>
      </c>
      <c r="J21" s="817"/>
      <c r="K21" s="817"/>
      <c r="L21" s="817"/>
      <c r="M21" s="817"/>
      <c r="N21" s="818"/>
    </row>
    <row r="22" spans="1:17" ht="14.25" customHeight="1" thickBot="1" x14ac:dyDescent="0.25">
      <c r="A22" s="42" t="s">
        <v>113</v>
      </c>
      <c r="B22" s="813"/>
      <c r="C22" s="461" t="s">
        <v>94</v>
      </c>
      <c r="D22" s="148" t="s">
        <v>112</v>
      </c>
      <c r="E22" s="149" t="s">
        <v>112</v>
      </c>
      <c r="F22" s="815"/>
      <c r="G22" s="43">
        <f>G10+G12+G14+G16+G18+G20</f>
        <v>0</v>
      </c>
      <c r="H22" s="44" t="str">
        <f>IF(NOT(ISNUMBER(H9)),H9,H10+H12+H14+H16+H18+H20)</f>
        <v>---</v>
      </c>
      <c r="I22" s="819" t="s">
        <v>112</v>
      </c>
      <c r="J22" s="820"/>
      <c r="K22" s="820"/>
      <c r="L22" s="820"/>
      <c r="M22" s="820"/>
      <c r="N22" s="821"/>
    </row>
    <row r="23" spans="1:17" s="190" customFormat="1" ht="28.5" customHeight="1" thickBot="1" x14ac:dyDescent="0.25">
      <c r="A23" s="193" t="s">
        <v>114</v>
      </c>
      <c r="B23" s="822" t="s">
        <v>115</v>
      </c>
      <c r="C23" s="823"/>
      <c r="D23" s="185" t="s">
        <v>112</v>
      </c>
      <c r="E23" s="186" t="s">
        <v>112</v>
      </c>
      <c r="F23" s="187" t="s">
        <v>112</v>
      </c>
      <c r="G23" s="191">
        <f>G21+G22</f>
        <v>0</v>
      </c>
      <c r="H23" s="192" t="str">
        <f>IF(NOT(ISNUMBER(H9)),H9,H21+H22)</f>
        <v>---</v>
      </c>
      <c r="I23" s="824" t="s">
        <v>112</v>
      </c>
      <c r="J23" s="825"/>
      <c r="K23" s="825"/>
      <c r="L23" s="825"/>
      <c r="M23" s="825"/>
      <c r="N23" s="826"/>
      <c r="Q23" s="257"/>
    </row>
    <row r="24" spans="1:17" s="190" customFormat="1" ht="29.25" customHeight="1" thickBot="1" x14ac:dyDescent="0.25">
      <c r="A24" s="193" t="s">
        <v>116</v>
      </c>
      <c r="B24" s="822" t="s">
        <v>117</v>
      </c>
      <c r="C24" s="823"/>
      <c r="D24" s="358">
        <f>D9+D10+D11+D12</f>
        <v>0</v>
      </c>
      <c r="E24" s="359" t="str">
        <f>IF(NOT(ISNUMBER(E9)),"-",E9+E10+E11+E12)</f>
        <v>-</v>
      </c>
      <c r="F24" s="187"/>
      <c r="G24" s="188"/>
      <c r="H24" s="189"/>
      <c r="I24" s="824"/>
      <c r="J24" s="825"/>
      <c r="K24" s="825"/>
      <c r="L24" s="825"/>
      <c r="M24" s="825"/>
      <c r="N24" s="826"/>
      <c r="Q24" s="257"/>
    </row>
    <row r="25" spans="1:17" s="190" customFormat="1" ht="29.25" customHeight="1" thickBot="1" x14ac:dyDescent="0.25">
      <c r="A25" s="222">
        <v>9</v>
      </c>
      <c r="B25" s="831" t="s">
        <v>118</v>
      </c>
      <c r="C25" s="832"/>
      <c r="D25" s="250"/>
      <c r="E25" s="251"/>
      <c r="F25" s="218"/>
      <c r="G25" s="219"/>
      <c r="H25" s="219"/>
      <c r="I25" s="220"/>
      <c r="J25" s="221"/>
      <c r="K25" s="221"/>
      <c r="L25" s="221"/>
      <c r="M25" s="221"/>
      <c r="N25" s="221"/>
      <c r="Q25" s="257"/>
    </row>
    <row r="26" spans="1:17" ht="13.5" thickBot="1" x14ac:dyDescent="0.25">
      <c r="A26" s="29"/>
      <c r="B26" s="30"/>
      <c r="C26" s="29"/>
      <c r="D26" s="29"/>
      <c r="E26" s="29"/>
      <c r="F26" s="29"/>
      <c r="G26" s="29"/>
      <c r="H26" s="29"/>
      <c r="I26" s="29"/>
      <c r="J26" s="29"/>
      <c r="K26" s="29"/>
      <c r="L26" s="29"/>
      <c r="M26" s="29"/>
      <c r="N26" s="29"/>
    </row>
    <row r="27" spans="1:17" ht="16.5" thickBot="1" x14ac:dyDescent="0.3">
      <c r="A27" s="793" t="s">
        <v>119</v>
      </c>
      <c r="B27" s="794"/>
      <c r="C27" s="794"/>
      <c r="D27" s="794"/>
      <c r="E27" s="794"/>
      <c r="F27" s="794"/>
      <c r="G27" s="794"/>
      <c r="H27" s="794"/>
      <c r="I27" s="794"/>
      <c r="J27" s="794"/>
      <c r="K27" s="794"/>
      <c r="L27" s="794"/>
      <c r="M27" s="794"/>
      <c r="N27" s="795"/>
    </row>
    <row r="28" spans="1:17" ht="41.25" customHeight="1" x14ac:dyDescent="0.2">
      <c r="A28" s="774" t="s">
        <v>83</v>
      </c>
      <c r="B28" s="833" t="s">
        <v>120</v>
      </c>
      <c r="C28" s="834"/>
      <c r="D28" s="764" t="s">
        <v>121</v>
      </c>
      <c r="E28" s="839"/>
      <c r="F28" s="839"/>
      <c r="G28" s="765"/>
      <c r="H28" s="774" t="s">
        <v>87</v>
      </c>
      <c r="I28" s="764" t="s">
        <v>122</v>
      </c>
      <c r="J28" s="839"/>
      <c r="K28" s="839"/>
      <c r="L28" s="765"/>
      <c r="M28" s="764" t="s">
        <v>123</v>
      </c>
      <c r="N28" s="765"/>
    </row>
    <row r="29" spans="1:17" s="10" customFormat="1" ht="12.75" x14ac:dyDescent="0.2">
      <c r="A29" s="775"/>
      <c r="B29" s="835"/>
      <c r="C29" s="836"/>
      <c r="D29" s="842" t="str">
        <f>D8</f>
        <v>Current Year ()</v>
      </c>
      <c r="E29" s="843"/>
      <c r="F29" s="842" t="str">
        <f>E8</f>
        <v>Horizon (None)</v>
      </c>
      <c r="G29" s="843"/>
      <c r="H29" s="775"/>
      <c r="I29" s="842" t="str">
        <f>D8</f>
        <v>Current Year ()</v>
      </c>
      <c r="J29" s="843"/>
      <c r="K29" s="844" t="str">
        <f>E8</f>
        <v>Horizon (None)</v>
      </c>
      <c r="L29" s="843"/>
      <c r="M29" s="827" t="str">
        <f>D8</f>
        <v>Current Year ()</v>
      </c>
      <c r="N29" s="829" t="str">
        <f>E8</f>
        <v>Horizon (None)</v>
      </c>
      <c r="Q29" s="256"/>
    </row>
    <row r="30" spans="1:17" s="10" customFormat="1" ht="13.5" thickBot="1" x14ac:dyDescent="0.25">
      <c r="A30" s="775"/>
      <c r="B30" s="837"/>
      <c r="C30" s="838"/>
      <c r="D30" s="45" t="s">
        <v>124</v>
      </c>
      <c r="E30" s="46" t="s">
        <v>125</v>
      </c>
      <c r="F30" s="45" t="s">
        <v>124</v>
      </c>
      <c r="G30" s="46" t="s">
        <v>125</v>
      </c>
      <c r="H30" s="780"/>
      <c r="I30" s="45" t="s">
        <v>124</v>
      </c>
      <c r="J30" s="46" t="s">
        <v>125</v>
      </c>
      <c r="K30" s="462" t="s">
        <v>124</v>
      </c>
      <c r="L30" s="46" t="s">
        <v>125</v>
      </c>
      <c r="M30" s="828"/>
      <c r="N30" s="830"/>
      <c r="Q30" s="256"/>
    </row>
    <row r="31" spans="1:17" s="9" customFormat="1" ht="13.5" thickBot="1" x14ac:dyDescent="0.25">
      <c r="A31" s="47">
        <v>10</v>
      </c>
      <c r="B31" s="845" t="s">
        <v>126</v>
      </c>
      <c r="C31" s="846"/>
      <c r="D31" s="443"/>
      <c r="E31" s="444"/>
      <c r="F31" s="443"/>
      <c r="G31" s="444"/>
      <c r="H31" s="175">
        <f>F9</f>
        <v>0</v>
      </c>
      <c r="I31" s="437">
        <f>D31*$H31</f>
        <v>0</v>
      </c>
      <c r="J31" s="438">
        <f>E31*$H31</f>
        <v>0</v>
      </c>
      <c r="K31" s="463" t="str">
        <f>IF(NOT(ISNUMBER(H9)),H9,F31*$H31)</f>
        <v>---</v>
      </c>
      <c r="L31" s="438" t="str">
        <f>IF(NOT(ISNUMBER(H9)),H9,G31*$H31)</f>
        <v>---</v>
      </c>
      <c r="M31" s="48">
        <f>J31-I31</f>
        <v>0</v>
      </c>
      <c r="N31" s="49" t="str">
        <f>IF(NOT(ISNUMBER(H9)),H9,L31-K31)</f>
        <v>---</v>
      </c>
      <c r="Q31" s="258"/>
    </row>
    <row r="32" spans="1:17" s="9" customFormat="1" ht="14.25" customHeight="1" x14ac:dyDescent="0.2">
      <c r="A32" s="50">
        <v>11</v>
      </c>
      <c r="B32" s="847" t="s">
        <v>127</v>
      </c>
      <c r="C32" s="848"/>
      <c r="D32" s="427" t="s">
        <v>112</v>
      </c>
      <c r="E32" s="428" t="s">
        <v>112</v>
      </c>
      <c r="F32" s="428" t="s">
        <v>112</v>
      </c>
      <c r="G32" s="429" t="s">
        <v>112</v>
      </c>
      <c r="H32" s="430" t="s">
        <v>112</v>
      </c>
      <c r="I32" s="464"/>
      <c r="J32" s="446"/>
      <c r="K32" s="445"/>
      <c r="L32" s="446"/>
      <c r="M32" s="51">
        <f>J32-I32</f>
        <v>0</v>
      </c>
      <c r="N32" s="52" t="str">
        <f t="shared" ref="N32:N40" si="0">IF(NOT(ISNUMBER($H$9)),$H$9,L32-K32)</f>
        <v>---</v>
      </c>
      <c r="Q32" s="258"/>
    </row>
    <row r="33" spans="1:17" s="9" customFormat="1" ht="14.25" customHeight="1" x14ac:dyDescent="0.2">
      <c r="A33" s="53">
        <v>12</v>
      </c>
      <c r="B33" s="840" t="s">
        <v>128</v>
      </c>
      <c r="C33" s="841"/>
      <c r="D33" s="150" t="s">
        <v>112</v>
      </c>
      <c r="E33" s="431" t="s">
        <v>112</v>
      </c>
      <c r="F33" s="431" t="s">
        <v>112</v>
      </c>
      <c r="G33" s="432" t="s">
        <v>112</v>
      </c>
      <c r="H33" s="433" t="s">
        <v>112</v>
      </c>
      <c r="I33" s="465"/>
      <c r="J33" s="448"/>
      <c r="K33" s="447"/>
      <c r="L33" s="448"/>
      <c r="M33" s="54">
        <f t="shared" ref="M33:M40" si="1">J33-I33</f>
        <v>0</v>
      </c>
      <c r="N33" s="455" t="str">
        <f t="shared" si="0"/>
        <v>---</v>
      </c>
      <c r="P33" s="252"/>
      <c r="Q33" s="362"/>
    </row>
    <row r="34" spans="1:17" s="9" customFormat="1" ht="14.25" customHeight="1" x14ac:dyDescent="0.2">
      <c r="A34" s="53">
        <v>13</v>
      </c>
      <c r="B34" s="840" t="s">
        <v>129</v>
      </c>
      <c r="C34" s="841"/>
      <c r="D34" s="150" t="s">
        <v>112</v>
      </c>
      <c r="E34" s="431" t="s">
        <v>112</v>
      </c>
      <c r="F34" s="431" t="s">
        <v>112</v>
      </c>
      <c r="G34" s="432" t="s">
        <v>112</v>
      </c>
      <c r="H34" s="433" t="s">
        <v>112</v>
      </c>
      <c r="I34" s="465"/>
      <c r="J34" s="448"/>
      <c r="K34" s="447"/>
      <c r="L34" s="448"/>
      <c r="M34" s="54">
        <f t="shared" si="1"/>
        <v>0</v>
      </c>
      <c r="N34" s="455" t="str">
        <f t="shared" si="0"/>
        <v>---</v>
      </c>
      <c r="Q34" s="363"/>
    </row>
    <row r="35" spans="1:17" s="9" customFormat="1" ht="14.25" customHeight="1" x14ac:dyDescent="0.2">
      <c r="A35" s="53">
        <v>14</v>
      </c>
      <c r="B35" s="840" t="s">
        <v>130</v>
      </c>
      <c r="C35" s="841"/>
      <c r="D35" s="150" t="s">
        <v>112</v>
      </c>
      <c r="E35" s="431" t="s">
        <v>112</v>
      </c>
      <c r="F35" s="431" t="s">
        <v>112</v>
      </c>
      <c r="G35" s="432" t="s">
        <v>112</v>
      </c>
      <c r="H35" s="433" t="s">
        <v>112</v>
      </c>
      <c r="I35" s="465"/>
      <c r="J35" s="448"/>
      <c r="K35" s="447"/>
      <c r="L35" s="448"/>
      <c r="M35" s="54">
        <f t="shared" si="1"/>
        <v>0</v>
      </c>
      <c r="N35" s="455" t="str">
        <f t="shared" si="0"/>
        <v>---</v>
      </c>
      <c r="Q35" s="363"/>
    </row>
    <row r="36" spans="1:17" s="9" customFormat="1" ht="14.25" customHeight="1" x14ac:dyDescent="0.2">
      <c r="A36" s="53">
        <v>15</v>
      </c>
      <c r="B36" s="840" t="s">
        <v>131</v>
      </c>
      <c r="C36" s="841"/>
      <c r="D36" s="150" t="s">
        <v>112</v>
      </c>
      <c r="E36" s="431" t="s">
        <v>112</v>
      </c>
      <c r="F36" s="431" t="s">
        <v>112</v>
      </c>
      <c r="G36" s="432" t="s">
        <v>112</v>
      </c>
      <c r="H36" s="433" t="s">
        <v>112</v>
      </c>
      <c r="I36" s="465"/>
      <c r="J36" s="448"/>
      <c r="K36" s="447"/>
      <c r="L36" s="448"/>
      <c r="M36" s="54">
        <f t="shared" si="1"/>
        <v>0</v>
      </c>
      <c r="N36" s="455" t="str">
        <f t="shared" si="0"/>
        <v>---</v>
      </c>
      <c r="Q36" s="258"/>
    </row>
    <row r="37" spans="1:17" s="9" customFormat="1" ht="14.25" customHeight="1" x14ac:dyDescent="0.2">
      <c r="A37" s="53">
        <v>16</v>
      </c>
      <c r="B37" s="840" t="s">
        <v>132</v>
      </c>
      <c r="C37" s="841"/>
      <c r="D37" s="150" t="s">
        <v>112</v>
      </c>
      <c r="E37" s="431" t="s">
        <v>112</v>
      </c>
      <c r="F37" s="431" t="s">
        <v>112</v>
      </c>
      <c r="G37" s="432" t="s">
        <v>112</v>
      </c>
      <c r="H37" s="433" t="s">
        <v>112</v>
      </c>
      <c r="I37" s="465"/>
      <c r="J37" s="448"/>
      <c r="K37" s="447"/>
      <c r="L37" s="448"/>
      <c r="M37" s="54">
        <f t="shared" si="1"/>
        <v>0</v>
      </c>
      <c r="N37" s="455" t="str">
        <f t="shared" si="0"/>
        <v>---</v>
      </c>
      <c r="Q37" s="258"/>
    </row>
    <row r="38" spans="1:17" s="9" customFormat="1" ht="14.25" customHeight="1" x14ac:dyDescent="0.2">
      <c r="A38" s="53">
        <v>17</v>
      </c>
      <c r="B38" s="840" t="s">
        <v>133</v>
      </c>
      <c r="C38" s="841"/>
      <c r="D38" s="150" t="s">
        <v>112</v>
      </c>
      <c r="E38" s="431" t="s">
        <v>112</v>
      </c>
      <c r="F38" s="431" t="s">
        <v>112</v>
      </c>
      <c r="G38" s="432" t="s">
        <v>112</v>
      </c>
      <c r="H38" s="433" t="s">
        <v>112</v>
      </c>
      <c r="I38" s="465"/>
      <c r="J38" s="448"/>
      <c r="K38" s="447"/>
      <c r="L38" s="448"/>
      <c r="M38" s="54">
        <f t="shared" si="1"/>
        <v>0</v>
      </c>
      <c r="N38" s="455" t="str">
        <f t="shared" si="0"/>
        <v>---</v>
      </c>
      <c r="Q38" s="258"/>
    </row>
    <row r="39" spans="1:17" s="9" customFormat="1" ht="14.25" customHeight="1" x14ac:dyDescent="0.2">
      <c r="A39" s="53">
        <v>18</v>
      </c>
      <c r="B39" s="840" t="s">
        <v>134</v>
      </c>
      <c r="C39" s="841"/>
      <c r="D39" s="150" t="s">
        <v>112</v>
      </c>
      <c r="E39" s="431" t="s">
        <v>112</v>
      </c>
      <c r="F39" s="431" t="s">
        <v>112</v>
      </c>
      <c r="G39" s="432" t="s">
        <v>112</v>
      </c>
      <c r="H39" s="433" t="s">
        <v>112</v>
      </c>
      <c r="I39" s="465"/>
      <c r="J39" s="448"/>
      <c r="K39" s="447"/>
      <c r="L39" s="448"/>
      <c r="M39" s="54">
        <f t="shared" si="1"/>
        <v>0</v>
      </c>
      <c r="N39" s="455" t="str">
        <f t="shared" si="0"/>
        <v>---</v>
      </c>
      <c r="Q39" s="258"/>
    </row>
    <row r="40" spans="1:17" s="9" customFormat="1" ht="14.25" customHeight="1" thickBot="1" x14ac:dyDescent="0.25">
      <c r="A40" s="55">
        <v>19</v>
      </c>
      <c r="B40" s="849" t="s">
        <v>135</v>
      </c>
      <c r="C40" s="850"/>
      <c r="D40" s="151" t="s">
        <v>112</v>
      </c>
      <c r="E40" s="434" t="s">
        <v>112</v>
      </c>
      <c r="F40" s="434" t="s">
        <v>112</v>
      </c>
      <c r="G40" s="435" t="s">
        <v>112</v>
      </c>
      <c r="H40" s="436" t="s">
        <v>112</v>
      </c>
      <c r="I40" s="466"/>
      <c r="J40" s="450"/>
      <c r="K40" s="449"/>
      <c r="L40" s="450"/>
      <c r="M40" s="56">
        <f t="shared" si="1"/>
        <v>0</v>
      </c>
      <c r="N40" s="456" t="str">
        <f t="shared" si="0"/>
        <v>---</v>
      </c>
      <c r="Q40" s="258"/>
    </row>
    <row r="41" spans="1:17" s="7" customFormat="1" ht="15" customHeight="1" x14ac:dyDescent="0.2">
      <c r="B41" s="8"/>
      <c r="Q41" s="259"/>
    </row>
    <row r="42" spans="1:17" ht="27.75" customHeight="1" x14ac:dyDescent="0.2">
      <c r="B42" s="851" t="s">
        <v>136</v>
      </c>
      <c r="C42" s="851"/>
      <c r="D42" s="851"/>
      <c r="E42" s="851"/>
      <c r="F42" s="851"/>
      <c r="G42" s="851"/>
      <c r="H42" s="851"/>
      <c r="I42" s="851"/>
      <c r="J42" s="851"/>
      <c r="K42" s="851"/>
      <c r="L42" s="851"/>
      <c r="M42" s="851"/>
      <c r="N42" s="851"/>
    </row>
  </sheetData>
  <sheetProtection algorithmName="SHA-512" hashValue="FTPMLDOMX4Q6eje+deuqTZd0F+yBv/4F79Jpetil+yP3mhbu0iSuBLUujSIDxoFJb938+B+2ZtxsZef5N48u8g==" saltValue="s0fb85rd+nsYQ0TGssSF/g==" spinCount="100000" sheet="1" formatCells="0" formatColumns="0" formatRows="0" insertColumns="0" insertRows="0" insertHyperlinks="0" selectLockedCells="1"/>
  <mergeCells count="63">
    <mergeCell ref="B37:C37"/>
    <mergeCell ref="B38:C38"/>
    <mergeCell ref="B39:C39"/>
    <mergeCell ref="B40:C40"/>
    <mergeCell ref="B42:N42"/>
    <mergeCell ref="B36:C36"/>
    <mergeCell ref="D29:E29"/>
    <mergeCell ref="F29:G29"/>
    <mergeCell ref="I29:J29"/>
    <mergeCell ref="K29:L29"/>
    <mergeCell ref="B31:C31"/>
    <mergeCell ref="B32:C32"/>
    <mergeCell ref="B33:C33"/>
    <mergeCell ref="B34:C34"/>
    <mergeCell ref="B35:C35"/>
    <mergeCell ref="B23:C23"/>
    <mergeCell ref="I23:N23"/>
    <mergeCell ref="M29:M30"/>
    <mergeCell ref="N29:N30"/>
    <mergeCell ref="B24:C24"/>
    <mergeCell ref="I24:N24"/>
    <mergeCell ref="B25:C25"/>
    <mergeCell ref="A27:N27"/>
    <mergeCell ref="A28:A30"/>
    <mergeCell ref="B28:C30"/>
    <mergeCell ref="D28:G28"/>
    <mergeCell ref="H28:H30"/>
    <mergeCell ref="I28:L28"/>
    <mergeCell ref="M28:N28"/>
    <mergeCell ref="B19:B20"/>
    <mergeCell ref="F19:F20"/>
    <mergeCell ref="I19:N20"/>
    <mergeCell ref="B21:B22"/>
    <mergeCell ref="F21:F22"/>
    <mergeCell ref="I21:N21"/>
    <mergeCell ref="I22:N22"/>
    <mergeCell ref="B15:B16"/>
    <mergeCell ref="F15:F16"/>
    <mergeCell ref="I15:N16"/>
    <mergeCell ref="B17:B18"/>
    <mergeCell ref="F17:F18"/>
    <mergeCell ref="I17:N18"/>
    <mergeCell ref="B13:B14"/>
    <mergeCell ref="F13:F14"/>
    <mergeCell ref="I13:N14"/>
    <mergeCell ref="B11:B12"/>
    <mergeCell ref="F11:F12"/>
    <mergeCell ref="I11:N12"/>
    <mergeCell ref="A1:N1"/>
    <mergeCell ref="A2:C2"/>
    <mergeCell ref="D2:N2"/>
    <mergeCell ref="A4:N4"/>
    <mergeCell ref="A6:N6"/>
    <mergeCell ref="G7:H7"/>
    <mergeCell ref="I7:N8"/>
    <mergeCell ref="B9:B10"/>
    <mergeCell ref="A7:A8"/>
    <mergeCell ref="B7:B8"/>
    <mergeCell ref="C7:C8"/>
    <mergeCell ref="D7:E7"/>
    <mergeCell ref="F7:F8"/>
    <mergeCell ref="F9:F10"/>
    <mergeCell ref="I9:N10"/>
  </mergeCells>
  <conditionalFormatting sqref="A4">
    <cfRule type="expression" dxfId="7" priority="6">
      <formula>$A4&lt;&gt;""</formula>
    </cfRule>
  </conditionalFormatting>
  <pageMargins left="0.25" right="0.25" top="0.75" bottom="0.75" header="0.3" footer="0.3"/>
  <pageSetup scale="53" orientation="landscape" horizontalDpi="4294967293" verticalDpi="4294967293" r:id="rId1"/>
  <ignoredErrors>
    <ignoredError sqref="G10:G11 G13:G19" formula="1"/>
  </ignoredErrors>
  <extLst>
    <ext xmlns:x14="http://schemas.microsoft.com/office/spreadsheetml/2009/9/main" uri="{78C0D931-6437-407d-A8EE-F0AAD7539E65}">
      <x14:conditionalFormattings>
        <x14:conditionalFormatting xmlns:xm="http://schemas.microsoft.com/office/excel/2006/main">
          <x14:cfRule type="expression" priority="7" id="{2AFA4CB2-719E-4D27-BB81-B0AA19DA797F}">
            <xm:f>'Project Description'!$C$92="Yes"</xm:f>
            <x14:dxf>
              <fill>
                <patternFill>
                  <bgColor theme="0" tint="-0.14996795556505021"/>
                </patternFill>
              </fill>
            </x14:dxf>
          </x14:cfRule>
          <xm:sqref>B13:B20 D9:E20 F9:F10 F13:F20 I13:N20 D25:E25 D31:G31 K32:L40</xm:sqref>
        </x14:conditionalFormatting>
        <x14:conditionalFormatting xmlns:xm="http://schemas.microsoft.com/office/excel/2006/main">
          <x14:cfRule type="expression" priority="86" id="{7EEF03E8-8E51-4420-9732-4AF35711B69D}">
            <xm:f>OR('Project Description'!$C$96="(Select…)",'Project Description'!$C$96="None")</xm:f>
            <x14:dxf>
              <fill>
                <patternFill>
                  <bgColor theme="0" tint="-0.14996795556505021"/>
                </patternFill>
              </fill>
            </x14:dxf>
          </x14:cfRule>
          <xm:sqref>E9:E20 E25 F31:G31 K32:L40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W34"/>
  <sheetViews>
    <sheetView showGridLines="0" view="pageBreakPreview" zoomScaleNormal="100" zoomScaleSheetLayoutView="100" workbookViewId="0">
      <selection activeCell="C16" sqref="C16"/>
    </sheetView>
  </sheetViews>
  <sheetFormatPr defaultColWidth="9.25" defaultRowHeight="14.25" x14ac:dyDescent="0.2"/>
  <cols>
    <col min="1" max="1" width="5.5" style="380" customWidth="1"/>
    <col min="2" max="2" width="91.25" style="376" customWidth="1"/>
    <col min="3" max="3" width="29.5" style="376" customWidth="1"/>
    <col min="4" max="4" width="26.5" style="380" customWidth="1"/>
    <col min="5" max="5" width="69.75" style="380" customWidth="1"/>
    <col min="6" max="16384" width="9.25" style="376"/>
  </cols>
  <sheetData>
    <row r="1" spans="1:7" s="365" customFormat="1" ht="20.25" customHeight="1" thickBot="1" x14ac:dyDescent="0.25">
      <c r="A1" s="720" t="s">
        <v>173</v>
      </c>
      <c r="B1" s="721"/>
      <c r="C1" s="721"/>
      <c r="D1" s="721"/>
      <c r="E1" s="722"/>
      <c r="F1" s="364"/>
      <c r="G1" s="364"/>
    </row>
    <row r="2" spans="1:7" s="367" customFormat="1" ht="16.5" thickBot="1" x14ac:dyDescent="0.3">
      <c r="A2" s="789" t="s">
        <v>0</v>
      </c>
      <c r="B2" s="791"/>
      <c r="C2" s="789" t="str">
        <f>Finance!B2</f>
        <v/>
      </c>
      <c r="D2" s="790"/>
      <c r="E2" s="791"/>
    </row>
    <row r="3" spans="1:7" s="373" customFormat="1" ht="6" customHeight="1" x14ac:dyDescent="0.2">
      <c r="A3" s="329"/>
      <c r="B3" s="270"/>
      <c r="C3" s="329"/>
      <c r="D3" s="329"/>
      <c r="E3" s="329"/>
      <c r="F3" s="372"/>
      <c r="G3" s="372"/>
    </row>
    <row r="4" spans="1:7" s="375" customFormat="1" ht="15" customHeight="1" x14ac:dyDescent="0.2">
      <c r="A4" s="865" t="str">
        <f>IF('Project Description'!$C$92="Yes","*** Projects that qualify for warrants receive automatic Medium ratings.  Only enter current year annualized costs (for use in the Env. Ben. measure) in the Cost Effectiveness section. ***",IF('Project Description'!C96="(Select…)","*** To view Mobility Improvements, Cost Effectiveness and Congestion Relief results, specify the horizon year option in the Project Description Template ***",""))</f>
        <v/>
      </c>
      <c r="B4" s="865"/>
      <c r="C4" s="865"/>
      <c r="D4" s="865"/>
      <c r="E4" s="865"/>
      <c r="F4" s="374"/>
      <c r="G4" s="374"/>
    </row>
    <row r="5" spans="1:7" s="373" customFormat="1" ht="6" customHeight="1" thickBot="1" x14ac:dyDescent="0.25">
      <c r="A5" s="329"/>
      <c r="B5" s="62"/>
      <c r="C5" s="329"/>
      <c r="D5" s="329"/>
      <c r="E5" s="329"/>
      <c r="F5" s="372"/>
      <c r="G5" s="372"/>
    </row>
    <row r="6" spans="1:7" s="373" customFormat="1" ht="16.5" thickBot="1" x14ac:dyDescent="0.3">
      <c r="A6" s="856" t="s">
        <v>174</v>
      </c>
      <c r="B6" s="857"/>
      <c r="C6" s="857"/>
      <c r="D6" s="857"/>
      <c r="E6" s="858"/>
      <c r="F6" s="372"/>
      <c r="G6" s="372"/>
    </row>
    <row r="7" spans="1:7" s="373" customFormat="1" ht="12.75" x14ac:dyDescent="0.2">
      <c r="A7" s="859" t="s">
        <v>83</v>
      </c>
      <c r="B7" s="861" t="s">
        <v>175</v>
      </c>
      <c r="C7" s="863" t="s">
        <v>176</v>
      </c>
      <c r="D7" s="864"/>
      <c r="E7" s="859" t="s">
        <v>177</v>
      </c>
      <c r="F7" s="372"/>
      <c r="G7" s="372"/>
    </row>
    <row r="8" spans="1:7" s="373" customFormat="1" ht="13.5" thickBot="1" x14ac:dyDescent="0.25">
      <c r="A8" s="860"/>
      <c r="B8" s="862"/>
      <c r="C8" s="63" t="str">
        <f>'Travel Forecasts'!D8</f>
        <v>Current Year ()</v>
      </c>
      <c r="D8" s="64" t="str">
        <f>'Travel Forecasts'!E8</f>
        <v>Horizon (None)</v>
      </c>
      <c r="E8" s="860"/>
      <c r="F8" s="372"/>
      <c r="G8" s="372"/>
    </row>
    <row r="9" spans="1:7" s="373" customFormat="1" ht="27" customHeight="1" x14ac:dyDescent="0.2">
      <c r="A9" s="146">
        <v>1</v>
      </c>
      <c r="B9" s="65" t="s">
        <v>462</v>
      </c>
      <c r="C9" s="271">
        <f>'Travel Forecasts'!G21+5*'Travel Forecasts'!G22</f>
        <v>0</v>
      </c>
      <c r="D9" s="272" t="str">
        <f>IF(NOT(ISNUMBER('Travel Forecasts'!H21)),'Travel Forecasts'!H21,'Travel Forecasts'!H21+5*'Travel Forecasts'!H22)</f>
        <v>---</v>
      </c>
      <c r="E9" s="66" t="s">
        <v>465</v>
      </c>
      <c r="F9" s="372"/>
      <c r="G9" s="372"/>
    </row>
    <row r="10" spans="1:7" s="373" customFormat="1" ht="42" customHeight="1" thickBot="1" x14ac:dyDescent="0.25">
      <c r="A10" s="67">
        <v>2</v>
      </c>
      <c r="B10" s="68" t="s">
        <v>178</v>
      </c>
      <c r="C10" s="854">
        <f>IF(Lookups!$K$20="Yes","N/A",IF(OR(Lookups!$K$20="No",Lookups!$K$20="Unclear"),"---",IF(D9="-",D9,IF(D9="---",C9,(C9+D9)/2))))</f>
        <v>0</v>
      </c>
      <c r="D10" s="855"/>
      <c r="E10" s="68" t="s">
        <v>179</v>
      </c>
      <c r="F10" s="372"/>
      <c r="G10" s="372"/>
    </row>
    <row r="11" spans="1:7" s="373" customFormat="1" ht="13.5" thickBot="1" x14ac:dyDescent="0.25">
      <c r="A11" s="273"/>
      <c r="B11" s="270"/>
      <c r="C11" s="868" t="str">
        <f>IF(Lookups!$K$20="Yes",warrantedMedium,IF(Lookups!$K$20="No",doesntMeetThresholds,IF(OR(Lookups!$K$20="Unknown",C10="-",C10=0),"",VLOOKUP(C10,Lookups!B23:C27,2))))</f>
        <v/>
      </c>
      <c r="D11" s="869"/>
      <c r="E11" s="270"/>
      <c r="F11" s="372"/>
      <c r="G11" s="372"/>
    </row>
    <row r="12" spans="1:7" s="373" customFormat="1" ht="15" thickBot="1" x14ac:dyDescent="0.25">
      <c r="A12" s="274"/>
      <c r="B12" s="270"/>
      <c r="C12" s="69"/>
      <c r="D12" s="69"/>
      <c r="E12" s="275"/>
      <c r="F12" s="372"/>
      <c r="G12" s="372"/>
    </row>
    <row r="13" spans="1:7" s="373" customFormat="1" ht="16.5" thickBot="1" x14ac:dyDescent="0.3">
      <c r="A13" s="856" t="s">
        <v>180</v>
      </c>
      <c r="B13" s="857"/>
      <c r="C13" s="857"/>
      <c r="D13" s="857"/>
      <c r="E13" s="858"/>
      <c r="F13" s="372"/>
      <c r="G13" s="372"/>
    </row>
    <row r="14" spans="1:7" s="373" customFormat="1" ht="12.75" x14ac:dyDescent="0.2">
      <c r="A14" s="859" t="s">
        <v>83</v>
      </c>
      <c r="B14" s="861" t="s">
        <v>175</v>
      </c>
      <c r="C14" s="863" t="s">
        <v>176</v>
      </c>
      <c r="D14" s="864"/>
      <c r="E14" s="328" t="s">
        <v>177</v>
      </c>
      <c r="F14" s="372"/>
      <c r="G14" s="372"/>
    </row>
    <row r="15" spans="1:7" s="373" customFormat="1" ht="13.5" thickBot="1" x14ac:dyDescent="0.25">
      <c r="A15" s="860"/>
      <c r="B15" s="862"/>
      <c r="C15" s="152" t="str">
        <f>C8</f>
        <v>Current Year ()</v>
      </c>
      <c r="D15" s="153" t="str">
        <f>D8</f>
        <v>Horizon (None)</v>
      </c>
      <c r="E15" s="72"/>
      <c r="F15" s="372"/>
      <c r="G15" s="372"/>
    </row>
    <row r="16" spans="1:7" s="373" customFormat="1" ht="12.75" x14ac:dyDescent="0.2">
      <c r="A16" s="70">
        <v>3</v>
      </c>
      <c r="B16" s="194" t="s">
        <v>458</v>
      </c>
      <c r="C16" s="451"/>
      <c r="D16" s="452"/>
      <c r="E16" s="71" t="s">
        <v>181</v>
      </c>
      <c r="F16" s="372"/>
      <c r="G16" s="372"/>
    </row>
    <row r="17" spans="1:23" s="373" customFormat="1" ht="12.75" x14ac:dyDescent="0.2">
      <c r="A17" s="73">
        <v>4</v>
      </c>
      <c r="B17" s="74" t="s">
        <v>459</v>
      </c>
      <c r="C17" s="453"/>
      <c r="D17" s="454"/>
      <c r="E17" s="75" t="s">
        <v>182</v>
      </c>
      <c r="F17" s="372"/>
      <c r="G17" s="372"/>
      <c r="H17" s="372"/>
      <c r="I17" s="372"/>
      <c r="J17" s="372"/>
      <c r="K17" s="372"/>
      <c r="L17" s="372"/>
      <c r="M17" s="372"/>
      <c r="N17" s="372"/>
      <c r="O17" s="372"/>
      <c r="P17" s="372"/>
      <c r="Q17" s="372"/>
      <c r="R17" s="372"/>
      <c r="S17" s="372"/>
      <c r="T17" s="372"/>
      <c r="U17" s="372"/>
      <c r="V17" s="372"/>
      <c r="W17" s="372"/>
    </row>
    <row r="18" spans="1:23" s="373" customFormat="1" ht="12.75" x14ac:dyDescent="0.2">
      <c r="A18" s="73">
        <v>5</v>
      </c>
      <c r="B18" s="74" t="s">
        <v>183</v>
      </c>
      <c r="C18" s="276">
        <f>'Travel Forecasts'!G23</f>
        <v>0</v>
      </c>
      <c r="D18" s="277" t="str">
        <f>IF(NOT(ISNUMBER('Travel Forecasts'!H21)),'Travel Forecasts'!H21,'Travel Forecasts'!H23)</f>
        <v>---</v>
      </c>
      <c r="E18" s="75" t="s">
        <v>463</v>
      </c>
      <c r="F18" s="372"/>
      <c r="G18" s="372"/>
      <c r="H18" s="372"/>
      <c r="I18" s="372"/>
      <c r="J18" s="372"/>
      <c r="K18" s="372"/>
      <c r="L18" s="372"/>
      <c r="M18" s="372"/>
      <c r="N18" s="372"/>
      <c r="O18" s="372"/>
      <c r="P18" s="372"/>
      <c r="Q18" s="372"/>
      <c r="R18" s="372"/>
      <c r="S18" s="372"/>
      <c r="T18" s="372"/>
      <c r="U18" s="372"/>
      <c r="V18" s="372"/>
      <c r="W18" s="372"/>
    </row>
    <row r="19" spans="1:23" s="373" customFormat="1" ht="12.75" x14ac:dyDescent="0.2">
      <c r="A19" s="73">
        <v>6</v>
      </c>
      <c r="B19" s="74" t="s">
        <v>460</v>
      </c>
      <c r="C19" s="278">
        <f>C16+C17</f>
        <v>0</v>
      </c>
      <c r="D19" s="279" t="str">
        <f>IF(NOT(ISNUMBER(D18)),D18,D16+D17)</f>
        <v>---</v>
      </c>
      <c r="E19" s="75" t="s">
        <v>184</v>
      </c>
      <c r="F19" s="372"/>
      <c r="G19" s="372"/>
      <c r="H19" s="372"/>
      <c r="I19" s="372"/>
      <c r="J19" s="372"/>
      <c r="K19" s="372"/>
      <c r="L19" s="372"/>
      <c r="M19" s="372"/>
      <c r="N19" s="372"/>
      <c r="O19" s="372"/>
      <c r="P19" s="372"/>
      <c r="Q19" s="372"/>
      <c r="R19" s="372"/>
      <c r="S19" s="372"/>
      <c r="T19" s="372"/>
      <c r="U19" s="372"/>
      <c r="V19" s="372"/>
      <c r="W19" s="372"/>
    </row>
    <row r="20" spans="1:23" s="373" customFormat="1" ht="12.75" x14ac:dyDescent="0.2">
      <c r="A20" s="73">
        <v>7</v>
      </c>
      <c r="B20" s="74" t="s">
        <v>185</v>
      </c>
      <c r="C20" s="280">
        <f>IF(C18=0,0,C19/C18)</f>
        <v>0</v>
      </c>
      <c r="D20" s="281" t="str">
        <f>IF(NOT(ISNUMBER(D18)),D18,IF(D18=0,0,D19/D18))</f>
        <v>---</v>
      </c>
      <c r="E20" s="75" t="s">
        <v>186</v>
      </c>
      <c r="F20" s="372"/>
      <c r="G20" s="372"/>
      <c r="H20" s="372"/>
      <c r="I20" s="372"/>
      <c r="J20" s="372"/>
      <c r="K20" s="372"/>
      <c r="L20" s="372"/>
      <c r="M20" s="372"/>
      <c r="N20" s="372"/>
      <c r="O20" s="372"/>
      <c r="P20" s="372"/>
      <c r="Q20" s="372"/>
      <c r="R20" s="372"/>
      <c r="S20" s="372"/>
      <c r="T20" s="372"/>
      <c r="U20" s="372"/>
      <c r="V20" s="372"/>
      <c r="W20" s="372"/>
    </row>
    <row r="21" spans="1:23" s="373" customFormat="1" ht="42.75" customHeight="1" thickBot="1" x14ac:dyDescent="0.25">
      <c r="A21" s="67">
        <v>8</v>
      </c>
      <c r="B21" s="76" t="s">
        <v>178</v>
      </c>
      <c r="C21" s="852">
        <f>IF(Lookups!$K$20="Yes","N/A",IF(OR(Lookups!$K$20="No",Lookups!$K$20="Unclear"),"---",IF(D20="-",D20,IF(D20="---",C20,(C20+D20)/2))))</f>
        <v>0</v>
      </c>
      <c r="D21" s="853"/>
      <c r="E21" s="76" t="s">
        <v>187</v>
      </c>
      <c r="F21" s="372"/>
      <c r="G21" s="372"/>
      <c r="H21" s="372"/>
      <c r="I21" s="372"/>
      <c r="J21" s="372"/>
      <c r="K21" s="372"/>
      <c r="L21" s="372"/>
      <c r="M21" s="372"/>
      <c r="N21" s="372"/>
      <c r="O21" s="372"/>
      <c r="P21" s="372"/>
      <c r="Q21" s="372"/>
      <c r="R21" s="372"/>
      <c r="S21" s="372"/>
      <c r="T21" s="372"/>
      <c r="U21" s="372"/>
      <c r="V21" s="372"/>
      <c r="W21" s="372"/>
    </row>
    <row r="22" spans="1:23" s="373" customFormat="1" ht="13.5" thickBot="1" x14ac:dyDescent="0.25">
      <c r="A22" s="273"/>
      <c r="B22" s="282"/>
      <c r="C22" s="868" t="str">
        <f>IF(Lookups!$K$20="Yes",warrantedMedium,IF(Lookups!$K$20="No",doesntMeetThresholds,IF(OR(Lookups!$K$20="Unknown",C21=0,C21="-"),"",VLOOKUP(C21,Lookups!B4:C9,2))))</f>
        <v/>
      </c>
      <c r="D22" s="869"/>
      <c r="E22" s="273"/>
      <c r="F22" s="372"/>
      <c r="G22" s="372"/>
      <c r="H22" s="372"/>
      <c r="I22" s="372"/>
      <c r="J22" s="372"/>
      <c r="K22" s="372"/>
      <c r="L22" s="372"/>
      <c r="M22" s="372"/>
      <c r="N22" s="372"/>
      <c r="O22" s="372"/>
      <c r="P22" s="372"/>
      <c r="Q22" s="372"/>
      <c r="R22" s="372"/>
      <c r="S22" s="372"/>
      <c r="T22" s="372"/>
      <c r="U22" s="372"/>
      <c r="V22" s="372"/>
      <c r="W22" s="372"/>
    </row>
    <row r="23" spans="1:23" s="373" customFormat="1" ht="13.5" thickBot="1" x14ac:dyDescent="0.25">
      <c r="A23" s="274"/>
      <c r="B23" s="270"/>
      <c r="C23" s="274"/>
      <c r="D23" s="274"/>
      <c r="E23" s="274"/>
      <c r="F23" s="372"/>
      <c r="G23" s="372"/>
      <c r="H23" s="372"/>
      <c r="I23" s="372"/>
      <c r="J23" s="372"/>
      <c r="K23" s="372"/>
      <c r="L23" s="372"/>
      <c r="M23" s="372"/>
      <c r="N23" s="372"/>
      <c r="O23" s="372"/>
      <c r="P23" s="372"/>
      <c r="Q23" s="372"/>
      <c r="R23" s="372"/>
      <c r="S23" s="372"/>
      <c r="T23" s="372"/>
      <c r="U23" s="372"/>
      <c r="V23" s="372"/>
      <c r="W23" s="372"/>
    </row>
    <row r="24" spans="1:23" ht="16.5" thickBot="1" x14ac:dyDescent="0.3">
      <c r="A24" s="856" t="s">
        <v>172</v>
      </c>
      <c r="B24" s="857"/>
      <c r="C24" s="857"/>
      <c r="D24" s="857"/>
      <c r="E24" s="858"/>
      <c r="G24" s="377"/>
      <c r="H24" s="377"/>
      <c r="I24" s="377"/>
      <c r="J24" s="377"/>
      <c r="K24" s="377"/>
      <c r="L24" s="377"/>
      <c r="M24" s="377"/>
      <c r="N24" s="377"/>
      <c r="O24" s="377"/>
      <c r="P24" s="377"/>
      <c r="Q24" s="377"/>
      <c r="R24" s="377"/>
      <c r="S24" s="377"/>
      <c r="T24" s="377"/>
      <c r="U24" s="377"/>
      <c r="V24" s="377"/>
      <c r="W24" s="377"/>
    </row>
    <row r="25" spans="1:23" ht="10.35" customHeight="1" x14ac:dyDescent="0.2">
      <c r="A25" s="859" t="s">
        <v>83</v>
      </c>
      <c r="B25" s="861" t="s">
        <v>175</v>
      </c>
      <c r="C25" s="863" t="s">
        <v>176</v>
      </c>
      <c r="D25" s="864"/>
      <c r="E25" s="859" t="s">
        <v>177</v>
      </c>
      <c r="F25" s="378"/>
      <c r="G25" s="379"/>
      <c r="H25" s="379"/>
      <c r="I25" s="379"/>
      <c r="J25" s="379"/>
      <c r="K25" s="379"/>
      <c r="L25" s="379"/>
      <c r="M25" s="377"/>
      <c r="N25" s="377"/>
      <c r="O25" s="377"/>
      <c r="P25" s="377"/>
      <c r="Q25" s="377"/>
      <c r="R25" s="377"/>
      <c r="S25" s="377"/>
      <c r="T25" s="377"/>
      <c r="U25" s="377"/>
      <c r="V25" s="377"/>
      <c r="W25" s="377"/>
    </row>
    <row r="26" spans="1:23" ht="15" thickBot="1" x14ac:dyDescent="0.25">
      <c r="A26" s="860"/>
      <c r="B26" s="862"/>
      <c r="C26" s="63" t="str">
        <f>C8</f>
        <v>Current Year ()</v>
      </c>
      <c r="D26" s="64" t="str">
        <f>D8</f>
        <v>Horizon (None)</v>
      </c>
      <c r="E26" s="860"/>
      <c r="F26" s="378"/>
      <c r="G26" s="378"/>
      <c r="H26" s="378"/>
      <c r="I26" s="378"/>
      <c r="J26" s="378"/>
      <c r="K26" s="378"/>
      <c r="L26" s="378"/>
    </row>
    <row r="27" spans="1:23" x14ac:dyDescent="0.2">
      <c r="A27" s="70">
        <v>9</v>
      </c>
      <c r="B27" s="194" t="s">
        <v>188</v>
      </c>
      <c r="C27" s="223" t="str">
        <f>IF('Travel Forecasts'!D25="","-",'Travel Forecasts'!D25)</f>
        <v>-</v>
      </c>
      <c r="D27" s="224" t="str">
        <f>IF('Project Description'!$C$96="(Select…)","-",IF('Project Description'!$C$96="None","---",'Travel Forecasts'!E25))</f>
        <v>---</v>
      </c>
      <c r="E27" s="214" t="s">
        <v>464</v>
      </c>
      <c r="F27" s="209"/>
      <c r="G27" s="209"/>
      <c r="H27" s="209"/>
      <c r="I27" s="209"/>
      <c r="J27" s="209"/>
      <c r="K27" s="378"/>
      <c r="L27" s="378"/>
    </row>
    <row r="28" spans="1:23" s="373" customFormat="1" ht="42.75" customHeight="1" thickBot="1" x14ac:dyDescent="0.25">
      <c r="A28" s="212">
        <v>10</v>
      </c>
      <c r="B28" s="213" t="s">
        <v>178</v>
      </c>
      <c r="C28" s="866" t="str">
        <f>IF(Lookups!$K$20="Yes","N/A",IF(OR(Lookups!$K$20="No",Lookups!$K$20="Unclear"),"---",IF(D27="-",D27,IF(D27="---",C27,(C27+D27)/2))))</f>
        <v>-</v>
      </c>
      <c r="D28" s="867"/>
      <c r="E28" s="213" t="s">
        <v>187</v>
      </c>
      <c r="F28" s="372"/>
      <c r="G28" s="372"/>
      <c r="H28" s="372"/>
      <c r="I28" s="372"/>
      <c r="J28" s="372"/>
      <c r="K28" s="372"/>
      <c r="L28" s="372"/>
      <c r="M28" s="372"/>
      <c r="N28" s="372"/>
      <c r="O28" s="372"/>
      <c r="P28" s="372"/>
      <c r="Q28" s="372"/>
      <c r="R28" s="372"/>
      <c r="S28" s="372"/>
      <c r="T28" s="372"/>
      <c r="U28" s="372"/>
      <c r="V28" s="372"/>
      <c r="W28" s="372"/>
    </row>
    <row r="29" spans="1:23" ht="15" thickBot="1" x14ac:dyDescent="0.25">
      <c r="A29" s="208"/>
      <c r="C29" s="868" t="str">
        <f>IF(Lookups!$K$20="Yes",warrantedMedium,IF(Lookups!$K$20="No",doesntMeetThresholds,IF(OR(Lookups!$K$20="Unknown",C28="-"),"",VLOOKUP(C28,Lookups!B33:C37,2))))</f>
        <v/>
      </c>
      <c r="D29" s="869"/>
      <c r="E29" s="209"/>
      <c r="F29" s="209"/>
      <c r="G29" s="209"/>
      <c r="H29" s="209"/>
      <c r="I29" s="209"/>
      <c r="J29" s="209"/>
      <c r="K29" s="378"/>
      <c r="L29" s="378"/>
    </row>
    <row r="30" spans="1:23" x14ac:dyDescent="0.2">
      <c r="A30" s="208"/>
      <c r="F30" s="378"/>
      <c r="G30" s="378"/>
      <c r="H30" s="378"/>
      <c r="I30" s="378"/>
      <c r="J30" s="378"/>
      <c r="K30" s="378"/>
      <c r="L30" s="378"/>
    </row>
    <row r="31" spans="1:23" x14ac:dyDescent="0.2">
      <c r="A31" s="208"/>
    </row>
    <row r="32" spans="1:23" x14ac:dyDescent="0.2">
      <c r="A32" s="208"/>
    </row>
    <row r="33" spans="1:1" x14ac:dyDescent="0.2">
      <c r="A33" s="208"/>
    </row>
    <row r="34" spans="1:1" x14ac:dyDescent="0.2">
      <c r="A34" s="381"/>
    </row>
  </sheetData>
  <sheetProtection algorithmName="SHA-512" hashValue="1i5lNSzYHedCdTaP8/etLU+yZP+5r2/YcOe8FXB8iE0q9r1eykchdRO+A+fCzchxNgRInjkm/snHbPBYIpBDEQ==" saltValue="MSTghA7aIfnJFvGCPdI+Ow==" spinCount="100000" sheet="1" formatCells="0" formatColumns="0" formatRows="0" insertColumns="0" insertRows="0" insertHyperlinks="0" selectLockedCells="1"/>
  <customSheetViews>
    <customSheetView guid="{AB5399CE-BEB7-40AA-A66C-46449E135DF8}" showGridLines="0" fitToPage="1">
      <selection activeCell="D5" sqref="D5"/>
      <pageMargins left="0" right="0" top="0" bottom="0" header="0" footer="0"/>
      <printOptions horizontalCentered="1"/>
      <pageSetup scale="84" orientation="landscape" r:id="rId1"/>
      <headerFooter alignWithMargins="0"/>
    </customSheetView>
  </customSheetViews>
  <mergeCells count="24">
    <mergeCell ref="C28:D28"/>
    <mergeCell ref="C11:D11"/>
    <mergeCell ref="C22:D22"/>
    <mergeCell ref="C29:D29"/>
    <mergeCell ref="B14:B15"/>
    <mergeCell ref="C14:D14"/>
    <mergeCell ref="A24:E24"/>
    <mergeCell ref="A25:A26"/>
    <mergeCell ref="B25:B26"/>
    <mergeCell ref="C25:D25"/>
    <mergeCell ref="E25:E26"/>
    <mergeCell ref="A1:E1"/>
    <mergeCell ref="A2:B2"/>
    <mergeCell ref="C21:D21"/>
    <mergeCell ref="C10:D10"/>
    <mergeCell ref="C2:E2"/>
    <mergeCell ref="A6:E6"/>
    <mergeCell ref="A13:E13"/>
    <mergeCell ref="A7:A8"/>
    <mergeCell ref="B7:B8"/>
    <mergeCell ref="C7:D7"/>
    <mergeCell ref="E7:E8"/>
    <mergeCell ref="A14:A15"/>
    <mergeCell ref="A4:E4"/>
  </mergeCells>
  <phoneticPr fontId="0" type="noConversion"/>
  <conditionalFormatting sqref="A4">
    <cfRule type="expression" dxfId="4" priority="81">
      <formula>AND($A4&lt;&gt;"")</formula>
    </cfRule>
  </conditionalFormatting>
  <printOptions horizontalCentered="1"/>
  <pageMargins left="0.4" right="0.4" top="0.5" bottom="0.5" header="0.5" footer="0.5"/>
  <pageSetup scale="53" orientation="landscape"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0BE8-83BD-49EA-9A66-010042BB4D3E}">
  <sheetPr codeName="Sheet4">
    <pageSetUpPr autoPageBreaks="0"/>
  </sheetPr>
  <dimension ref="A1:I290"/>
  <sheetViews>
    <sheetView view="pageBreakPreview" zoomScaleNormal="100" zoomScaleSheetLayoutView="100" workbookViewId="0">
      <selection activeCell="D7" sqref="D7"/>
    </sheetView>
  </sheetViews>
  <sheetFormatPr defaultColWidth="11.875" defaultRowHeight="12.75" x14ac:dyDescent="0.2"/>
  <cols>
    <col min="1" max="1" width="5.625" style="515" customWidth="1"/>
    <col min="2" max="3" width="47.25" style="515" customWidth="1"/>
    <col min="4" max="4" width="33.875" style="515" customWidth="1"/>
    <col min="5" max="6" width="27.25" style="515" customWidth="1"/>
    <col min="7" max="7" width="11.875" style="515" hidden="1" customWidth="1"/>
    <col min="8" max="16384" width="11.875" style="515"/>
  </cols>
  <sheetData>
    <row r="1" spans="1:9" s="508" customFormat="1" ht="18.399999999999999" customHeight="1" thickBot="1" x14ac:dyDescent="0.25">
      <c r="A1" s="882" t="s">
        <v>469</v>
      </c>
      <c r="B1" s="883"/>
      <c r="C1" s="883"/>
      <c r="D1" s="883"/>
      <c r="E1" s="883"/>
      <c r="F1" s="884"/>
      <c r="H1" s="509"/>
      <c r="I1" s="509"/>
    </row>
    <row r="2" spans="1:9" s="510" customFormat="1" ht="16.5" thickBot="1" x14ac:dyDescent="0.3">
      <c r="A2" s="885" t="s">
        <v>0</v>
      </c>
      <c r="B2" s="886"/>
      <c r="C2" s="885" t="str">
        <f>Finance!B2</f>
        <v/>
      </c>
      <c r="D2" s="887"/>
      <c r="E2" s="887"/>
      <c r="F2" s="886"/>
      <c r="H2" s="509"/>
      <c r="I2" s="509"/>
    </row>
    <row r="3" spans="1:9" ht="15" thickBot="1" x14ac:dyDescent="0.25">
      <c r="A3" s="511"/>
      <c r="B3" s="512"/>
      <c r="C3" s="513"/>
      <c r="D3" s="513"/>
      <c r="E3" s="513"/>
      <c r="F3" s="514"/>
      <c r="H3" s="509"/>
      <c r="I3" s="509"/>
    </row>
    <row r="4" spans="1:9" s="516" customFormat="1" ht="18.399999999999999" customHeight="1" thickBot="1" x14ac:dyDescent="0.3">
      <c r="A4" s="888" t="s">
        <v>470</v>
      </c>
      <c r="B4" s="889"/>
      <c r="C4" s="889"/>
      <c r="D4" s="889"/>
      <c r="E4" s="889"/>
      <c r="F4" s="890"/>
      <c r="H4" s="509"/>
      <c r="I4" s="509"/>
    </row>
    <row r="5" spans="1:9" ht="15" thickBot="1" x14ac:dyDescent="0.25">
      <c r="B5" s="517"/>
      <c r="D5" s="518"/>
      <c r="E5" s="518"/>
      <c r="F5" s="519"/>
      <c r="H5" s="509"/>
      <c r="I5" s="509"/>
    </row>
    <row r="6" spans="1:9" s="513" customFormat="1" ht="13.5" thickBot="1" x14ac:dyDescent="0.25">
      <c r="A6" s="520" t="s">
        <v>83</v>
      </c>
      <c r="B6" s="891" t="s">
        <v>471</v>
      </c>
      <c r="C6" s="892"/>
      <c r="D6" s="521" t="str">
        <f>'Travel Forecasts'!D8&amp;" Values"</f>
        <v>Current Year () Values</v>
      </c>
      <c r="E6" s="893" t="s">
        <v>177</v>
      </c>
      <c r="F6" s="894"/>
    </row>
    <row r="7" spans="1:9" x14ac:dyDescent="0.2">
      <c r="A7" s="522">
        <v>1</v>
      </c>
      <c r="B7" s="870" t="s">
        <v>191</v>
      </c>
      <c r="C7" s="871"/>
      <c r="D7" s="523">
        <f>D81+D91+D101+D111+D121+D131+D141+D154+D164+D174+D184+D194+D204+D214+D224+D234+D247+D257+D267+D277</f>
        <v>0</v>
      </c>
      <c r="E7" s="872" t="s">
        <v>472</v>
      </c>
      <c r="F7" s="873"/>
    </row>
    <row r="8" spans="1:9" x14ac:dyDescent="0.2">
      <c r="A8" s="524">
        <v>2</v>
      </c>
      <c r="B8" s="874" t="s">
        <v>193</v>
      </c>
      <c r="C8" s="875"/>
      <c r="D8" s="525">
        <f>D83+D93+D103+D113+D123+D133+D143+D156+D166+D176+D186+D196+D206+D216+D226+D236+D249+D259+D269+D279</f>
        <v>0</v>
      </c>
      <c r="E8" s="876" t="s">
        <v>473</v>
      </c>
      <c r="F8" s="877"/>
    </row>
    <row r="9" spans="1:9" ht="13.5" thickBot="1" x14ac:dyDescent="0.25">
      <c r="A9" s="526">
        <v>3</v>
      </c>
      <c r="B9" s="878" t="s">
        <v>474</v>
      </c>
      <c r="C9" s="879"/>
      <c r="D9" s="527">
        <f>IF(D$8&lt;&gt;0,D7/D$8,0)</f>
        <v>0</v>
      </c>
      <c r="E9" s="880" t="s">
        <v>475</v>
      </c>
      <c r="F9" s="881"/>
    </row>
    <row r="10" spans="1:9" ht="13.5" thickBot="1" x14ac:dyDescent="0.25">
      <c r="B10" s="528"/>
      <c r="C10" s="529"/>
      <c r="D10" s="521" t="str">
        <f>IFERROR(VLOOKUP(D9,Lookups!$B$38:$C$42,2),"")</f>
        <v/>
      </c>
      <c r="E10" s="518"/>
      <c r="F10" s="530"/>
    </row>
    <row r="11" spans="1:9" ht="13.5" thickBot="1" x14ac:dyDescent="0.25">
      <c r="B11" s="531"/>
      <c r="C11" s="529"/>
      <c r="D11" s="532"/>
      <c r="E11" s="518"/>
      <c r="F11" s="530"/>
    </row>
    <row r="12" spans="1:9" s="513" customFormat="1" ht="13.5" thickBot="1" x14ac:dyDescent="0.25">
      <c r="A12" s="520" t="s">
        <v>83</v>
      </c>
      <c r="B12" s="891" t="s">
        <v>476</v>
      </c>
      <c r="C12" s="892"/>
      <c r="D12" s="521" t="str">
        <f>D6</f>
        <v>Current Year () Values</v>
      </c>
      <c r="E12" s="893" t="s">
        <v>177</v>
      </c>
      <c r="F12" s="894"/>
    </row>
    <row r="13" spans="1:9" x14ac:dyDescent="0.2">
      <c r="A13" s="522">
        <v>4</v>
      </c>
      <c r="B13" s="903" t="s">
        <v>192</v>
      </c>
      <c r="C13" s="904"/>
      <c r="D13" s="533">
        <f>D82+D92+D102+D112+D122+D132+D142+D155+D165+D175+D185+D195+D205+D215+D225+D235+D248+D258+D268+D278</f>
        <v>0</v>
      </c>
      <c r="E13" s="872" t="s">
        <v>477</v>
      </c>
      <c r="F13" s="873"/>
    </row>
    <row r="14" spans="1:9" x14ac:dyDescent="0.2">
      <c r="A14" s="524">
        <v>5</v>
      </c>
      <c r="B14" s="905" t="s">
        <v>478</v>
      </c>
      <c r="C14" s="906"/>
      <c r="D14" s="534"/>
      <c r="E14" s="876" t="s">
        <v>237</v>
      </c>
      <c r="F14" s="877"/>
    </row>
    <row r="15" spans="1:9" ht="13.5" thickBot="1" x14ac:dyDescent="0.25">
      <c r="A15" s="526">
        <v>6</v>
      </c>
      <c r="B15" s="895" t="s">
        <v>474</v>
      </c>
      <c r="C15" s="896"/>
      <c r="D15" s="535">
        <f>SUM(D13:D14)</f>
        <v>0</v>
      </c>
      <c r="E15" s="897" t="s">
        <v>479</v>
      </c>
      <c r="F15" s="898"/>
    </row>
    <row r="16" spans="1:9" s="513" customFormat="1" ht="13.5" thickBot="1" x14ac:dyDescent="0.25">
      <c r="B16" s="512"/>
      <c r="D16" s="536" t="str">
        <f>IFERROR(VLOOKUP(D15,Lookups!$B$43:$C$47,2),"")</f>
        <v/>
      </c>
      <c r="F16" s="514"/>
    </row>
    <row r="17" spans="1:6" s="513" customFormat="1" ht="13.5" thickBot="1" x14ac:dyDescent="0.25">
      <c r="B17" s="537"/>
      <c r="D17" s="532"/>
      <c r="F17" s="514"/>
    </row>
    <row r="18" spans="1:6" ht="13.5" thickBot="1" x14ac:dyDescent="0.25">
      <c r="A18" s="520" t="s">
        <v>83</v>
      </c>
      <c r="B18" s="891" t="s">
        <v>480</v>
      </c>
      <c r="C18" s="892"/>
      <c r="D18" s="521" t="str">
        <f>D6</f>
        <v>Current Year () Values</v>
      </c>
      <c r="E18" s="893" t="s">
        <v>177</v>
      </c>
      <c r="F18" s="894"/>
    </row>
    <row r="19" spans="1:6" x14ac:dyDescent="0.2">
      <c r="A19" s="538"/>
      <c r="B19" s="899" t="s">
        <v>481</v>
      </c>
      <c r="C19" s="900"/>
      <c r="D19" s="539" t="s">
        <v>112</v>
      </c>
      <c r="E19" s="901" t="s">
        <v>112</v>
      </c>
      <c r="F19" s="902"/>
    </row>
    <row r="20" spans="1:6" ht="25.5" customHeight="1" x14ac:dyDescent="0.2">
      <c r="A20" s="540">
        <v>7</v>
      </c>
      <c r="B20" s="874" t="s">
        <v>189</v>
      </c>
      <c r="C20" s="911"/>
      <c r="D20" s="541">
        <f>D84+D94+D104+D114+D124+D134+D144+D157+D167+D177+D187+D197+D207+D217+D227+D237+D250+D260+D270+D280</f>
        <v>0</v>
      </c>
      <c r="E20" s="912" t="s">
        <v>482</v>
      </c>
      <c r="F20" s="913"/>
    </row>
    <row r="21" spans="1:6" ht="25.5" customHeight="1" x14ac:dyDescent="0.2">
      <c r="A21" s="540">
        <v>8</v>
      </c>
      <c r="B21" s="874" t="s">
        <v>190</v>
      </c>
      <c r="C21" s="911"/>
      <c r="D21" s="541">
        <f>D85+D95+D105+D115+D125+D135+D145+D158+D168+D178+D188+D198+D208+D218+D228+D238+D251+D261+D271+D281</f>
        <v>0</v>
      </c>
      <c r="E21" s="912" t="s">
        <v>483</v>
      </c>
      <c r="F21" s="913"/>
    </row>
    <row r="22" spans="1:6" x14ac:dyDescent="0.2">
      <c r="A22" s="540">
        <v>9</v>
      </c>
      <c r="B22" s="874" t="s">
        <v>194</v>
      </c>
      <c r="C22" s="911"/>
      <c r="D22" s="542">
        <f>IF(D20=0,0,D21/D20)</f>
        <v>0</v>
      </c>
      <c r="E22" s="876" t="s">
        <v>484</v>
      </c>
      <c r="F22" s="877"/>
    </row>
    <row r="23" spans="1:6" x14ac:dyDescent="0.2">
      <c r="A23" s="540"/>
      <c r="B23" s="907" t="s">
        <v>485</v>
      </c>
      <c r="C23" s="908"/>
      <c r="D23" s="543" t="s">
        <v>112</v>
      </c>
      <c r="E23" s="909" t="s">
        <v>112</v>
      </c>
      <c r="F23" s="910"/>
    </row>
    <row r="24" spans="1:6" ht="25.5" customHeight="1" x14ac:dyDescent="0.2">
      <c r="A24" s="540">
        <v>10</v>
      </c>
      <c r="B24" s="874" t="s">
        <v>189</v>
      </c>
      <c r="C24" s="911"/>
      <c r="D24" s="541">
        <f>D58+D62+D66+D70+D74</f>
        <v>0</v>
      </c>
      <c r="E24" s="912" t="s">
        <v>486</v>
      </c>
      <c r="F24" s="913"/>
    </row>
    <row r="25" spans="1:6" ht="25.5" customHeight="1" x14ac:dyDescent="0.2">
      <c r="A25" s="540">
        <v>11</v>
      </c>
      <c r="B25" s="874" t="s">
        <v>190</v>
      </c>
      <c r="C25" s="911"/>
      <c r="D25" s="541">
        <f>D59+D63+D67+D71+D75</f>
        <v>0</v>
      </c>
      <c r="E25" s="912" t="s">
        <v>487</v>
      </c>
      <c r="F25" s="913"/>
    </row>
    <row r="26" spans="1:6" x14ac:dyDescent="0.2">
      <c r="A26" s="540">
        <v>12</v>
      </c>
      <c r="B26" s="874" t="s">
        <v>195</v>
      </c>
      <c r="C26" s="911"/>
      <c r="D26" s="542">
        <f>IF(D24=0,0,D25/D24)</f>
        <v>0</v>
      </c>
      <c r="E26" s="876" t="s">
        <v>488</v>
      </c>
      <c r="F26" s="877"/>
    </row>
    <row r="27" spans="1:6" x14ac:dyDescent="0.2">
      <c r="A27" s="540">
        <v>13</v>
      </c>
      <c r="B27" s="921" t="s">
        <v>474</v>
      </c>
      <c r="C27" s="911"/>
      <c r="D27" s="544">
        <f>IF(D26=0,0,D22/D26)</f>
        <v>0</v>
      </c>
      <c r="E27" s="876" t="s">
        <v>489</v>
      </c>
      <c r="F27" s="877"/>
    </row>
    <row r="28" spans="1:6" x14ac:dyDescent="0.2">
      <c r="A28" s="545">
        <v>14</v>
      </c>
      <c r="B28" s="922" t="s">
        <v>490</v>
      </c>
      <c r="C28" s="923"/>
      <c r="D28" s="546" t="str">
        <f>IFERROR(VLOOKUP(D27,Lookups!$B$48:$C$52,2),"")</f>
        <v/>
      </c>
      <c r="E28" s="924" t="s">
        <v>491</v>
      </c>
      <c r="F28" s="877"/>
    </row>
    <row r="29" spans="1:6" ht="25.9" customHeight="1" thickBot="1" x14ac:dyDescent="0.25">
      <c r="A29" s="547">
        <v>15</v>
      </c>
      <c r="B29" s="914" t="s">
        <v>492</v>
      </c>
      <c r="C29" s="915"/>
      <c r="D29" s="548" t="str">
        <f>IF(D26&gt;0.05,"+1 RATING LEVEL",IF(D26=0,"","N/A"))</f>
        <v/>
      </c>
      <c r="E29" s="916" t="s">
        <v>493</v>
      </c>
      <c r="F29" s="917"/>
    </row>
    <row r="30" spans="1:6" ht="13.5" thickBot="1" x14ac:dyDescent="0.25">
      <c r="D30" s="536" t="str">
        <f>IFERROR(IF(D29="+1 Rating Level",VLOOKUP(D27,Lookups!$B$48:$D$52,3),D28),"")</f>
        <v/>
      </c>
      <c r="F30" s="549"/>
    </row>
    <row r="31" spans="1:6" ht="13.5" thickBot="1" x14ac:dyDescent="0.25">
      <c r="B31" s="550"/>
      <c r="D31" s="532"/>
      <c r="F31" s="549"/>
    </row>
    <row r="32" spans="1:6" s="513" customFormat="1" ht="13.5" thickBot="1" x14ac:dyDescent="0.25">
      <c r="A32" s="520" t="s">
        <v>83</v>
      </c>
      <c r="B32" s="891" t="s">
        <v>494</v>
      </c>
      <c r="C32" s="892"/>
      <c r="D32" s="521" t="str">
        <f>D6</f>
        <v>Current Year () Values</v>
      </c>
      <c r="E32" s="893" t="s">
        <v>177</v>
      </c>
      <c r="F32" s="894"/>
    </row>
    <row r="33" spans="1:7" s="513" customFormat="1" x14ac:dyDescent="0.2">
      <c r="A33" s="551">
        <v>16</v>
      </c>
      <c r="B33" s="918" t="s">
        <v>495</v>
      </c>
      <c r="C33" s="919"/>
      <c r="D33" s="552"/>
      <c r="E33" s="920" t="s">
        <v>237</v>
      </c>
      <c r="F33" s="919"/>
    </row>
    <row r="34" spans="1:7" ht="25.5" customHeight="1" x14ac:dyDescent="0.2">
      <c r="A34" s="524">
        <v>17</v>
      </c>
      <c r="B34" s="874" t="s">
        <v>496</v>
      </c>
      <c r="C34" s="875"/>
      <c r="D34" s="541">
        <f>D86+D96+D106+D116+D126+D136+D146+D159+D169+D179+D189+D199+D209+D219+D229+D239+D252+D262+D272+D282</f>
        <v>0</v>
      </c>
      <c r="E34" s="912" t="s">
        <v>497</v>
      </c>
      <c r="F34" s="913"/>
    </row>
    <row r="35" spans="1:7" ht="25.5" customHeight="1" x14ac:dyDescent="0.2">
      <c r="A35" s="524">
        <v>18</v>
      </c>
      <c r="B35" s="874" t="s">
        <v>498</v>
      </c>
      <c r="C35" s="875"/>
      <c r="D35" s="541">
        <f>D87+D97+D107+D117+D127+D137+D147+D160+D170+D180+D190+D200+D210+D220+D230+D240+D253+D263+D273+D283</f>
        <v>0</v>
      </c>
      <c r="E35" s="912" t="s">
        <v>497</v>
      </c>
      <c r="F35" s="913"/>
      <c r="G35" s="553"/>
    </row>
    <row r="36" spans="1:7" ht="13.5" thickBot="1" x14ac:dyDescent="0.25">
      <c r="A36" s="526">
        <v>19</v>
      </c>
      <c r="B36" s="878" t="s">
        <v>474</v>
      </c>
      <c r="C36" s="879"/>
      <c r="D36" s="554">
        <f>IF(D35=0,0,D34/D35)</f>
        <v>0</v>
      </c>
      <c r="E36" s="897" t="s">
        <v>499</v>
      </c>
      <c r="F36" s="898"/>
      <c r="G36" s="553"/>
    </row>
    <row r="37" spans="1:7" s="513" customFormat="1" ht="13.5" thickBot="1" x14ac:dyDescent="0.25">
      <c r="B37" s="512"/>
      <c r="D37" s="555" t="str">
        <f>IFERROR(VLOOKUP(D36,Lookups!$B$53:$C$57,2),"")</f>
        <v/>
      </c>
      <c r="F37" s="514"/>
    </row>
    <row r="38" spans="1:7" s="513" customFormat="1" ht="13.5" thickBot="1" x14ac:dyDescent="0.25">
      <c r="D38" s="556"/>
      <c r="F38" s="514"/>
    </row>
    <row r="39" spans="1:7" s="513" customFormat="1" ht="13.5" thickBot="1" x14ac:dyDescent="0.25">
      <c r="A39" s="557" t="s">
        <v>83</v>
      </c>
      <c r="B39" s="891" t="s">
        <v>500</v>
      </c>
      <c r="C39" s="892"/>
      <c r="D39" s="521" t="str">
        <f>D6</f>
        <v>Current Year () Values</v>
      </c>
      <c r="E39" s="893" t="s">
        <v>177</v>
      </c>
      <c r="F39" s="894"/>
    </row>
    <row r="40" spans="1:7" ht="25.5" customHeight="1" x14ac:dyDescent="0.2">
      <c r="A40" s="538">
        <v>20</v>
      </c>
      <c r="B40" s="925" t="s">
        <v>501</v>
      </c>
      <c r="C40" s="926"/>
      <c r="D40" s="558">
        <f>D88+D98+D108+D118+D128+D138+D148+D161+D171+D181+D191+D201+D211+D221+D231+D241+D254+D264+D274+D284</f>
        <v>0</v>
      </c>
      <c r="E40" s="927" t="s">
        <v>502</v>
      </c>
      <c r="F40" s="928"/>
    </row>
    <row r="41" spans="1:7" x14ac:dyDescent="0.2">
      <c r="A41" s="540">
        <v>21</v>
      </c>
      <c r="B41" s="929" t="s">
        <v>503</v>
      </c>
      <c r="C41" s="930"/>
      <c r="D41" s="559"/>
      <c r="E41" s="931" t="s">
        <v>237</v>
      </c>
      <c r="F41" s="932"/>
    </row>
    <row r="42" spans="1:7" ht="13.5" thickBot="1" x14ac:dyDescent="0.25">
      <c r="A42" s="560">
        <v>22</v>
      </c>
      <c r="B42" s="878" t="s">
        <v>474</v>
      </c>
      <c r="C42" s="879"/>
      <c r="D42" s="561" t="str">
        <f>IFERROR(D40/D41,"")</f>
        <v/>
      </c>
      <c r="E42" s="897" t="s">
        <v>504</v>
      </c>
      <c r="F42" s="898"/>
    </row>
    <row r="43" spans="1:7" ht="13.5" thickBot="1" x14ac:dyDescent="0.25">
      <c r="B43" s="562"/>
      <c r="C43" s="563"/>
      <c r="D43" s="521" t="str">
        <f>IFERROR(VLOOKUP(D42,Lookups!$B$58:$C$62,2),"")</f>
        <v/>
      </c>
      <c r="E43" s="563"/>
      <c r="F43" s="564"/>
    </row>
    <row r="44" spans="1:7" ht="13.5" thickBot="1" x14ac:dyDescent="0.25">
      <c r="B44" s="565"/>
      <c r="C44" s="518"/>
      <c r="D44" s="532"/>
      <c r="E44" s="518"/>
      <c r="F44" s="519"/>
    </row>
    <row r="45" spans="1:7" s="516" customFormat="1" ht="18.75" thickBot="1" x14ac:dyDescent="0.3">
      <c r="B45" s="888" t="s">
        <v>505</v>
      </c>
      <c r="C45" s="890"/>
      <c r="D45" s="566" t="str">
        <f>IF(G45="","",VLOOKUP(G45,Lookups!$B$16:$C$22,2))</f>
        <v/>
      </c>
      <c r="E45" s="940" t="s">
        <v>506</v>
      </c>
      <c r="F45" s="941"/>
      <c r="G45" s="516" t="str">
        <f>IF(COUNTBLANK(G46:G50)&gt;0,"",ROUND(AVERAGE(G46:G50),0))</f>
        <v/>
      </c>
    </row>
    <row r="46" spans="1:7" hidden="1" x14ac:dyDescent="0.2">
      <c r="B46" s="934" t="str">
        <f>B6</f>
        <v>Average Existing Population Density (persons per square mile) Across All Station Areas</v>
      </c>
      <c r="C46" s="934"/>
      <c r="D46" s="567" t="str">
        <f>D10</f>
        <v/>
      </c>
      <c r="E46" s="568"/>
      <c r="F46" s="568"/>
      <c r="G46" s="569" t="str">
        <f>VLOOKUP(IF(D10="","-",D10),Lookups!$G$24:$H$29,2,FALSE)</f>
        <v/>
      </c>
    </row>
    <row r="47" spans="1:7" hidden="1" x14ac:dyDescent="0.2">
      <c r="B47" s="934" t="str">
        <f>B12</f>
        <v>Total Existing Employment Served by the Project</v>
      </c>
      <c r="C47" s="934"/>
      <c r="D47" s="570" t="str">
        <f>D16</f>
        <v/>
      </c>
      <c r="E47" s="568"/>
      <c r="F47" s="568"/>
      <c r="G47" s="569" t="str">
        <f>VLOOKUP(IF(D16="","-",D16),Lookups!$G$24:$H$29,2,FALSE)</f>
        <v/>
      </c>
    </row>
    <row r="48" spans="1:7" hidden="1" x14ac:dyDescent="0.2">
      <c r="B48" s="933" t="str">
        <f>B18</f>
        <v>Legally Binding Affordability Restricted (LBAR) Housing Unit Ratio</v>
      </c>
      <c r="C48" s="933"/>
      <c r="D48" s="571" t="str">
        <f>D30</f>
        <v/>
      </c>
      <c r="E48" s="568"/>
      <c r="F48" s="568"/>
      <c r="G48" s="569" t="str">
        <f>VLOOKUP(IF(D30="","-",D30),Lookups!$G$24:$H$29,2,FALSE)</f>
        <v/>
      </c>
    </row>
    <row r="49" spans="2:7" hidden="1" x14ac:dyDescent="0.2">
      <c r="B49" s="934" t="str">
        <f>B32</f>
        <v>Community Risk</v>
      </c>
      <c r="C49" s="934"/>
      <c r="D49" s="572" t="str">
        <f>D37</f>
        <v/>
      </c>
      <c r="E49" s="568"/>
      <c r="F49" s="568"/>
      <c r="G49" s="569" t="str">
        <f>VLOOKUP(IF(D37="","-",D37),Lookups!$G$24:$H$29,2,FALSE)</f>
        <v/>
      </c>
    </row>
    <row r="50" spans="2:7" hidden="1" x14ac:dyDescent="0.2">
      <c r="B50" s="934" t="str">
        <f>B39</f>
        <v>Essential Services</v>
      </c>
      <c r="C50" s="934"/>
      <c r="D50" s="568" t="str">
        <f>D43</f>
        <v/>
      </c>
      <c r="E50" s="568"/>
      <c r="F50" s="568"/>
      <c r="G50" s="569" t="str">
        <f>VLOOKUP(IF(D43="","-",D43),Lookups!$G$24:$H$29,2,FALSE)</f>
        <v/>
      </c>
    </row>
    <row r="51" spans="2:7" ht="13.5" thickBot="1" x14ac:dyDescent="0.25">
      <c r="B51" s="573"/>
      <c r="C51" s="573"/>
      <c r="D51" s="518"/>
      <c r="E51" s="574"/>
      <c r="F51" s="574"/>
    </row>
    <row r="52" spans="2:7" s="508" customFormat="1" ht="18.75" customHeight="1" thickBot="1" x14ac:dyDescent="0.25">
      <c r="B52" s="882" t="s">
        <v>201</v>
      </c>
      <c r="C52" s="883"/>
      <c r="D52" s="884"/>
      <c r="E52" s="575"/>
      <c r="F52" s="575"/>
    </row>
    <row r="53" spans="2:7" ht="13.5" thickBot="1" x14ac:dyDescent="0.25">
      <c r="B53" s="574"/>
      <c r="C53" s="574"/>
      <c r="D53" s="574"/>
      <c r="E53" s="574"/>
      <c r="F53" s="574"/>
    </row>
    <row r="54" spans="2:7" ht="13.5" customHeight="1" thickBot="1" x14ac:dyDescent="0.25">
      <c r="B54" s="935" t="s">
        <v>507</v>
      </c>
      <c r="C54" s="936"/>
      <c r="D54" s="937"/>
      <c r="E54" s="576"/>
      <c r="F54" s="576"/>
    </row>
    <row r="55" spans="2:7" ht="13.5" customHeight="1" thickBot="1" x14ac:dyDescent="0.25">
      <c r="B55" s="577"/>
      <c r="C55" s="578"/>
      <c r="D55" s="521" t="str">
        <f>D6</f>
        <v>Current Year () Values</v>
      </c>
      <c r="E55" s="579"/>
      <c r="F55" s="579"/>
    </row>
    <row r="56" spans="2:7" ht="13.5" thickBot="1" x14ac:dyDescent="0.25">
      <c r="B56" s="580"/>
      <c r="C56" s="581"/>
      <c r="D56" s="582"/>
      <c r="E56" s="576"/>
      <c r="F56" s="576"/>
    </row>
    <row r="57" spans="2:7" s="513" customFormat="1" ht="14.25" customHeight="1" x14ac:dyDescent="0.2">
      <c r="B57" s="583" t="s">
        <v>508</v>
      </c>
      <c r="C57" s="584" t="s">
        <v>196</v>
      </c>
      <c r="D57" s="585"/>
      <c r="E57" s="586"/>
      <c r="F57" s="586"/>
    </row>
    <row r="58" spans="2:7" x14ac:dyDescent="0.2">
      <c r="B58" s="938" t="s">
        <v>189</v>
      </c>
      <c r="C58" s="939"/>
      <c r="D58" s="587"/>
      <c r="E58" s="588"/>
      <c r="F58" s="588"/>
    </row>
    <row r="59" spans="2:7" ht="13.5" thickBot="1" x14ac:dyDescent="0.25">
      <c r="B59" s="942" t="s">
        <v>190</v>
      </c>
      <c r="C59" s="943"/>
      <c r="D59" s="589"/>
      <c r="E59" s="588"/>
      <c r="F59" s="588"/>
    </row>
    <row r="60" spans="2:7" ht="13.5" thickBot="1" x14ac:dyDescent="0.25">
      <c r="B60" s="590"/>
      <c r="C60" s="591"/>
      <c r="D60" s="592"/>
      <c r="E60" s="591"/>
      <c r="F60" s="591"/>
    </row>
    <row r="61" spans="2:7" s="513" customFormat="1" ht="14.25" customHeight="1" x14ac:dyDescent="0.2">
      <c r="B61" s="583" t="s">
        <v>197</v>
      </c>
      <c r="C61" s="584" t="s">
        <v>196</v>
      </c>
      <c r="D61" s="585"/>
      <c r="E61" s="586"/>
      <c r="F61" s="586"/>
    </row>
    <row r="62" spans="2:7" x14ac:dyDescent="0.2">
      <c r="B62" s="938" t="s">
        <v>189</v>
      </c>
      <c r="C62" s="939"/>
      <c r="D62" s="587"/>
      <c r="E62" s="588"/>
      <c r="F62" s="588"/>
    </row>
    <row r="63" spans="2:7" ht="13.5" thickBot="1" x14ac:dyDescent="0.25">
      <c r="B63" s="942" t="s">
        <v>190</v>
      </c>
      <c r="C63" s="943"/>
      <c r="D63" s="589"/>
      <c r="E63" s="588"/>
      <c r="F63" s="588"/>
    </row>
    <row r="64" spans="2:7" ht="13.5" thickBot="1" x14ac:dyDescent="0.25">
      <c r="B64" s="590"/>
      <c r="C64" s="591"/>
      <c r="D64" s="592"/>
      <c r="E64" s="591"/>
      <c r="F64" s="591"/>
    </row>
    <row r="65" spans="2:6" s="513" customFormat="1" ht="14.25" customHeight="1" x14ac:dyDescent="0.2">
      <c r="B65" s="583" t="s">
        <v>198</v>
      </c>
      <c r="C65" s="584" t="s">
        <v>196</v>
      </c>
      <c r="D65" s="585"/>
      <c r="E65" s="586"/>
      <c r="F65" s="586"/>
    </row>
    <row r="66" spans="2:6" x14ac:dyDescent="0.2">
      <c r="B66" s="938" t="s">
        <v>189</v>
      </c>
      <c r="C66" s="939"/>
      <c r="D66" s="587"/>
      <c r="E66" s="588"/>
      <c r="F66" s="588"/>
    </row>
    <row r="67" spans="2:6" ht="13.5" thickBot="1" x14ac:dyDescent="0.25">
      <c r="B67" s="942" t="s">
        <v>190</v>
      </c>
      <c r="C67" s="943"/>
      <c r="D67" s="589"/>
      <c r="E67" s="588"/>
      <c r="F67" s="588"/>
    </row>
    <row r="68" spans="2:6" ht="13.5" thickBot="1" x14ac:dyDescent="0.25">
      <c r="B68" s="590"/>
      <c r="C68" s="591"/>
      <c r="D68" s="592"/>
      <c r="E68" s="591"/>
      <c r="F68" s="591"/>
    </row>
    <row r="69" spans="2:6" s="513" customFormat="1" ht="14.25" customHeight="1" x14ac:dyDescent="0.2">
      <c r="B69" s="583" t="s">
        <v>199</v>
      </c>
      <c r="C69" s="584" t="s">
        <v>196</v>
      </c>
      <c r="D69" s="585"/>
      <c r="E69" s="586"/>
      <c r="F69" s="586"/>
    </row>
    <row r="70" spans="2:6" x14ac:dyDescent="0.2">
      <c r="B70" s="938" t="s">
        <v>189</v>
      </c>
      <c r="C70" s="939"/>
      <c r="D70" s="587"/>
      <c r="E70" s="588"/>
      <c r="F70" s="588"/>
    </row>
    <row r="71" spans="2:6" ht="13.5" thickBot="1" x14ac:dyDescent="0.25">
      <c r="B71" s="942" t="s">
        <v>190</v>
      </c>
      <c r="C71" s="943"/>
      <c r="D71" s="589"/>
      <c r="E71" s="588"/>
      <c r="F71" s="588"/>
    </row>
    <row r="72" spans="2:6" ht="13.5" thickBot="1" x14ac:dyDescent="0.25">
      <c r="B72" s="590"/>
      <c r="C72" s="591"/>
      <c r="D72" s="592"/>
      <c r="E72" s="591"/>
      <c r="F72" s="591"/>
    </row>
    <row r="73" spans="2:6" s="513" customFormat="1" ht="14.25" customHeight="1" x14ac:dyDescent="0.2">
      <c r="B73" s="583" t="s">
        <v>200</v>
      </c>
      <c r="C73" s="584" t="s">
        <v>196</v>
      </c>
      <c r="D73" s="585"/>
      <c r="E73" s="586"/>
      <c r="F73" s="586"/>
    </row>
    <row r="74" spans="2:6" x14ac:dyDescent="0.2">
      <c r="B74" s="938" t="s">
        <v>189</v>
      </c>
      <c r="C74" s="939"/>
      <c r="D74" s="587"/>
      <c r="E74" s="588"/>
      <c r="F74" s="588"/>
    </row>
    <row r="75" spans="2:6" ht="13.5" thickBot="1" x14ac:dyDescent="0.25">
      <c r="B75" s="942" t="s">
        <v>190</v>
      </c>
      <c r="C75" s="943"/>
      <c r="D75" s="589"/>
      <c r="E75" s="944"/>
      <c r="F75" s="944"/>
    </row>
    <row r="76" spans="2:6" s="594" customFormat="1" ht="14.65" customHeight="1" thickBot="1" x14ac:dyDescent="0.25">
      <c r="B76" s="945"/>
      <c r="C76" s="945"/>
      <c r="D76" s="945"/>
      <c r="E76" s="593"/>
      <c r="F76" s="593"/>
    </row>
    <row r="77" spans="2:6" s="595" customFormat="1" ht="27" customHeight="1" thickBot="1" x14ac:dyDescent="0.25">
      <c r="B77" s="946" t="s">
        <v>509</v>
      </c>
      <c r="C77" s="947"/>
      <c r="D77" s="948"/>
      <c r="E77" s="586"/>
      <c r="F77" s="586"/>
    </row>
    <row r="78" spans="2:6" ht="13.5" customHeight="1" thickBot="1" x14ac:dyDescent="0.25">
      <c r="B78" s="577"/>
      <c r="C78" s="578"/>
      <c r="D78" s="596" t="str">
        <f>D6</f>
        <v>Current Year () Values</v>
      </c>
      <c r="E78" s="579"/>
      <c r="F78" s="579"/>
    </row>
    <row r="79" spans="2:6" ht="13.5" thickBot="1" x14ac:dyDescent="0.25">
      <c r="B79" s="590"/>
      <c r="C79" s="591"/>
      <c r="D79" s="592"/>
      <c r="E79" s="591"/>
      <c r="F79" s="591"/>
    </row>
    <row r="80" spans="2:6" x14ac:dyDescent="0.2">
      <c r="B80" s="597" t="s">
        <v>510</v>
      </c>
      <c r="C80" s="598" t="s">
        <v>202</v>
      </c>
      <c r="D80" s="599"/>
      <c r="E80" s="513"/>
      <c r="F80" s="513"/>
    </row>
    <row r="81" spans="2:6" x14ac:dyDescent="0.2">
      <c r="B81" s="949" t="s">
        <v>191</v>
      </c>
      <c r="C81" s="950"/>
      <c r="D81" s="600"/>
      <c r="E81" s="601"/>
      <c r="F81" s="602"/>
    </row>
    <row r="82" spans="2:6" x14ac:dyDescent="0.2">
      <c r="B82" s="949" t="s">
        <v>203</v>
      </c>
      <c r="C82" s="950"/>
      <c r="D82" s="603"/>
      <c r="E82" s="601"/>
      <c r="F82" s="602"/>
    </row>
    <row r="83" spans="2:6" x14ac:dyDescent="0.2">
      <c r="B83" s="951" t="s">
        <v>204</v>
      </c>
      <c r="C83" s="950"/>
      <c r="D83" s="604"/>
      <c r="E83" s="605"/>
      <c r="F83" s="606"/>
    </row>
    <row r="84" spans="2:6" x14ac:dyDescent="0.2">
      <c r="B84" s="949" t="s">
        <v>189</v>
      </c>
      <c r="C84" s="950"/>
      <c r="D84" s="600"/>
      <c r="E84" s="605"/>
      <c r="F84" s="606"/>
    </row>
    <row r="85" spans="2:6" x14ac:dyDescent="0.2">
      <c r="B85" s="949" t="s">
        <v>190</v>
      </c>
      <c r="C85" s="950"/>
      <c r="D85" s="600"/>
      <c r="E85" s="605"/>
      <c r="F85" s="606"/>
    </row>
    <row r="86" spans="2:6" x14ac:dyDescent="0.2">
      <c r="B86" s="949" t="s">
        <v>496</v>
      </c>
      <c r="C86" s="950"/>
      <c r="D86" s="607"/>
      <c r="E86" s="605"/>
      <c r="F86" s="606"/>
    </row>
    <row r="87" spans="2:6" x14ac:dyDescent="0.2">
      <c r="B87" s="949" t="s">
        <v>498</v>
      </c>
      <c r="C87" s="950"/>
      <c r="D87" s="607"/>
      <c r="E87" s="605"/>
      <c r="F87" s="606"/>
    </row>
    <row r="88" spans="2:6" ht="13.5" thickBot="1" x14ac:dyDescent="0.25">
      <c r="B88" s="949" t="s">
        <v>511</v>
      </c>
      <c r="C88" s="950"/>
      <c r="D88" s="608"/>
      <c r="E88" s="605"/>
      <c r="F88" s="606"/>
    </row>
    <row r="89" spans="2:6" ht="13.5" thickBot="1" x14ac:dyDescent="0.25">
      <c r="B89" s="609"/>
      <c r="C89" s="610"/>
      <c r="D89" s="611"/>
      <c r="E89" s="586"/>
      <c r="F89" s="586"/>
    </row>
    <row r="90" spans="2:6" x14ac:dyDescent="0.2">
      <c r="B90" s="597" t="s">
        <v>205</v>
      </c>
      <c r="C90" s="598" t="s">
        <v>202</v>
      </c>
      <c r="D90" s="599"/>
      <c r="E90" s="513"/>
      <c r="F90" s="513"/>
    </row>
    <row r="91" spans="2:6" x14ac:dyDescent="0.2">
      <c r="B91" s="949" t="s">
        <v>191</v>
      </c>
      <c r="C91" s="950"/>
      <c r="D91" s="600"/>
      <c r="E91" s="601"/>
      <c r="F91" s="602"/>
    </row>
    <row r="92" spans="2:6" x14ac:dyDescent="0.2">
      <c r="B92" s="949" t="s">
        <v>203</v>
      </c>
      <c r="C92" s="950"/>
      <c r="D92" s="603"/>
      <c r="E92" s="601"/>
      <c r="F92" s="602"/>
    </row>
    <row r="93" spans="2:6" x14ac:dyDescent="0.2">
      <c r="B93" s="951" t="s">
        <v>204</v>
      </c>
      <c r="C93" s="950"/>
      <c r="D93" s="604"/>
      <c r="E93" s="605"/>
      <c r="F93" s="606"/>
    </row>
    <row r="94" spans="2:6" x14ac:dyDescent="0.2">
      <c r="B94" s="949" t="s">
        <v>189</v>
      </c>
      <c r="C94" s="950"/>
      <c r="D94" s="600"/>
      <c r="E94" s="605"/>
      <c r="F94" s="606"/>
    </row>
    <row r="95" spans="2:6" x14ac:dyDescent="0.2">
      <c r="B95" s="949" t="s">
        <v>190</v>
      </c>
      <c r="C95" s="950"/>
      <c r="D95" s="600"/>
      <c r="E95" s="605"/>
      <c r="F95" s="606"/>
    </row>
    <row r="96" spans="2:6" x14ac:dyDescent="0.2">
      <c r="B96" s="949" t="s">
        <v>496</v>
      </c>
      <c r="C96" s="950"/>
      <c r="D96" s="607"/>
      <c r="E96" s="605"/>
      <c r="F96" s="606"/>
    </row>
    <row r="97" spans="2:6" x14ac:dyDescent="0.2">
      <c r="B97" s="949" t="s">
        <v>498</v>
      </c>
      <c r="C97" s="950"/>
      <c r="D97" s="607"/>
      <c r="E97" s="605"/>
      <c r="F97" s="606"/>
    </row>
    <row r="98" spans="2:6" ht="13.5" thickBot="1" x14ac:dyDescent="0.25">
      <c r="B98" s="949" t="s">
        <v>511</v>
      </c>
      <c r="C98" s="950"/>
      <c r="D98" s="608"/>
      <c r="E98" s="605"/>
      <c r="F98" s="606"/>
    </row>
    <row r="99" spans="2:6" ht="13.5" thickBot="1" x14ac:dyDescent="0.25">
      <c r="B99" s="609"/>
      <c r="C99" s="610"/>
      <c r="D99" s="611"/>
      <c r="E99" s="586"/>
      <c r="F99" s="586"/>
    </row>
    <row r="100" spans="2:6" x14ac:dyDescent="0.2">
      <c r="B100" s="597" t="s">
        <v>206</v>
      </c>
      <c r="C100" s="598" t="s">
        <v>202</v>
      </c>
      <c r="D100" s="599"/>
      <c r="E100" s="513"/>
      <c r="F100" s="513"/>
    </row>
    <row r="101" spans="2:6" x14ac:dyDescent="0.2">
      <c r="B101" s="949" t="s">
        <v>191</v>
      </c>
      <c r="C101" s="950"/>
      <c r="D101" s="600"/>
      <c r="E101" s="601"/>
      <c r="F101" s="602"/>
    </row>
    <row r="102" spans="2:6" x14ac:dyDescent="0.2">
      <c r="B102" s="949" t="s">
        <v>203</v>
      </c>
      <c r="C102" s="950"/>
      <c r="D102" s="603"/>
      <c r="E102" s="601"/>
      <c r="F102" s="602"/>
    </row>
    <row r="103" spans="2:6" x14ac:dyDescent="0.2">
      <c r="B103" s="951" t="s">
        <v>204</v>
      </c>
      <c r="C103" s="950"/>
      <c r="D103" s="604"/>
      <c r="E103" s="605"/>
      <c r="F103" s="606"/>
    </row>
    <row r="104" spans="2:6" x14ac:dyDescent="0.2">
      <c r="B104" s="949" t="s">
        <v>189</v>
      </c>
      <c r="C104" s="950"/>
      <c r="D104" s="600"/>
      <c r="E104" s="605"/>
      <c r="F104" s="606"/>
    </row>
    <row r="105" spans="2:6" x14ac:dyDescent="0.2">
      <c r="B105" s="949" t="s">
        <v>190</v>
      </c>
      <c r="C105" s="950"/>
      <c r="D105" s="600"/>
      <c r="E105" s="605"/>
      <c r="F105" s="606"/>
    </row>
    <row r="106" spans="2:6" x14ac:dyDescent="0.2">
      <c r="B106" s="949" t="s">
        <v>496</v>
      </c>
      <c r="C106" s="950"/>
      <c r="D106" s="607"/>
      <c r="E106" s="605"/>
      <c r="F106" s="606"/>
    </row>
    <row r="107" spans="2:6" x14ac:dyDescent="0.2">
      <c r="B107" s="949" t="s">
        <v>498</v>
      </c>
      <c r="C107" s="950"/>
      <c r="D107" s="607"/>
      <c r="E107" s="605"/>
      <c r="F107" s="606"/>
    </row>
    <row r="108" spans="2:6" ht="13.5" thickBot="1" x14ac:dyDescent="0.25">
      <c r="B108" s="952" t="s">
        <v>511</v>
      </c>
      <c r="C108" s="953"/>
      <c r="D108" s="608"/>
      <c r="E108" s="605"/>
      <c r="F108" s="606"/>
    </row>
    <row r="109" spans="2:6" ht="13.5" thickBot="1" x14ac:dyDescent="0.25">
      <c r="B109" s="612"/>
      <c r="C109" s="613"/>
      <c r="D109" s="614"/>
      <c r="E109" s="586"/>
      <c r="F109" s="586"/>
    </row>
    <row r="110" spans="2:6" x14ac:dyDescent="0.2">
      <c r="B110" s="597" t="s">
        <v>207</v>
      </c>
      <c r="C110" s="598" t="s">
        <v>202</v>
      </c>
      <c r="D110" s="599"/>
      <c r="E110" s="513"/>
      <c r="F110" s="513"/>
    </row>
    <row r="111" spans="2:6" x14ac:dyDescent="0.2">
      <c r="B111" s="949" t="s">
        <v>191</v>
      </c>
      <c r="C111" s="950"/>
      <c r="D111" s="600"/>
      <c r="E111" s="601"/>
      <c r="F111" s="602"/>
    </row>
    <row r="112" spans="2:6" x14ac:dyDescent="0.2">
      <c r="B112" s="949" t="s">
        <v>203</v>
      </c>
      <c r="C112" s="950"/>
      <c r="D112" s="603"/>
      <c r="E112" s="601"/>
      <c r="F112" s="602"/>
    </row>
    <row r="113" spans="2:6" x14ac:dyDescent="0.2">
      <c r="B113" s="951" t="s">
        <v>204</v>
      </c>
      <c r="C113" s="950"/>
      <c r="D113" s="604"/>
      <c r="E113" s="605"/>
      <c r="F113" s="606"/>
    </row>
    <row r="114" spans="2:6" x14ac:dyDescent="0.2">
      <c r="B114" s="949" t="s">
        <v>189</v>
      </c>
      <c r="C114" s="950"/>
      <c r="D114" s="600"/>
      <c r="E114" s="605"/>
      <c r="F114" s="606"/>
    </row>
    <row r="115" spans="2:6" x14ac:dyDescent="0.2">
      <c r="B115" s="949" t="s">
        <v>190</v>
      </c>
      <c r="C115" s="950"/>
      <c r="D115" s="600"/>
      <c r="E115" s="605"/>
      <c r="F115" s="606"/>
    </row>
    <row r="116" spans="2:6" x14ac:dyDescent="0.2">
      <c r="B116" s="949" t="s">
        <v>496</v>
      </c>
      <c r="C116" s="950"/>
      <c r="D116" s="607"/>
      <c r="E116" s="605"/>
      <c r="F116" s="606"/>
    </row>
    <row r="117" spans="2:6" x14ac:dyDescent="0.2">
      <c r="B117" s="949" t="s">
        <v>498</v>
      </c>
      <c r="C117" s="950"/>
      <c r="D117" s="607"/>
      <c r="E117" s="605"/>
      <c r="F117" s="606"/>
    </row>
    <row r="118" spans="2:6" ht="13.5" thickBot="1" x14ac:dyDescent="0.25">
      <c r="B118" s="952" t="s">
        <v>511</v>
      </c>
      <c r="C118" s="953"/>
      <c r="D118" s="608"/>
      <c r="E118" s="605"/>
      <c r="F118" s="606"/>
    </row>
    <row r="119" spans="2:6" ht="13.5" thickBot="1" x14ac:dyDescent="0.25">
      <c r="B119" s="612"/>
      <c r="C119" s="613"/>
      <c r="D119" s="614"/>
      <c r="E119" s="586"/>
      <c r="F119" s="586"/>
    </row>
    <row r="120" spans="2:6" x14ac:dyDescent="0.2">
      <c r="B120" s="597" t="s">
        <v>208</v>
      </c>
      <c r="C120" s="598" t="s">
        <v>202</v>
      </c>
      <c r="D120" s="599"/>
      <c r="E120" s="513"/>
      <c r="F120" s="513"/>
    </row>
    <row r="121" spans="2:6" x14ac:dyDescent="0.2">
      <c r="B121" s="949" t="s">
        <v>191</v>
      </c>
      <c r="C121" s="950"/>
      <c r="D121" s="600"/>
      <c r="E121" s="601"/>
      <c r="F121" s="602"/>
    </row>
    <row r="122" spans="2:6" x14ac:dyDescent="0.2">
      <c r="B122" s="949" t="s">
        <v>203</v>
      </c>
      <c r="C122" s="950"/>
      <c r="D122" s="603"/>
      <c r="E122" s="601"/>
      <c r="F122" s="602"/>
    </row>
    <row r="123" spans="2:6" x14ac:dyDescent="0.2">
      <c r="B123" s="951" t="s">
        <v>204</v>
      </c>
      <c r="C123" s="950"/>
      <c r="D123" s="604"/>
      <c r="E123" s="605"/>
      <c r="F123" s="606"/>
    </row>
    <row r="124" spans="2:6" x14ac:dyDescent="0.2">
      <c r="B124" s="949" t="s">
        <v>189</v>
      </c>
      <c r="C124" s="950"/>
      <c r="D124" s="600"/>
      <c r="E124" s="605"/>
      <c r="F124" s="606"/>
    </row>
    <row r="125" spans="2:6" x14ac:dyDescent="0.2">
      <c r="B125" s="949" t="s">
        <v>190</v>
      </c>
      <c r="C125" s="950"/>
      <c r="D125" s="600"/>
      <c r="E125" s="605"/>
      <c r="F125" s="606"/>
    </row>
    <row r="126" spans="2:6" x14ac:dyDescent="0.2">
      <c r="B126" s="949" t="s">
        <v>496</v>
      </c>
      <c r="C126" s="950"/>
      <c r="D126" s="607"/>
      <c r="E126" s="605"/>
      <c r="F126" s="606"/>
    </row>
    <row r="127" spans="2:6" x14ac:dyDescent="0.2">
      <c r="B127" s="949" t="s">
        <v>498</v>
      </c>
      <c r="C127" s="950"/>
      <c r="D127" s="607"/>
      <c r="E127" s="605"/>
      <c r="F127" s="606"/>
    </row>
    <row r="128" spans="2:6" ht="13.5" thickBot="1" x14ac:dyDescent="0.25">
      <c r="B128" s="952" t="s">
        <v>511</v>
      </c>
      <c r="C128" s="953"/>
      <c r="D128" s="608"/>
      <c r="E128" s="605"/>
      <c r="F128" s="606"/>
    </row>
    <row r="129" spans="2:6" ht="13.5" thickBot="1" x14ac:dyDescent="0.25">
      <c r="B129" s="615"/>
      <c r="C129" s="616"/>
      <c r="D129" s="617"/>
      <c r="E129" s="618"/>
      <c r="F129" s="606"/>
    </row>
    <row r="130" spans="2:6" x14ac:dyDescent="0.2">
      <c r="B130" s="597" t="s">
        <v>209</v>
      </c>
      <c r="C130" s="598" t="s">
        <v>202</v>
      </c>
      <c r="D130" s="599"/>
      <c r="E130" s="513"/>
      <c r="F130" s="513"/>
    </row>
    <row r="131" spans="2:6" x14ac:dyDescent="0.2">
      <c r="B131" s="949" t="s">
        <v>191</v>
      </c>
      <c r="C131" s="950"/>
      <c r="D131" s="600"/>
      <c r="E131" s="601"/>
      <c r="F131" s="602"/>
    </row>
    <row r="132" spans="2:6" x14ac:dyDescent="0.2">
      <c r="B132" s="949" t="s">
        <v>203</v>
      </c>
      <c r="C132" s="950"/>
      <c r="D132" s="603"/>
      <c r="E132" s="601"/>
      <c r="F132" s="602"/>
    </row>
    <row r="133" spans="2:6" x14ac:dyDescent="0.2">
      <c r="B133" s="951" t="s">
        <v>204</v>
      </c>
      <c r="C133" s="950"/>
      <c r="D133" s="604"/>
      <c r="E133" s="605"/>
      <c r="F133" s="606"/>
    </row>
    <row r="134" spans="2:6" x14ac:dyDescent="0.2">
      <c r="B134" s="949" t="s">
        <v>189</v>
      </c>
      <c r="C134" s="950"/>
      <c r="D134" s="600"/>
      <c r="E134" s="605"/>
      <c r="F134" s="606"/>
    </row>
    <row r="135" spans="2:6" x14ac:dyDescent="0.2">
      <c r="B135" s="949" t="s">
        <v>190</v>
      </c>
      <c r="C135" s="950"/>
      <c r="D135" s="600"/>
      <c r="E135" s="605"/>
      <c r="F135" s="606"/>
    </row>
    <row r="136" spans="2:6" x14ac:dyDescent="0.2">
      <c r="B136" s="949" t="s">
        <v>496</v>
      </c>
      <c r="C136" s="950"/>
      <c r="D136" s="607"/>
      <c r="E136" s="605"/>
      <c r="F136" s="606"/>
    </row>
    <row r="137" spans="2:6" x14ac:dyDescent="0.2">
      <c r="B137" s="949" t="s">
        <v>498</v>
      </c>
      <c r="C137" s="950"/>
      <c r="D137" s="607"/>
      <c r="E137" s="605"/>
      <c r="F137" s="606"/>
    </row>
    <row r="138" spans="2:6" ht="13.5" thickBot="1" x14ac:dyDescent="0.25">
      <c r="B138" s="952" t="s">
        <v>511</v>
      </c>
      <c r="C138" s="953"/>
      <c r="D138" s="608"/>
      <c r="E138" s="605"/>
      <c r="F138" s="606"/>
    </row>
    <row r="139" spans="2:6" ht="13.5" thickBot="1" x14ac:dyDescent="0.25">
      <c r="B139" s="612"/>
      <c r="C139" s="613"/>
      <c r="D139" s="614"/>
      <c r="E139" s="586"/>
      <c r="F139" s="586"/>
    </row>
    <row r="140" spans="2:6" x14ac:dyDescent="0.2">
      <c r="B140" s="597" t="s">
        <v>210</v>
      </c>
      <c r="C140" s="598" t="s">
        <v>202</v>
      </c>
      <c r="D140" s="599"/>
      <c r="E140" s="513"/>
      <c r="F140" s="513"/>
    </row>
    <row r="141" spans="2:6" x14ac:dyDescent="0.2">
      <c r="B141" s="949" t="s">
        <v>191</v>
      </c>
      <c r="C141" s="950"/>
      <c r="D141" s="600"/>
      <c r="E141" s="601"/>
      <c r="F141" s="602"/>
    </row>
    <row r="142" spans="2:6" x14ac:dyDescent="0.2">
      <c r="B142" s="949" t="s">
        <v>203</v>
      </c>
      <c r="C142" s="950"/>
      <c r="D142" s="603"/>
      <c r="E142" s="601"/>
      <c r="F142" s="602"/>
    </row>
    <row r="143" spans="2:6" x14ac:dyDescent="0.2">
      <c r="B143" s="951" t="s">
        <v>204</v>
      </c>
      <c r="C143" s="950"/>
      <c r="D143" s="604"/>
      <c r="E143" s="605"/>
      <c r="F143" s="606"/>
    </row>
    <row r="144" spans="2:6" x14ac:dyDescent="0.2">
      <c r="B144" s="949" t="s">
        <v>189</v>
      </c>
      <c r="C144" s="950"/>
      <c r="D144" s="600"/>
      <c r="E144" s="605"/>
      <c r="F144" s="606"/>
    </row>
    <row r="145" spans="2:6" x14ac:dyDescent="0.2">
      <c r="B145" s="949" t="s">
        <v>190</v>
      </c>
      <c r="C145" s="950"/>
      <c r="D145" s="600"/>
      <c r="E145" s="605"/>
      <c r="F145" s="606"/>
    </row>
    <row r="146" spans="2:6" x14ac:dyDescent="0.2">
      <c r="B146" s="949" t="s">
        <v>496</v>
      </c>
      <c r="C146" s="950"/>
      <c r="D146" s="607"/>
      <c r="E146" s="605"/>
      <c r="F146" s="606"/>
    </row>
    <row r="147" spans="2:6" x14ac:dyDescent="0.2">
      <c r="B147" s="949" t="s">
        <v>498</v>
      </c>
      <c r="C147" s="950"/>
      <c r="D147" s="607"/>
      <c r="E147" s="605"/>
      <c r="F147" s="606"/>
    </row>
    <row r="148" spans="2:6" ht="13.5" thickBot="1" x14ac:dyDescent="0.25">
      <c r="B148" s="952" t="s">
        <v>511</v>
      </c>
      <c r="C148" s="953"/>
      <c r="D148" s="608"/>
      <c r="E148" s="605"/>
      <c r="F148" s="606"/>
    </row>
    <row r="149" spans="2:6" ht="13.5" thickBot="1" x14ac:dyDescent="0.25">
      <c r="B149" s="586"/>
      <c r="C149" s="586"/>
      <c r="D149" s="586"/>
      <c r="E149" s="586"/>
      <c r="F149" s="586"/>
    </row>
    <row r="150" spans="2:6" s="508" customFormat="1" ht="18.75" customHeight="1" thickBot="1" x14ac:dyDescent="0.25">
      <c r="B150" s="882" t="s">
        <v>211</v>
      </c>
      <c r="C150" s="883"/>
      <c r="D150" s="884"/>
      <c r="E150" s="575"/>
      <c r="F150" s="575"/>
    </row>
    <row r="151" spans="2:6" ht="13.5" customHeight="1" thickBot="1" x14ac:dyDescent="0.25">
      <c r="B151" s="577"/>
      <c r="C151" s="578"/>
      <c r="D151" s="596" t="str">
        <f>D6</f>
        <v>Current Year () Values</v>
      </c>
      <c r="E151" s="579"/>
      <c r="F151" s="579"/>
    </row>
    <row r="152" spans="2:6" ht="13.5" thickBot="1" x14ac:dyDescent="0.25">
      <c r="B152" s="580"/>
      <c r="C152" s="581"/>
      <c r="D152" s="619"/>
      <c r="E152" s="576"/>
      <c r="F152" s="576"/>
    </row>
    <row r="153" spans="2:6" ht="14.25" customHeight="1" x14ac:dyDescent="0.2">
      <c r="B153" s="597" t="s">
        <v>212</v>
      </c>
      <c r="C153" s="598" t="s">
        <v>202</v>
      </c>
      <c r="D153" s="599"/>
      <c r="E153" s="513"/>
      <c r="F153" s="513"/>
    </row>
    <row r="154" spans="2:6" x14ac:dyDescent="0.2">
      <c r="B154" s="949" t="s">
        <v>191</v>
      </c>
      <c r="C154" s="950"/>
      <c r="D154" s="600"/>
      <c r="E154" s="601"/>
      <c r="F154" s="602"/>
    </row>
    <row r="155" spans="2:6" x14ac:dyDescent="0.2">
      <c r="B155" s="949" t="s">
        <v>203</v>
      </c>
      <c r="C155" s="950"/>
      <c r="D155" s="603"/>
      <c r="E155" s="601"/>
      <c r="F155" s="602"/>
    </row>
    <row r="156" spans="2:6" x14ac:dyDescent="0.2">
      <c r="B156" s="951" t="s">
        <v>204</v>
      </c>
      <c r="C156" s="950"/>
      <c r="D156" s="604"/>
      <c r="E156" s="605"/>
      <c r="F156" s="606"/>
    </row>
    <row r="157" spans="2:6" x14ac:dyDescent="0.2">
      <c r="B157" s="949" t="s">
        <v>189</v>
      </c>
      <c r="C157" s="950"/>
      <c r="D157" s="600"/>
      <c r="E157" s="605"/>
      <c r="F157" s="606"/>
    </row>
    <row r="158" spans="2:6" x14ac:dyDescent="0.2">
      <c r="B158" s="949" t="s">
        <v>190</v>
      </c>
      <c r="C158" s="950"/>
      <c r="D158" s="600"/>
      <c r="E158" s="605"/>
      <c r="F158" s="606"/>
    </row>
    <row r="159" spans="2:6" x14ac:dyDescent="0.2">
      <c r="B159" s="949" t="s">
        <v>496</v>
      </c>
      <c r="C159" s="950"/>
      <c r="D159" s="607"/>
      <c r="E159" s="605"/>
      <c r="F159" s="606"/>
    </row>
    <row r="160" spans="2:6" x14ac:dyDescent="0.2">
      <c r="B160" s="949" t="s">
        <v>498</v>
      </c>
      <c r="C160" s="950"/>
      <c r="D160" s="607"/>
      <c r="E160" s="605"/>
      <c r="F160" s="606"/>
    </row>
    <row r="161" spans="2:6" ht="13.5" thickBot="1" x14ac:dyDescent="0.25">
      <c r="B161" s="952" t="s">
        <v>511</v>
      </c>
      <c r="C161" s="953"/>
      <c r="D161" s="608"/>
      <c r="E161" s="605"/>
      <c r="F161" s="606"/>
    </row>
    <row r="162" spans="2:6" ht="13.5" thickBot="1" x14ac:dyDescent="0.25">
      <c r="B162" s="612"/>
      <c r="C162" s="613"/>
      <c r="D162" s="614"/>
      <c r="E162" s="586"/>
      <c r="F162" s="586"/>
    </row>
    <row r="163" spans="2:6" ht="14.25" customHeight="1" x14ac:dyDescent="0.2">
      <c r="B163" s="597" t="s">
        <v>213</v>
      </c>
      <c r="C163" s="598" t="s">
        <v>202</v>
      </c>
      <c r="D163" s="599"/>
      <c r="E163" s="513"/>
      <c r="F163" s="513"/>
    </row>
    <row r="164" spans="2:6" x14ac:dyDescent="0.2">
      <c r="B164" s="949" t="s">
        <v>191</v>
      </c>
      <c r="C164" s="950"/>
      <c r="D164" s="600"/>
      <c r="E164" s="601"/>
      <c r="F164" s="602"/>
    </row>
    <row r="165" spans="2:6" x14ac:dyDescent="0.2">
      <c r="B165" s="949" t="s">
        <v>203</v>
      </c>
      <c r="C165" s="950"/>
      <c r="D165" s="603"/>
      <c r="E165" s="601"/>
      <c r="F165" s="602"/>
    </row>
    <row r="166" spans="2:6" x14ac:dyDescent="0.2">
      <c r="B166" s="951" t="s">
        <v>204</v>
      </c>
      <c r="C166" s="950"/>
      <c r="D166" s="604"/>
      <c r="E166" s="605"/>
      <c r="F166" s="606"/>
    </row>
    <row r="167" spans="2:6" x14ac:dyDescent="0.2">
      <c r="B167" s="949" t="s">
        <v>189</v>
      </c>
      <c r="C167" s="950"/>
      <c r="D167" s="600"/>
      <c r="E167" s="605"/>
      <c r="F167" s="606"/>
    </row>
    <row r="168" spans="2:6" x14ac:dyDescent="0.2">
      <c r="B168" s="949" t="s">
        <v>190</v>
      </c>
      <c r="C168" s="950"/>
      <c r="D168" s="600"/>
      <c r="E168" s="605"/>
      <c r="F168" s="606"/>
    </row>
    <row r="169" spans="2:6" x14ac:dyDescent="0.2">
      <c r="B169" s="949" t="s">
        <v>496</v>
      </c>
      <c r="C169" s="950"/>
      <c r="D169" s="607"/>
      <c r="E169" s="605"/>
      <c r="F169" s="606"/>
    </row>
    <row r="170" spans="2:6" x14ac:dyDescent="0.2">
      <c r="B170" s="949" t="s">
        <v>498</v>
      </c>
      <c r="C170" s="950"/>
      <c r="D170" s="607"/>
      <c r="E170" s="605"/>
      <c r="F170" s="606"/>
    </row>
    <row r="171" spans="2:6" ht="13.5" thickBot="1" x14ac:dyDescent="0.25">
      <c r="B171" s="952" t="s">
        <v>511</v>
      </c>
      <c r="C171" s="953"/>
      <c r="D171" s="608"/>
      <c r="E171" s="605"/>
      <c r="F171" s="606"/>
    </row>
    <row r="172" spans="2:6" ht="13.5" thickBot="1" x14ac:dyDescent="0.25">
      <c r="B172" s="612"/>
      <c r="C172" s="613"/>
      <c r="D172" s="614"/>
      <c r="E172" s="586"/>
      <c r="F172" s="586"/>
    </row>
    <row r="173" spans="2:6" ht="14.25" customHeight="1" x14ac:dyDescent="0.2">
      <c r="B173" s="597" t="s">
        <v>214</v>
      </c>
      <c r="C173" s="598" t="s">
        <v>202</v>
      </c>
      <c r="D173" s="599"/>
      <c r="E173" s="513"/>
      <c r="F173" s="513"/>
    </row>
    <row r="174" spans="2:6" x14ac:dyDescent="0.2">
      <c r="B174" s="949" t="s">
        <v>191</v>
      </c>
      <c r="C174" s="950"/>
      <c r="D174" s="600"/>
      <c r="E174" s="601"/>
      <c r="F174" s="602"/>
    </row>
    <row r="175" spans="2:6" x14ac:dyDescent="0.2">
      <c r="B175" s="949" t="s">
        <v>203</v>
      </c>
      <c r="C175" s="950"/>
      <c r="D175" s="603"/>
      <c r="E175" s="601"/>
      <c r="F175" s="602"/>
    </row>
    <row r="176" spans="2:6" x14ac:dyDescent="0.2">
      <c r="B176" s="951" t="s">
        <v>204</v>
      </c>
      <c r="C176" s="950"/>
      <c r="D176" s="604"/>
      <c r="E176" s="605"/>
      <c r="F176" s="606"/>
    </row>
    <row r="177" spans="2:6" x14ac:dyDescent="0.2">
      <c r="B177" s="949" t="s">
        <v>189</v>
      </c>
      <c r="C177" s="950"/>
      <c r="D177" s="600"/>
      <c r="E177" s="605"/>
      <c r="F177" s="606"/>
    </row>
    <row r="178" spans="2:6" x14ac:dyDescent="0.2">
      <c r="B178" s="949" t="s">
        <v>190</v>
      </c>
      <c r="C178" s="950"/>
      <c r="D178" s="600"/>
      <c r="E178" s="605"/>
      <c r="F178" s="606"/>
    </row>
    <row r="179" spans="2:6" x14ac:dyDescent="0.2">
      <c r="B179" s="949" t="s">
        <v>496</v>
      </c>
      <c r="C179" s="950"/>
      <c r="D179" s="607"/>
      <c r="E179" s="605"/>
      <c r="F179" s="606"/>
    </row>
    <row r="180" spans="2:6" x14ac:dyDescent="0.2">
      <c r="B180" s="949" t="s">
        <v>498</v>
      </c>
      <c r="C180" s="950"/>
      <c r="D180" s="607"/>
      <c r="E180" s="605"/>
      <c r="F180" s="606"/>
    </row>
    <row r="181" spans="2:6" ht="13.5" thickBot="1" x14ac:dyDescent="0.25">
      <c r="B181" s="952" t="s">
        <v>511</v>
      </c>
      <c r="C181" s="953"/>
      <c r="D181" s="608"/>
      <c r="E181" s="605"/>
      <c r="F181" s="606"/>
    </row>
    <row r="182" spans="2:6" ht="13.5" thickBot="1" x14ac:dyDescent="0.25">
      <c r="B182" s="612"/>
      <c r="C182" s="613"/>
      <c r="D182" s="614"/>
      <c r="E182" s="586"/>
      <c r="F182" s="586"/>
    </row>
    <row r="183" spans="2:6" ht="14.25" customHeight="1" x14ac:dyDescent="0.2">
      <c r="B183" s="597" t="s">
        <v>215</v>
      </c>
      <c r="C183" s="598" t="s">
        <v>202</v>
      </c>
      <c r="D183" s="599"/>
      <c r="E183" s="513"/>
      <c r="F183" s="513"/>
    </row>
    <row r="184" spans="2:6" x14ac:dyDescent="0.2">
      <c r="B184" s="949" t="s">
        <v>191</v>
      </c>
      <c r="C184" s="950"/>
      <c r="D184" s="600"/>
      <c r="E184" s="601"/>
      <c r="F184" s="602"/>
    </row>
    <row r="185" spans="2:6" x14ac:dyDescent="0.2">
      <c r="B185" s="949" t="s">
        <v>203</v>
      </c>
      <c r="C185" s="950"/>
      <c r="D185" s="603"/>
      <c r="E185" s="601"/>
      <c r="F185" s="602"/>
    </row>
    <row r="186" spans="2:6" x14ac:dyDescent="0.2">
      <c r="B186" s="951" t="s">
        <v>204</v>
      </c>
      <c r="C186" s="950"/>
      <c r="D186" s="604"/>
      <c r="E186" s="605"/>
      <c r="F186" s="606"/>
    </row>
    <row r="187" spans="2:6" x14ac:dyDescent="0.2">
      <c r="B187" s="949" t="s">
        <v>189</v>
      </c>
      <c r="C187" s="950"/>
      <c r="D187" s="600"/>
      <c r="E187" s="605"/>
      <c r="F187" s="606"/>
    </row>
    <row r="188" spans="2:6" x14ac:dyDescent="0.2">
      <c r="B188" s="949" t="s">
        <v>190</v>
      </c>
      <c r="C188" s="950"/>
      <c r="D188" s="600"/>
      <c r="E188" s="605"/>
      <c r="F188" s="606"/>
    </row>
    <row r="189" spans="2:6" x14ac:dyDescent="0.2">
      <c r="B189" s="949" t="s">
        <v>496</v>
      </c>
      <c r="C189" s="950"/>
      <c r="D189" s="607"/>
      <c r="E189" s="605"/>
      <c r="F189" s="606"/>
    </row>
    <row r="190" spans="2:6" x14ac:dyDescent="0.2">
      <c r="B190" s="949" t="s">
        <v>498</v>
      </c>
      <c r="C190" s="950"/>
      <c r="D190" s="607"/>
      <c r="E190" s="605"/>
      <c r="F190" s="606"/>
    </row>
    <row r="191" spans="2:6" ht="13.5" thickBot="1" x14ac:dyDescent="0.25">
      <c r="B191" s="952" t="s">
        <v>511</v>
      </c>
      <c r="C191" s="953"/>
      <c r="D191" s="608"/>
      <c r="E191" s="605"/>
      <c r="F191" s="606"/>
    </row>
    <row r="192" spans="2:6" ht="13.5" thickBot="1" x14ac:dyDescent="0.25">
      <c r="B192" s="612"/>
      <c r="C192" s="613"/>
      <c r="D192" s="614"/>
      <c r="E192" s="586"/>
      <c r="F192" s="586"/>
    </row>
    <row r="193" spans="2:6" ht="14.25" customHeight="1" x14ac:dyDescent="0.2">
      <c r="B193" s="597" t="s">
        <v>216</v>
      </c>
      <c r="C193" s="598" t="s">
        <v>202</v>
      </c>
      <c r="D193" s="599"/>
      <c r="E193" s="513"/>
      <c r="F193" s="513"/>
    </row>
    <row r="194" spans="2:6" x14ac:dyDescent="0.2">
      <c r="B194" s="949" t="s">
        <v>191</v>
      </c>
      <c r="C194" s="950"/>
      <c r="D194" s="600"/>
      <c r="E194" s="601"/>
      <c r="F194" s="602"/>
    </row>
    <row r="195" spans="2:6" x14ac:dyDescent="0.2">
      <c r="B195" s="949" t="s">
        <v>203</v>
      </c>
      <c r="C195" s="950"/>
      <c r="D195" s="603"/>
      <c r="E195" s="601"/>
      <c r="F195" s="602"/>
    </row>
    <row r="196" spans="2:6" x14ac:dyDescent="0.2">
      <c r="B196" s="951" t="s">
        <v>204</v>
      </c>
      <c r="C196" s="950"/>
      <c r="D196" s="604"/>
      <c r="E196" s="605"/>
      <c r="F196" s="606"/>
    </row>
    <row r="197" spans="2:6" x14ac:dyDescent="0.2">
      <c r="B197" s="949" t="s">
        <v>189</v>
      </c>
      <c r="C197" s="950"/>
      <c r="D197" s="600"/>
      <c r="E197" s="605"/>
      <c r="F197" s="606"/>
    </row>
    <row r="198" spans="2:6" x14ac:dyDescent="0.2">
      <c r="B198" s="949" t="s">
        <v>190</v>
      </c>
      <c r="C198" s="950"/>
      <c r="D198" s="600"/>
      <c r="E198" s="605"/>
      <c r="F198" s="606"/>
    </row>
    <row r="199" spans="2:6" x14ac:dyDescent="0.2">
      <c r="B199" s="949" t="s">
        <v>496</v>
      </c>
      <c r="C199" s="950"/>
      <c r="D199" s="607"/>
      <c r="E199" s="605"/>
      <c r="F199" s="606"/>
    </row>
    <row r="200" spans="2:6" x14ac:dyDescent="0.2">
      <c r="B200" s="949" t="s">
        <v>498</v>
      </c>
      <c r="C200" s="950"/>
      <c r="D200" s="607"/>
      <c r="E200" s="605"/>
      <c r="F200" s="606"/>
    </row>
    <row r="201" spans="2:6" ht="13.5" thickBot="1" x14ac:dyDescent="0.25">
      <c r="B201" s="952" t="s">
        <v>511</v>
      </c>
      <c r="C201" s="953"/>
      <c r="D201" s="608"/>
      <c r="E201" s="605"/>
      <c r="F201" s="606"/>
    </row>
    <row r="202" spans="2:6" ht="13.5" thickBot="1" x14ac:dyDescent="0.25">
      <c r="B202" s="615"/>
      <c r="C202" s="616"/>
      <c r="D202" s="617"/>
      <c r="E202" s="618"/>
      <c r="F202" s="606"/>
    </row>
    <row r="203" spans="2:6" ht="14.25" customHeight="1" x14ac:dyDescent="0.2">
      <c r="B203" s="597" t="s">
        <v>217</v>
      </c>
      <c r="C203" s="598" t="s">
        <v>202</v>
      </c>
      <c r="D203" s="599"/>
      <c r="E203" s="513"/>
      <c r="F203" s="513"/>
    </row>
    <row r="204" spans="2:6" x14ac:dyDescent="0.2">
      <c r="B204" s="949" t="s">
        <v>191</v>
      </c>
      <c r="C204" s="950"/>
      <c r="D204" s="600"/>
      <c r="E204" s="601"/>
      <c r="F204" s="602"/>
    </row>
    <row r="205" spans="2:6" x14ac:dyDescent="0.2">
      <c r="B205" s="949" t="s">
        <v>203</v>
      </c>
      <c r="C205" s="950"/>
      <c r="D205" s="603"/>
      <c r="E205" s="601"/>
      <c r="F205" s="602"/>
    </row>
    <row r="206" spans="2:6" x14ac:dyDescent="0.2">
      <c r="B206" s="951" t="s">
        <v>204</v>
      </c>
      <c r="C206" s="950"/>
      <c r="D206" s="604"/>
      <c r="E206" s="605"/>
      <c r="F206" s="606"/>
    </row>
    <row r="207" spans="2:6" x14ac:dyDescent="0.2">
      <c r="B207" s="949" t="s">
        <v>189</v>
      </c>
      <c r="C207" s="950"/>
      <c r="D207" s="600"/>
      <c r="E207" s="605"/>
      <c r="F207" s="606"/>
    </row>
    <row r="208" spans="2:6" x14ac:dyDescent="0.2">
      <c r="B208" s="949" t="s">
        <v>190</v>
      </c>
      <c r="C208" s="950"/>
      <c r="D208" s="600"/>
      <c r="E208" s="605"/>
      <c r="F208" s="606"/>
    </row>
    <row r="209" spans="2:6" x14ac:dyDescent="0.2">
      <c r="B209" s="949" t="s">
        <v>496</v>
      </c>
      <c r="C209" s="950"/>
      <c r="D209" s="607"/>
      <c r="E209" s="605"/>
      <c r="F209" s="606"/>
    </row>
    <row r="210" spans="2:6" x14ac:dyDescent="0.2">
      <c r="B210" s="949" t="s">
        <v>498</v>
      </c>
      <c r="C210" s="950"/>
      <c r="D210" s="607"/>
      <c r="E210" s="605"/>
      <c r="F210" s="606"/>
    </row>
    <row r="211" spans="2:6" ht="13.5" thickBot="1" x14ac:dyDescent="0.25">
      <c r="B211" s="952" t="s">
        <v>511</v>
      </c>
      <c r="C211" s="953"/>
      <c r="D211" s="608"/>
      <c r="E211" s="605"/>
      <c r="F211" s="606"/>
    </row>
    <row r="212" spans="2:6" ht="13.5" thickBot="1" x14ac:dyDescent="0.25">
      <c r="B212" s="615"/>
      <c r="C212" s="616"/>
      <c r="D212" s="617"/>
      <c r="E212" s="618"/>
      <c r="F212" s="606"/>
    </row>
    <row r="213" spans="2:6" ht="14.25" customHeight="1" x14ac:dyDescent="0.2">
      <c r="B213" s="597" t="s">
        <v>218</v>
      </c>
      <c r="C213" s="598" t="s">
        <v>202</v>
      </c>
      <c r="D213" s="599"/>
      <c r="E213" s="513"/>
      <c r="F213" s="513"/>
    </row>
    <row r="214" spans="2:6" x14ac:dyDescent="0.2">
      <c r="B214" s="949" t="s">
        <v>191</v>
      </c>
      <c r="C214" s="950"/>
      <c r="D214" s="600"/>
      <c r="E214" s="601"/>
      <c r="F214" s="602"/>
    </row>
    <row r="215" spans="2:6" x14ac:dyDescent="0.2">
      <c r="B215" s="949" t="s">
        <v>203</v>
      </c>
      <c r="C215" s="950"/>
      <c r="D215" s="603"/>
      <c r="E215" s="601"/>
      <c r="F215" s="602"/>
    </row>
    <row r="216" spans="2:6" x14ac:dyDescent="0.2">
      <c r="B216" s="951" t="s">
        <v>204</v>
      </c>
      <c r="C216" s="950"/>
      <c r="D216" s="604"/>
      <c r="E216" s="605"/>
      <c r="F216" s="606"/>
    </row>
    <row r="217" spans="2:6" x14ac:dyDescent="0.2">
      <c r="B217" s="949" t="s">
        <v>189</v>
      </c>
      <c r="C217" s="950"/>
      <c r="D217" s="600"/>
      <c r="E217" s="605"/>
      <c r="F217" s="606"/>
    </row>
    <row r="218" spans="2:6" x14ac:dyDescent="0.2">
      <c r="B218" s="949" t="s">
        <v>190</v>
      </c>
      <c r="C218" s="950"/>
      <c r="D218" s="600"/>
      <c r="E218" s="605"/>
      <c r="F218" s="606"/>
    </row>
    <row r="219" spans="2:6" x14ac:dyDescent="0.2">
      <c r="B219" s="949" t="s">
        <v>496</v>
      </c>
      <c r="C219" s="950"/>
      <c r="D219" s="607"/>
      <c r="E219" s="605"/>
      <c r="F219" s="606"/>
    </row>
    <row r="220" spans="2:6" x14ac:dyDescent="0.2">
      <c r="B220" s="949" t="s">
        <v>498</v>
      </c>
      <c r="C220" s="950"/>
      <c r="D220" s="607"/>
      <c r="E220" s="605"/>
      <c r="F220" s="606"/>
    </row>
    <row r="221" spans="2:6" ht="13.5" thickBot="1" x14ac:dyDescent="0.25">
      <c r="B221" s="952" t="s">
        <v>511</v>
      </c>
      <c r="C221" s="953"/>
      <c r="D221" s="608"/>
      <c r="E221" s="605"/>
      <c r="F221" s="606"/>
    </row>
    <row r="222" spans="2:6" ht="13.5" thickBot="1" x14ac:dyDescent="0.25">
      <c r="B222" s="620"/>
      <c r="C222" s="586"/>
      <c r="D222" s="592"/>
      <c r="E222" s="586"/>
      <c r="F222" s="586"/>
    </row>
    <row r="223" spans="2:6" ht="14.25" customHeight="1" x14ac:dyDescent="0.2">
      <c r="B223" s="597" t="s">
        <v>220</v>
      </c>
      <c r="C223" s="598" t="s">
        <v>202</v>
      </c>
      <c r="D223" s="599"/>
      <c r="E223" s="513"/>
      <c r="F223" s="513"/>
    </row>
    <row r="224" spans="2:6" x14ac:dyDescent="0.2">
      <c r="B224" s="949" t="s">
        <v>191</v>
      </c>
      <c r="C224" s="950"/>
      <c r="D224" s="600"/>
      <c r="E224" s="601"/>
      <c r="F224" s="602"/>
    </row>
    <row r="225" spans="2:6" x14ac:dyDescent="0.2">
      <c r="B225" s="949" t="s">
        <v>203</v>
      </c>
      <c r="C225" s="950"/>
      <c r="D225" s="603"/>
      <c r="E225" s="601"/>
      <c r="F225" s="602"/>
    </row>
    <row r="226" spans="2:6" x14ac:dyDescent="0.2">
      <c r="B226" s="951" t="s">
        <v>204</v>
      </c>
      <c r="C226" s="950"/>
      <c r="D226" s="604"/>
      <c r="E226" s="605"/>
      <c r="F226" s="606"/>
    </row>
    <row r="227" spans="2:6" x14ac:dyDescent="0.2">
      <c r="B227" s="949" t="s">
        <v>189</v>
      </c>
      <c r="C227" s="950"/>
      <c r="D227" s="600"/>
      <c r="E227" s="605"/>
      <c r="F227" s="606"/>
    </row>
    <row r="228" spans="2:6" x14ac:dyDescent="0.2">
      <c r="B228" s="949" t="s">
        <v>190</v>
      </c>
      <c r="C228" s="950"/>
      <c r="D228" s="600"/>
      <c r="E228" s="605"/>
      <c r="F228" s="606"/>
    </row>
    <row r="229" spans="2:6" x14ac:dyDescent="0.2">
      <c r="B229" s="949" t="s">
        <v>496</v>
      </c>
      <c r="C229" s="950"/>
      <c r="D229" s="607"/>
      <c r="E229" s="605"/>
      <c r="F229" s="606"/>
    </row>
    <row r="230" spans="2:6" x14ac:dyDescent="0.2">
      <c r="B230" s="949" t="s">
        <v>498</v>
      </c>
      <c r="C230" s="950"/>
      <c r="D230" s="607"/>
      <c r="E230" s="605"/>
      <c r="F230" s="606"/>
    </row>
    <row r="231" spans="2:6" ht="13.5" thickBot="1" x14ac:dyDescent="0.25">
      <c r="B231" s="952" t="s">
        <v>511</v>
      </c>
      <c r="C231" s="953"/>
      <c r="D231" s="608"/>
      <c r="E231" s="605"/>
      <c r="F231" s="606"/>
    </row>
    <row r="232" spans="2:6" ht="13.5" thickBot="1" x14ac:dyDescent="0.25">
      <c r="B232" s="612"/>
      <c r="C232" s="613"/>
      <c r="D232" s="614"/>
      <c r="E232" s="586"/>
      <c r="F232" s="586"/>
    </row>
    <row r="233" spans="2:6" ht="14.25" customHeight="1" x14ac:dyDescent="0.2">
      <c r="B233" s="597" t="s">
        <v>221</v>
      </c>
      <c r="C233" s="598" t="s">
        <v>202</v>
      </c>
      <c r="D233" s="599"/>
      <c r="E233" s="513"/>
      <c r="F233" s="513"/>
    </row>
    <row r="234" spans="2:6" x14ac:dyDescent="0.2">
      <c r="B234" s="949" t="s">
        <v>191</v>
      </c>
      <c r="C234" s="950"/>
      <c r="D234" s="600"/>
      <c r="E234" s="601"/>
      <c r="F234" s="602"/>
    </row>
    <row r="235" spans="2:6" x14ac:dyDescent="0.2">
      <c r="B235" s="949" t="s">
        <v>203</v>
      </c>
      <c r="C235" s="950"/>
      <c r="D235" s="603"/>
      <c r="E235" s="601"/>
      <c r="F235" s="602"/>
    </row>
    <row r="236" spans="2:6" x14ac:dyDescent="0.2">
      <c r="B236" s="951" t="s">
        <v>204</v>
      </c>
      <c r="C236" s="950"/>
      <c r="D236" s="604"/>
      <c r="E236" s="605"/>
      <c r="F236" s="606"/>
    </row>
    <row r="237" spans="2:6" x14ac:dyDescent="0.2">
      <c r="B237" s="949" t="s">
        <v>189</v>
      </c>
      <c r="C237" s="950"/>
      <c r="D237" s="600"/>
      <c r="E237" s="605"/>
      <c r="F237" s="606"/>
    </row>
    <row r="238" spans="2:6" x14ac:dyDescent="0.2">
      <c r="B238" s="949" t="s">
        <v>190</v>
      </c>
      <c r="C238" s="950"/>
      <c r="D238" s="600"/>
      <c r="E238" s="605"/>
      <c r="F238" s="606"/>
    </row>
    <row r="239" spans="2:6" x14ac:dyDescent="0.2">
      <c r="B239" s="949" t="s">
        <v>496</v>
      </c>
      <c r="C239" s="950"/>
      <c r="D239" s="607"/>
      <c r="E239" s="605"/>
      <c r="F239" s="606"/>
    </row>
    <row r="240" spans="2:6" x14ac:dyDescent="0.2">
      <c r="B240" s="949" t="s">
        <v>498</v>
      </c>
      <c r="C240" s="950"/>
      <c r="D240" s="607"/>
      <c r="E240" s="605"/>
      <c r="F240" s="606"/>
    </row>
    <row r="241" spans="2:6" ht="13.5" thickBot="1" x14ac:dyDescent="0.25">
      <c r="B241" s="952" t="s">
        <v>511</v>
      </c>
      <c r="C241" s="953"/>
      <c r="D241" s="608"/>
      <c r="E241" s="605"/>
      <c r="F241" s="606"/>
    </row>
    <row r="242" spans="2:6" ht="13.5" thickBot="1" x14ac:dyDescent="0.25">
      <c r="B242" s="586"/>
      <c r="C242" s="586"/>
      <c r="D242" s="586"/>
      <c r="E242" s="586"/>
      <c r="F242" s="586"/>
    </row>
    <row r="243" spans="2:6" s="508" customFormat="1" ht="18.75" customHeight="1" thickBot="1" x14ac:dyDescent="0.25">
      <c r="B243" s="882" t="s">
        <v>219</v>
      </c>
      <c r="C243" s="883"/>
      <c r="D243" s="884"/>
      <c r="E243" s="621"/>
      <c r="F243" s="621"/>
    </row>
    <row r="244" spans="2:6" ht="13.5" customHeight="1" thickBot="1" x14ac:dyDescent="0.25">
      <c r="B244" s="622"/>
      <c r="C244" s="623"/>
      <c r="D244" s="596" t="str">
        <f>D6</f>
        <v>Current Year () Values</v>
      </c>
      <c r="E244" s="591"/>
      <c r="F244" s="591"/>
    </row>
    <row r="245" spans="2:6" ht="13.5" thickBot="1" x14ac:dyDescent="0.25">
      <c r="B245" s="609"/>
      <c r="C245" s="610"/>
      <c r="D245" s="611"/>
      <c r="E245" s="586"/>
      <c r="F245" s="586"/>
    </row>
    <row r="246" spans="2:6" ht="14.25" customHeight="1" x14ac:dyDescent="0.2">
      <c r="B246" s="597" t="s">
        <v>222</v>
      </c>
      <c r="C246" s="598" t="s">
        <v>202</v>
      </c>
      <c r="D246" s="599"/>
      <c r="E246" s="513"/>
      <c r="F246" s="513"/>
    </row>
    <row r="247" spans="2:6" x14ac:dyDescent="0.2">
      <c r="B247" s="949" t="s">
        <v>191</v>
      </c>
      <c r="C247" s="950"/>
      <c r="D247" s="600"/>
      <c r="E247" s="601"/>
      <c r="F247" s="602"/>
    </row>
    <row r="248" spans="2:6" x14ac:dyDescent="0.2">
      <c r="B248" s="949" t="s">
        <v>203</v>
      </c>
      <c r="C248" s="950"/>
      <c r="D248" s="603"/>
      <c r="E248" s="601"/>
      <c r="F248" s="602"/>
    </row>
    <row r="249" spans="2:6" x14ac:dyDescent="0.2">
      <c r="B249" s="951" t="s">
        <v>204</v>
      </c>
      <c r="C249" s="950"/>
      <c r="D249" s="604"/>
      <c r="E249" s="605"/>
      <c r="F249" s="606"/>
    </row>
    <row r="250" spans="2:6" x14ac:dyDescent="0.2">
      <c r="B250" s="949" t="s">
        <v>189</v>
      </c>
      <c r="C250" s="950"/>
      <c r="D250" s="600"/>
      <c r="E250" s="605"/>
      <c r="F250" s="606"/>
    </row>
    <row r="251" spans="2:6" x14ac:dyDescent="0.2">
      <c r="B251" s="949" t="s">
        <v>190</v>
      </c>
      <c r="C251" s="950"/>
      <c r="D251" s="600"/>
      <c r="E251" s="605"/>
      <c r="F251" s="606"/>
    </row>
    <row r="252" spans="2:6" x14ac:dyDescent="0.2">
      <c r="B252" s="949" t="s">
        <v>496</v>
      </c>
      <c r="C252" s="950"/>
      <c r="D252" s="607"/>
      <c r="E252" s="605"/>
      <c r="F252" s="606"/>
    </row>
    <row r="253" spans="2:6" x14ac:dyDescent="0.2">
      <c r="B253" s="949" t="s">
        <v>498</v>
      </c>
      <c r="C253" s="950"/>
      <c r="D253" s="607"/>
      <c r="E253" s="605"/>
      <c r="F253" s="606"/>
    </row>
    <row r="254" spans="2:6" ht="13.5" thickBot="1" x14ac:dyDescent="0.25">
      <c r="B254" s="952" t="s">
        <v>511</v>
      </c>
      <c r="C254" s="953"/>
      <c r="D254" s="608"/>
      <c r="E254" s="605"/>
      <c r="F254" s="606"/>
    </row>
    <row r="255" spans="2:6" ht="13.5" thickBot="1" x14ac:dyDescent="0.25">
      <c r="B255" s="612"/>
      <c r="C255" s="613"/>
      <c r="D255" s="614"/>
      <c r="E255" s="586"/>
      <c r="F255" s="586"/>
    </row>
    <row r="256" spans="2:6" ht="14.25" customHeight="1" x14ac:dyDescent="0.2">
      <c r="B256" s="597" t="s">
        <v>223</v>
      </c>
      <c r="C256" s="598" t="s">
        <v>202</v>
      </c>
      <c r="D256" s="599"/>
      <c r="E256" s="513"/>
      <c r="F256" s="513"/>
    </row>
    <row r="257" spans="2:6" x14ac:dyDescent="0.2">
      <c r="B257" s="949" t="s">
        <v>191</v>
      </c>
      <c r="C257" s="950"/>
      <c r="D257" s="600"/>
      <c r="E257" s="601"/>
      <c r="F257" s="602"/>
    </row>
    <row r="258" spans="2:6" x14ac:dyDescent="0.2">
      <c r="B258" s="949" t="s">
        <v>203</v>
      </c>
      <c r="C258" s="950"/>
      <c r="D258" s="603"/>
      <c r="E258" s="601"/>
      <c r="F258" s="602"/>
    </row>
    <row r="259" spans="2:6" x14ac:dyDescent="0.2">
      <c r="B259" s="951" t="s">
        <v>204</v>
      </c>
      <c r="C259" s="950"/>
      <c r="D259" s="604"/>
      <c r="E259" s="605"/>
      <c r="F259" s="606"/>
    </row>
    <row r="260" spans="2:6" x14ac:dyDescent="0.2">
      <c r="B260" s="949" t="s">
        <v>189</v>
      </c>
      <c r="C260" s="950"/>
      <c r="D260" s="600"/>
      <c r="E260" s="605"/>
      <c r="F260" s="606"/>
    </row>
    <row r="261" spans="2:6" x14ac:dyDescent="0.2">
      <c r="B261" s="949" t="s">
        <v>190</v>
      </c>
      <c r="C261" s="950"/>
      <c r="D261" s="600"/>
      <c r="E261" s="605"/>
      <c r="F261" s="606"/>
    </row>
    <row r="262" spans="2:6" x14ac:dyDescent="0.2">
      <c r="B262" s="949" t="s">
        <v>496</v>
      </c>
      <c r="C262" s="950"/>
      <c r="D262" s="607"/>
      <c r="E262" s="605"/>
      <c r="F262" s="606"/>
    </row>
    <row r="263" spans="2:6" x14ac:dyDescent="0.2">
      <c r="B263" s="949" t="s">
        <v>498</v>
      </c>
      <c r="C263" s="950"/>
      <c r="D263" s="607"/>
      <c r="E263" s="605"/>
      <c r="F263" s="606"/>
    </row>
    <row r="264" spans="2:6" ht="13.5" thickBot="1" x14ac:dyDescent="0.25">
      <c r="B264" s="952" t="s">
        <v>511</v>
      </c>
      <c r="C264" s="953"/>
      <c r="D264" s="608"/>
      <c r="E264" s="605"/>
      <c r="F264" s="606"/>
    </row>
    <row r="265" spans="2:6" ht="13.5" thickBot="1" x14ac:dyDescent="0.25">
      <c r="B265" s="612"/>
      <c r="C265" s="613"/>
      <c r="D265" s="614"/>
      <c r="E265" s="586"/>
      <c r="F265" s="586"/>
    </row>
    <row r="266" spans="2:6" ht="14.25" customHeight="1" x14ac:dyDescent="0.2">
      <c r="B266" s="597" t="s">
        <v>224</v>
      </c>
      <c r="C266" s="598" t="s">
        <v>202</v>
      </c>
      <c r="D266" s="599"/>
      <c r="E266" s="513"/>
      <c r="F266" s="513"/>
    </row>
    <row r="267" spans="2:6" x14ac:dyDescent="0.2">
      <c r="B267" s="949" t="s">
        <v>191</v>
      </c>
      <c r="C267" s="950"/>
      <c r="D267" s="600"/>
      <c r="E267" s="601"/>
      <c r="F267" s="602"/>
    </row>
    <row r="268" spans="2:6" x14ac:dyDescent="0.2">
      <c r="B268" s="949" t="s">
        <v>203</v>
      </c>
      <c r="C268" s="950"/>
      <c r="D268" s="603"/>
      <c r="E268" s="601"/>
      <c r="F268" s="602"/>
    </row>
    <row r="269" spans="2:6" x14ac:dyDescent="0.2">
      <c r="B269" s="951" t="s">
        <v>204</v>
      </c>
      <c r="C269" s="950"/>
      <c r="D269" s="604"/>
      <c r="E269" s="605"/>
      <c r="F269" s="606"/>
    </row>
    <row r="270" spans="2:6" x14ac:dyDescent="0.2">
      <c r="B270" s="949" t="s">
        <v>189</v>
      </c>
      <c r="C270" s="950"/>
      <c r="D270" s="600"/>
      <c r="E270" s="605"/>
      <c r="F270" s="606"/>
    </row>
    <row r="271" spans="2:6" x14ac:dyDescent="0.2">
      <c r="B271" s="949" t="s">
        <v>190</v>
      </c>
      <c r="C271" s="950"/>
      <c r="D271" s="600"/>
      <c r="E271" s="605"/>
      <c r="F271" s="606"/>
    </row>
    <row r="272" spans="2:6" x14ac:dyDescent="0.2">
      <c r="B272" s="949" t="s">
        <v>496</v>
      </c>
      <c r="C272" s="950"/>
      <c r="D272" s="607"/>
      <c r="E272" s="605"/>
      <c r="F272" s="606"/>
    </row>
    <row r="273" spans="2:6" x14ac:dyDescent="0.2">
      <c r="B273" s="949" t="s">
        <v>498</v>
      </c>
      <c r="C273" s="950"/>
      <c r="D273" s="607"/>
      <c r="E273" s="605"/>
      <c r="F273" s="606"/>
    </row>
    <row r="274" spans="2:6" ht="13.5" thickBot="1" x14ac:dyDescent="0.25">
      <c r="B274" s="952" t="s">
        <v>511</v>
      </c>
      <c r="C274" s="953"/>
      <c r="D274" s="608"/>
      <c r="E274" s="605"/>
      <c r="F274" s="606"/>
    </row>
    <row r="275" spans="2:6" ht="13.5" thickBot="1" x14ac:dyDescent="0.25">
      <c r="B275" s="612"/>
      <c r="C275" s="613"/>
      <c r="D275" s="614"/>
      <c r="E275" s="586"/>
      <c r="F275" s="586"/>
    </row>
    <row r="276" spans="2:6" ht="14.25" customHeight="1" x14ac:dyDescent="0.2">
      <c r="B276" s="597" t="s">
        <v>225</v>
      </c>
      <c r="C276" s="598" t="s">
        <v>202</v>
      </c>
      <c r="D276" s="599"/>
      <c r="E276" s="513"/>
      <c r="F276" s="513"/>
    </row>
    <row r="277" spans="2:6" x14ac:dyDescent="0.2">
      <c r="B277" s="949" t="s">
        <v>191</v>
      </c>
      <c r="C277" s="950"/>
      <c r="D277" s="600"/>
      <c r="E277" s="601"/>
      <c r="F277" s="602"/>
    </row>
    <row r="278" spans="2:6" x14ac:dyDescent="0.2">
      <c r="B278" s="949" t="s">
        <v>203</v>
      </c>
      <c r="C278" s="950"/>
      <c r="D278" s="603"/>
      <c r="E278" s="601"/>
      <c r="F278" s="602"/>
    </row>
    <row r="279" spans="2:6" x14ac:dyDescent="0.2">
      <c r="B279" s="951" t="s">
        <v>204</v>
      </c>
      <c r="C279" s="950"/>
      <c r="D279" s="604"/>
      <c r="E279" s="605"/>
      <c r="F279" s="606"/>
    </row>
    <row r="280" spans="2:6" x14ac:dyDescent="0.2">
      <c r="B280" s="949" t="s">
        <v>189</v>
      </c>
      <c r="C280" s="950"/>
      <c r="D280" s="600"/>
      <c r="E280" s="605"/>
      <c r="F280" s="606"/>
    </row>
    <row r="281" spans="2:6" x14ac:dyDescent="0.2">
      <c r="B281" s="949" t="s">
        <v>190</v>
      </c>
      <c r="C281" s="950"/>
      <c r="D281" s="600"/>
      <c r="E281" s="605"/>
      <c r="F281" s="606"/>
    </row>
    <row r="282" spans="2:6" x14ac:dyDescent="0.2">
      <c r="B282" s="949" t="s">
        <v>496</v>
      </c>
      <c r="C282" s="950"/>
      <c r="D282" s="607"/>
      <c r="E282" s="605"/>
      <c r="F282" s="606"/>
    </row>
    <row r="283" spans="2:6" x14ac:dyDescent="0.2">
      <c r="B283" s="949" t="s">
        <v>498</v>
      </c>
      <c r="C283" s="950"/>
      <c r="D283" s="607"/>
      <c r="E283" s="605"/>
      <c r="F283" s="606"/>
    </row>
    <row r="284" spans="2:6" ht="13.5" thickBot="1" x14ac:dyDescent="0.25">
      <c r="B284" s="952" t="s">
        <v>511</v>
      </c>
      <c r="C284" s="953"/>
      <c r="D284" s="608"/>
      <c r="E284" s="605"/>
      <c r="F284" s="606"/>
    </row>
    <row r="285" spans="2:6" s="594" customFormat="1" x14ac:dyDescent="0.2">
      <c r="B285" s="954"/>
      <c r="C285" s="954"/>
      <c r="D285" s="954"/>
    </row>
    <row r="286" spans="2:6" ht="45" customHeight="1" x14ac:dyDescent="0.2">
      <c r="B286" s="955" t="s">
        <v>512</v>
      </c>
      <c r="C286" s="955"/>
      <c r="D286" s="955"/>
      <c r="F286" s="624"/>
    </row>
    <row r="287" spans="2:6" ht="45" customHeight="1" x14ac:dyDescent="0.2">
      <c r="B287" s="956" t="s">
        <v>513</v>
      </c>
      <c r="C287" s="956"/>
      <c r="D287" s="956"/>
      <c r="E287" s="624"/>
      <c r="F287" s="624"/>
    </row>
    <row r="288" spans="2:6" ht="15" customHeight="1" x14ac:dyDescent="0.2">
      <c r="B288" s="955" t="s">
        <v>514</v>
      </c>
      <c r="C288" s="955"/>
      <c r="D288" s="955"/>
      <c r="E288" s="625"/>
      <c r="F288" s="625"/>
    </row>
    <row r="289" spans="2:6" s="595" customFormat="1" ht="30" customHeight="1" x14ac:dyDescent="0.2">
      <c r="B289" s="956" t="s">
        <v>226</v>
      </c>
      <c r="C289" s="956"/>
      <c r="D289" s="956"/>
      <c r="E289" s="624"/>
      <c r="F289" s="624"/>
    </row>
    <row r="290" spans="2:6" ht="30" customHeight="1" x14ac:dyDescent="0.2">
      <c r="B290" s="957" t="s">
        <v>515</v>
      </c>
      <c r="C290" s="957"/>
      <c r="D290" s="957"/>
      <c r="E290" s="624"/>
      <c r="F290" s="624"/>
    </row>
  </sheetData>
  <sheetProtection algorithmName="SHA-512" hashValue="51BIh7+FwMwub6fumDsLUm9CKwB6OxSZSu/qwRrEokKzxtF8vSu7ooYxeEiJeHWN6OudgOd259mlwN6D5smoDA==" saltValue="Dqak+q58LvV/1hdAR8BiMg==" spinCount="100000" sheet="1" formatCells="0" formatColumns="0" formatRows="0" insertColumns="0" insertRows="0" insertHyperlinks="0" selectLockedCells="1"/>
  <mergeCells count="252">
    <mergeCell ref="B285:D285"/>
    <mergeCell ref="B286:D286"/>
    <mergeCell ref="B287:D287"/>
    <mergeCell ref="B288:D288"/>
    <mergeCell ref="B289:D289"/>
    <mergeCell ref="B290:D290"/>
    <mergeCell ref="B279:C279"/>
    <mergeCell ref="B280:C280"/>
    <mergeCell ref="B281:C281"/>
    <mergeCell ref="B282:C282"/>
    <mergeCell ref="B283:C283"/>
    <mergeCell ref="B284:C284"/>
    <mergeCell ref="B271:C271"/>
    <mergeCell ref="B272:C272"/>
    <mergeCell ref="B273:C273"/>
    <mergeCell ref="B274:C274"/>
    <mergeCell ref="B277:C277"/>
    <mergeCell ref="B278:C278"/>
    <mergeCell ref="B263:C263"/>
    <mergeCell ref="B264:C264"/>
    <mergeCell ref="B267:C267"/>
    <mergeCell ref="B268:C268"/>
    <mergeCell ref="B269:C269"/>
    <mergeCell ref="B270:C270"/>
    <mergeCell ref="B257:C257"/>
    <mergeCell ref="B258:C258"/>
    <mergeCell ref="B259:C259"/>
    <mergeCell ref="B260:C260"/>
    <mergeCell ref="B261:C261"/>
    <mergeCell ref="B262:C262"/>
    <mergeCell ref="B249:C249"/>
    <mergeCell ref="B250:C250"/>
    <mergeCell ref="B251:C251"/>
    <mergeCell ref="B252:C252"/>
    <mergeCell ref="B253:C253"/>
    <mergeCell ref="B254:C254"/>
    <mergeCell ref="B239:C239"/>
    <mergeCell ref="B240:C240"/>
    <mergeCell ref="B241:C241"/>
    <mergeCell ref="B243:D243"/>
    <mergeCell ref="B247:C247"/>
    <mergeCell ref="B248:C248"/>
    <mergeCell ref="B231:C231"/>
    <mergeCell ref="B234:C234"/>
    <mergeCell ref="B235:C235"/>
    <mergeCell ref="B236:C236"/>
    <mergeCell ref="B237:C237"/>
    <mergeCell ref="B238:C238"/>
    <mergeCell ref="B225:C225"/>
    <mergeCell ref="B226:C226"/>
    <mergeCell ref="B227:C227"/>
    <mergeCell ref="B228:C228"/>
    <mergeCell ref="B229:C229"/>
    <mergeCell ref="B230:C230"/>
    <mergeCell ref="B217:C217"/>
    <mergeCell ref="B218:C218"/>
    <mergeCell ref="B219:C219"/>
    <mergeCell ref="B220:C220"/>
    <mergeCell ref="B221:C221"/>
    <mergeCell ref="B224:C224"/>
    <mergeCell ref="B209:C209"/>
    <mergeCell ref="B210:C210"/>
    <mergeCell ref="B211:C211"/>
    <mergeCell ref="B214:C214"/>
    <mergeCell ref="B215:C215"/>
    <mergeCell ref="B216:C216"/>
    <mergeCell ref="B201:C201"/>
    <mergeCell ref="B204:C204"/>
    <mergeCell ref="B205:C205"/>
    <mergeCell ref="B206:C206"/>
    <mergeCell ref="B207:C207"/>
    <mergeCell ref="B208:C208"/>
    <mergeCell ref="B195:C195"/>
    <mergeCell ref="B196:C196"/>
    <mergeCell ref="B197:C197"/>
    <mergeCell ref="B198:C198"/>
    <mergeCell ref="B199:C199"/>
    <mergeCell ref="B200:C200"/>
    <mergeCell ref="B187:C187"/>
    <mergeCell ref="B188:C188"/>
    <mergeCell ref="B189:C189"/>
    <mergeCell ref="B190:C190"/>
    <mergeCell ref="B191:C191"/>
    <mergeCell ref="B194:C194"/>
    <mergeCell ref="B179:C179"/>
    <mergeCell ref="B180:C180"/>
    <mergeCell ref="B181:C181"/>
    <mergeCell ref="B184:C184"/>
    <mergeCell ref="B185:C185"/>
    <mergeCell ref="B186:C186"/>
    <mergeCell ref="B171:C171"/>
    <mergeCell ref="B174:C174"/>
    <mergeCell ref="B175:C175"/>
    <mergeCell ref="B176:C176"/>
    <mergeCell ref="B177:C177"/>
    <mergeCell ref="B178:C178"/>
    <mergeCell ref="B165:C165"/>
    <mergeCell ref="B166:C166"/>
    <mergeCell ref="B167:C167"/>
    <mergeCell ref="B168:C168"/>
    <mergeCell ref="B169:C169"/>
    <mergeCell ref="B170:C170"/>
    <mergeCell ref="B157:C157"/>
    <mergeCell ref="B158:C158"/>
    <mergeCell ref="B159:C159"/>
    <mergeCell ref="B160:C160"/>
    <mergeCell ref="B161:C161"/>
    <mergeCell ref="B164:C164"/>
    <mergeCell ref="B147:C147"/>
    <mergeCell ref="B148:C148"/>
    <mergeCell ref="B150:D150"/>
    <mergeCell ref="B154:C154"/>
    <mergeCell ref="B155:C155"/>
    <mergeCell ref="B156:C156"/>
    <mergeCell ref="B141:C141"/>
    <mergeCell ref="B142:C142"/>
    <mergeCell ref="B143:C143"/>
    <mergeCell ref="B144:C144"/>
    <mergeCell ref="B145:C145"/>
    <mergeCell ref="B146:C146"/>
    <mergeCell ref="B133:C133"/>
    <mergeCell ref="B134:C134"/>
    <mergeCell ref="B135:C135"/>
    <mergeCell ref="B136:C136"/>
    <mergeCell ref="B137:C137"/>
    <mergeCell ref="B138:C138"/>
    <mergeCell ref="B125:C125"/>
    <mergeCell ref="B126:C126"/>
    <mergeCell ref="B127:C127"/>
    <mergeCell ref="B128:C128"/>
    <mergeCell ref="B131:C131"/>
    <mergeCell ref="B132:C132"/>
    <mergeCell ref="B117:C117"/>
    <mergeCell ref="B118:C118"/>
    <mergeCell ref="B121:C121"/>
    <mergeCell ref="B122:C122"/>
    <mergeCell ref="B123:C123"/>
    <mergeCell ref="B124:C124"/>
    <mergeCell ref="B111:C111"/>
    <mergeCell ref="B112:C112"/>
    <mergeCell ref="B113:C113"/>
    <mergeCell ref="B114:C114"/>
    <mergeCell ref="B115:C115"/>
    <mergeCell ref="B116:C116"/>
    <mergeCell ref="B103:C103"/>
    <mergeCell ref="B104:C104"/>
    <mergeCell ref="B105:C105"/>
    <mergeCell ref="B106:C106"/>
    <mergeCell ref="B107:C107"/>
    <mergeCell ref="B108:C108"/>
    <mergeCell ref="B95:C95"/>
    <mergeCell ref="B96:C96"/>
    <mergeCell ref="B97:C97"/>
    <mergeCell ref="B98:C98"/>
    <mergeCell ref="B101:C101"/>
    <mergeCell ref="B102:C102"/>
    <mergeCell ref="B87:C87"/>
    <mergeCell ref="B88:C88"/>
    <mergeCell ref="B91:C91"/>
    <mergeCell ref="B92:C92"/>
    <mergeCell ref="B93:C93"/>
    <mergeCell ref="B94:C94"/>
    <mergeCell ref="B81:C81"/>
    <mergeCell ref="B82:C82"/>
    <mergeCell ref="B83:C83"/>
    <mergeCell ref="B84:C84"/>
    <mergeCell ref="B85:C85"/>
    <mergeCell ref="B86:C86"/>
    <mergeCell ref="B71:C71"/>
    <mergeCell ref="B74:C74"/>
    <mergeCell ref="B75:C75"/>
    <mergeCell ref="E75:F75"/>
    <mergeCell ref="B76:D76"/>
    <mergeCell ref="B77:D77"/>
    <mergeCell ref="B59:C59"/>
    <mergeCell ref="B62:C62"/>
    <mergeCell ref="B63:C63"/>
    <mergeCell ref="B66:C66"/>
    <mergeCell ref="B67:C67"/>
    <mergeCell ref="B70:C70"/>
    <mergeCell ref="B48:C48"/>
    <mergeCell ref="B49:C49"/>
    <mergeCell ref="B50:C50"/>
    <mergeCell ref="B52:D52"/>
    <mergeCell ref="B54:D54"/>
    <mergeCell ref="B58:C58"/>
    <mergeCell ref="B42:C42"/>
    <mergeCell ref="E42:F42"/>
    <mergeCell ref="B45:C45"/>
    <mergeCell ref="E45:F45"/>
    <mergeCell ref="B46:C46"/>
    <mergeCell ref="B47:C47"/>
    <mergeCell ref="B39:C39"/>
    <mergeCell ref="E39:F39"/>
    <mergeCell ref="B40:C40"/>
    <mergeCell ref="E40:F40"/>
    <mergeCell ref="B41:C41"/>
    <mergeCell ref="E41:F41"/>
    <mergeCell ref="B34:C34"/>
    <mergeCell ref="E34:F34"/>
    <mergeCell ref="B35:C35"/>
    <mergeCell ref="E35:F35"/>
    <mergeCell ref="B36:C36"/>
    <mergeCell ref="E36:F36"/>
    <mergeCell ref="B29:C29"/>
    <mergeCell ref="E29:F29"/>
    <mergeCell ref="B32:C32"/>
    <mergeCell ref="E32:F32"/>
    <mergeCell ref="B33:C33"/>
    <mergeCell ref="E33:F33"/>
    <mergeCell ref="B26:C26"/>
    <mergeCell ref="E26:F26"/>
    <mergeCell ref="B27:C27"/>
    <mergeCell ref="E27:F27"/>
    <mergeCell ref="B28:C28"/>
    <mergeCell ref="E28:F28"/>
    <mergeCell ref="B23:C23"/>
    <mergeCell ref="E23:F23"/>
    <mergeCell ref="B24:C24"/>
    <mergeCell ref="E24:F24"/>
    <mergeCell ref="B25:C25"/>
    <mergeCell ref="E25:F25"/>
    <mergeCell ref="B20:C20"/>
    <mergeCell ref="E20:F20"/>
    <mergeCell ref="B21:C21"/>
    <mergeCell ref="E21:F21"/>
    <mergeCell ref="B22:C22"/>
    <mergeCell ref="E22:F22"/>
    <mergeCell ref="B15:C15"/>
    <mergeCell ref="E15:F15"/>
    <mergeCell ref="B18:C18"/>
    <mergeCell ref="E18:F18"/>
    <mergeCell ref="B19:C19"/>
    <mergeCell ref="E19:F19"/>
    <mergeCell ref="B12:C12"/>
    <mergeCell ref="E12:F12"/>
    <mergeCell ref="B13:C13"/>
    <mergeCell ref="E13:F13"/>
    <mergeCell ref="B14:C14"/>
    <mergeCell ref="E14:F14"/>
    <mergeCell ref="B7:C7"/>
    <mergeCell ref="E7:F7"/>
    <mergeCell ref="B8:C8"/>
    <mergeCell ref="E8:F8"/>
    <mergeCell ref="B9:C9"/>
    <mergeCell ref="E9:F9"/>
    <mergeCell ref="A1:F1"/>
    <mergeCell ref="A2:B2"/>
    <mergeCell ref="C2:F2"/>
    <mergeCell ref="A4:F4"/>
    <mergeCell ref="B6:C6"/>
    <mergeCell ref="E6:F6"/>
  </mergeCells>
  <printOptions horizontalCentered="1"/>
  <pageMargins left="0.75" right="0.75" top="0.5" bottom="0.5" header="0.5" footer="0.5"/>
  <pageSetup scale="44" fitToHeight="6" orientation="portrait" r:id="rId1"/>
  <headerFooter alignWithMargins="0"/>
  <rowBreaks count="3" manualBreakCount="3">
    <brk id="51" max="5" man="1"/>
    <brk id="149" max="5" man="1"/>
    <brk id="242" max="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168"/>
  <sheetViews>
    <sheetView showGridLines="0" view="pageBreakPreview" topLeftCell="D8" zoomScaleNormal="100" zoomScaleSheetLayoutView="100" workbookViewId="0">
      <selection activeCell="H8" sqref="H8:K8"/>
    </sheetView>
  </sheetViews>
  <sheetFormatPr defaultColWidth="8.5" defaultRowHeight="14.25" x14ac:dyDescent="0.2"/>
  <cols>
    <col min="1" max="1" width="5.25" style="94" customWidth="1"/>
    <col min="2" max="2" width="36.5" style="94" customWidth="1"/>
    <col min="3" max="3" width="13.25" style="94" customWidth="1"/>
    <col min="4" max="4" width="15.5" style="94" customWidth="1"/>
    <col min="5" max="5" width="13.5" style="94" customWidth="1"/>
    <col min="6" max="6" width="14.25" style="94" customWidth="1"/>
    <col min="7" max="7" width="17.5" style="94" customWidth="1"/>
    <col min="8" max="8" width="13.25" style="94" customWidth="1"/>
    <col min="9" max="9" width="14.5" style="94" customWidth="1"/>
    <col min="10" max="11" width="13.5" style="94" customWidth="1"/>
    <col min="12" max="12" width="17.5" style="94" customWidth="1"/>
    <col min="13" max="13" width="13.5" style="94" customWidth="1"/>
    <col min="14" max="14" width="18.75" style="94" customWidth="1"/>
    <col min="15" max="16" width="13.5" style="94" customWidth="1"/>
    <col min="17" max="17" width="17.5" style="94" customWidth="1"/>
    <col min="18" max="18" width="11.5" style="94" customWidth="1"/>
    <col min="19" max="16384" width="8.5" style="94"/>
  </cols>
  <sheetData>
    <row r="1" spans="1:18" ht="18.75" customHeight="1" thickBot="1" x14ac:dyDescent="0.25">
      <c r="A1" s="1014" t="s">
        <v>227</v>
      </c>
      <c r="B1" s="1015"/>
      <c r="C1" s="1015"/>
      <c r="D1" s="1015"/>
      <c r="E1" s="1015"/>
      <c r="F1" s="1015"/>
      <c r="G1" s="1015"/>
      <c r="H1" s="1015"/>
      <c r="I1" s="1015"/>
      <c r="J1" s="1015"/>
      <c r="K1" s="1015"/>
      <c r="L1" s="1015"/>
      <c r="M1" s="1015"/>
      <c r="N1" s="1015"/>
      <c r="O1" s="1015"/>
      <c r="P1" s="1015"/>
      <c r="Q1" s="1016"/>
      <c r="R1" s="382"/>
    </row>
    <row r="2" spans="1:18" ht="16.5" thickBot="1" x14ac:dyDescent="0.3">
      <c r="A2" s="992" t="s">
        <v>0</v>
      </c>
      <c r="B2" s="993"/>
      <c r="C2" s="993"/>
      <c r="D2" s="993"/>
      <c r="E2" s="994"/>
      <c r="F2" s="992" t="str">
        <f>Finance!B2</f>
        <v/>
      </c>
      <c r="G2" s="993"/>
      <c r="H2" s="993"/>
      <c r="I2" s="993"/>
      <c r="J2" s="993"/>
      <c r="K2" s="993"/>
      <c r="L2" s="993"/>
      <c r="M2" s="993"/>
      <c r="N2" s="993"/>
      <c r="O2" s="993"/>
      <c r="P2" s="993"/>
      <c r="Q2" s="994"/>
      <c r="R2" s="183"/>
    </row>
    <row r="3" spans="1:18" s="372" customFormat="1" ht="6" customHeight="1" x14ac:dyDescent="0.2">
      <c r="A3" s="173"/>
      <c r="B3" s="329"/>
      <c r="C3" s="329"/>
      <c r="D3" s="329"/>
      <c r="E3" s="329"/>
      <c r="F3" s="329"/>
      <c r="G3" s="329"/>
      <c r="H3" s="329"/>
      <c r="I3" s="329"/>
      <c r="J3" s="329"/>
      <c r="K3" s="329"/>
      <c r="L3" s="329"/>
      <c r="M3" s="329"/>
      <c r="N3" s="329"/>
      <c r="O3" s="329"/>
      <c r="P3" s="329"/>
      <c r="Q3" s="329"/>
      <c r="R3" s="329"/>
    </row>
    <row r="4" spans="1:18" s="372" customFormat="1" ht="15" customHeight="1" x14ac:dyDescent="0.2">
      <c r="A4" s="1013" t="str">
        <f>IF(OR('Project Description'!C96="(Select…)",H8="(Select…)",H9="(Select…)",H10="(Select…)",H11="(Select…)"),CONCATENATE("*** To view Environmental Benefits results, specify ",IF('Project Description'!C92&lt;&gt;"Yes","the horizon year option in the Project Description Template and ",""),"the regional air quality attainment status for each criteria pollutant",IF('Project Description'!C92="Yes"," and enter additional requested information","")," below ***"),"")</f>
        <v>*** To view Environmental Benefits results, specify the horizon year option in the Project Description Template and the regional air quality attainment status for each criteria pollutant below ***</v>
      </c>
      <c r="B4" s="1013"/>
      <c r="C4" s="1013"/>
      <c r="D4" s="1013"/>
      <c r="E4" s="1013"/>
      <c r="F4" s="1013"/>
      <c r="G4" s="1013"/>
      <c r="H4" s="1013"/>
      <c r="I4" s="1013"/>
      <c r="J4" s="1013"/>
      <c r="K4" s="1013"/>
      <c r="L4" s="1013"/>
      <c r="M4" s="1013"/>
      <c r="N4" s="1013"/>
      <c r="O4" s="1013"/>
      <c r="P4" s="1013"/>
      <c r="Q4" s="1013"/>
      <c r="R4" s="329"/>
    </row>
    <row r="5" spans="1:18" s="372" customFormat="1" ht="6" customHeight="1" thickBot="1" x14ac:dyDescent="0.25">
      <c r="A5" s="174"/>
      <c r="B5" s="329"/>
      <c r="C5" s="329"/>
      <c r="D5" s="329"/>
      <c r="E5" s="329"/>
      <c r="F5" s="329"/>
      <c r="G5" s="329"/>
      <c r="H5" s="329"/>
      <c r="I5" s="329"/>
      <c r="J5" s="329"/>
      <c r="K5" s="329"/>
      <c r="L5" s="329"/>
      <c r="M5" s="329"/>
      <c r="N5" s="329"/>
      <c r="O5" s="329"/>
      <c r="P5" s="329"/>
      <c r="Q5" s="329"/>
      <c r="R5" s="329"/>
    </row>
    <row r="6" spans="1:18" ht="16.5" thickBot="1" x14ac:dyDescent="0.3">
      <c r="A6" s="856" t="s">
        <v>228</v>
      </c>
      <c r="B6" s="857"/>
      <c r="C6" s="857"/>
      <c r="D6" s="857"/>
      <c r="E6" s="857"/>
      <c r="F6" s="857"/>
      <c r="G6" s="857"/>
      <c r="H6" s="857"/>
      <c r="I6" s="857"/>
      <c r="J6" s="857"/>
      <c r="K6" s="857"/>
      <c r="L6" s="857"/>
      <c r="M6" s="857"/>
      <c r="N6" s="857"/>
      <c r="O6" s="857"/>
      <c r="P6" s="857"/>
      <c r="Q6" s="858"/>
      <c r="R6" s="183"/>
    </row>
    <row r="7" spans="1:18" s="383" customFormat="1" ht="15" x14ac:dyDescent="0.25">
      <c r="A7" s="88" t="s">
        <v>83</v>
      </c>
      <c r="B7" s="1027" t="s">
        <v>175</v>
      </c>
      <c r="C7" s="1028"/>
      <c r="D7" s="1028"/>
      <c r="E7" s="1028"/>
      <c r="F7" s="1028"/>
      <c r="G7" s="1029"/>
      <c r="H7" s="983" t="s">
        <v>176</v>
      </c>
      <c r="I7" s="984"/>
      <c r="J7" s="984"/>
      <c r="K7" s="985"/>
      <c r="L7" s="335" t="s">
        <v>177</v>
      </c>
      <c r="M7" s="336"/>
      <c r="N7" s="336"/>
      <c r="O7" s="336"/>
      <c r="P7" s="336"/>
      <c r="Q7" s="337"/>
    </row>
    <row r="8" spans="1:18" ht="15" x14ac:dyDescent="0.2">
      <c r="A8" s="89">
        <v>1</v>
      </c>
      <c r="B8" s="973" t="s">
        <v>229</v>
      </c>
      <c r="C8" s="974"/>
      <c r="D8" s="974"/>
      <c r="E8" s="974"/>
      <c r="F8" s="974"/>
      <c r="G8" s="975"/>
      <c r="H8" s="995" t="s">
        <v>52</v>
      </c>
      <c r="I8" s="996"/>
      <c r="J8" s="996"/>
      <c r="K8" s="997"/>
      <c r="L8" s="1004" t="s">
        <v>230</v>
      </c>
      <c r="M8" s="1005"/>
      <c r="N8" s="1005"/>
      <c r="O8" s="1005"/>
      <c r="P8" s="1005"/>
      <c r="Q8" s="1006"/>
    </row>
    <row r="9" spans="1:18" ht="15" x14ac:dyDescent="0.2">
      <c r="A9" s="89">
        <f>A8+1</f>
        <v>2</v>
      </c>
      <c r="B9" s="973" t="s">
        <v>231</v>
      </c>
      <c r="C9" s="974"/>
      <c r="D9" s="974"/>
      <c r="E9" s="974"/>
      <c r="F9" s="974"/>
      <c r="G9" s="975"/>
      <c r="H9" s="995" t="s">
        <v>52</v>
      </c>
      <c r="I9" s="996"/>
      <c r="J9" s="996"/>
      <c r="K9" s="997"/>
      <c r="L9" s="1007"/>
      <c r="M9" s="1008"/>
      <c r="N9" s="1008"/>
      <c r="O9" s="1008"/>
      <c r="P9" s="1008"/>
      <c r="Q9" s="1009"/>
    </row>
    <row r="10" spans="1:18" ht="15" x14ac:dyDescent="0.2">
      <c r="A10" s="89">
        <f t="shared" ref="A10:A11" si="0">A9+1</f>
        <v>3</v>
      </c>
      <c r="B10" s="973" t="s">
        <v>232</v>
      </c>
      <c r="C10" s="974"/>
      <c r="D10" s="974"/>
      <c r="E10" s="974"/>
      <c r="F10" s="974"/>
      <c r="G10" s="975"/>
      <c r="H10" s="995" t="s">
        <v>52</v>
      </c>
      <c r="I10" s="996"/>
      <c r="J10" s="996"/>
      <c r="K10" s="997"/>
      <c r="L10" s="1007"/>
      <c r="M10" s="1008"/>
      <c r="N10" s="1008"/>
      <c r="O10" s="1008"/>
      <c r="P10" s="1008"/>
      <c r="Q10" s="1009"/>
    </row>
    <row r="11" spans="1:18" ht="15.75" thickBot="1" x14ac:dyDescent="0.25">
      <c r="A11" s="215">
        <f t="shared" si="0"/>
        <v>4</v>
      </c>
      <c r="B11" s="998" t="s">
        <v>233</v>
      </c>
      <c r="C11" s="999"/>
      <c r="D11" s="999"/>
      <c r="E11" s="999"/>
      <c r="F11" s="999"/>
      <c r="G11" s="1000"/>
      <c r="H11" s="1001" t="s">
        <v>52</v>
      </c>
      <c r="I11" s="1002"/>
      <c r="J11" s="1002"/>
      <c r="K11" s="1003"/>
      <c r="L11" s="1010"/>
      <c r="M11" s="1011"/>
      <c r="N11" s="1011"/>
      <c r="O11" s="1011"/>
      <c r="P11" s="1011"/>
      <c r="Q11" s="1012"/>
    </row>
    <row r="12" spans="1:18" s="377" customFormat="1" ht="15.75" thickBot="1" x14ac:dyDescent="0.25">
      <c r="A12" s="216"/>
      <c r="B12" s="217"/>
      <c r="C12" s="217"/>
      <c r="D12" s="217"/>
      <c r="E12" s="217"/>
      <c r="F12" s="217"/>
      <c r="G12" s="217"/>
      <c r="H12" s="384"/>
      <c r="I12" s="384"/>
      <c r="J12" s="384"/>
      <c r="K12" s="384"/>
      <c r="L12" s="385"/>
      <c r="M12" s="385"/>
      <c r="N12" s="385"/>
      <c r="O12" s="385"/>
      <c r="P12" s="385"/>
      <c r="Q12" s="385"/>
    </row>
    <row r="13" spans="1:18" ht="16.5" thickBot="1" x14ac:dyDescent="0.3">
      <c r="A13" s="856" t="s">
        <v>234</v>
      </c>
      <c r="B13" s="857"/>
      <c r="C13" s="857"/>
      <c r="D13" s="857"/>
      <c r="E13" s="857"/>
      <c r="F13" s="857"/>
      <c r="G13" s="857"/>
      <c r="H13" s="857"/>
      <c r="I13" s="857"/>
      <c r="J13" s="857"/>
      <c r="K13" s="857"/>
      <c r="L13" s="857"/>
      <c r="M13" s="857"/>
      <c r="N13" s="857"/>
      <c r="O13" s="857"/>
      <c r="P13" s="857"/>
      <c r="Q13" s="858"/>
    </row>
    <row r="14" spans="1:18" ht="14.1" customHeight="1" x14ac:dyDescent="0.25">
      <c r="A14" s="386" t="s">
        <v>83</v>
      </c>
      <c r="B14" s="980"/>
      <c r="C14" s="981"/>
      <c r="D14" s="981"/>
      <c r="E14" s="981"/>
      <c r="F14" s="981"/>
      <c r="G14" s="982"/>
      <c r="H14" s="983" t="s">
        <v>176</v>
      </c>
      <c r="I14" s="984"/>
      <c r="J14" s="984"/>
      <c r="K14" s="985"/>
      <c r="L14" s="387" t="s">
        <v>177</v>
      </c>
      <c r="M14" s="199"/>
      <c r="N14" s="199"/>
      <c r="O14" s="199"/>
      <c r="P14" s="199"/>
      <c r="Q14" s="200"/>
    </row>
    <row r="15" spans="1:18" ht="18" customHeight="1" x14ac:dyDescent="0.2">
      <c r="A15" s="89" t="s">
        <v>235</v>
      </c>
      <c r="B15" s="958" t="s">
        <v>236</v>
      </c>
      <c r="C15" s="959"/>
      <c r="D15" s="959"/>
      <c r="E15" s="959"/>
      <c r="F15" s="959"/>
      <c r="G15" s="960"/>
      <c r="H15" s="986"/>
      <c r="I15" s="987"/>
      <c r="J15" s="987"/>
      <c r="K15" s="988"/>
      <c r="L15" s="958" t="s">
        <v>237</v>
      </c>
      <c r="M15" s="959"/>
      <c r="N15" s="959"/>
      <c r="O15" s="959"/>
      <c r="P15" s="959"/>
      <c r="Q15" s="960"/>
    </row>
    <row r="16" spans="1:18" ht="33" customHeight="1" x14ac:dyDescent="0.2">
      <c r="A16" s="89" t="s">
        <v>238</v>
      </c>
      <c r="B16" s="970" t="s">
        <v>239</v>
      </c>
      <c r="C16" s="971"/>
      <c r="D16" s="971"/>
      <c r="E16" s="971"/>
      <c r="F16" s="971"/>
      <c r="G16" s="972"/>
      <c r="H16" s="989"/>
      <c r="I16" s="990"/>
      <c r="J16" s="990"/>
      <c r="K16" s="991"/>
      <c r="L16" s="958" t="s">
        <v>237</v>
      </c>
      <c r="M16" s="959"/>
      <c r="N16" s="959"/>
      <c r="O16" s="959"/>
      <c r="P16" s="959"/>
      <c r="Q16" s="960"/>
    </row>
    <row r="17" spans="1:17" ht="33.6" customHeight="1" x14ac:dyDescent="0.2">
      <c r="A17" s="89" t="s">
        <v>240</v>
      </c>
      <c r="B17" s="958" t="s">
        <v>241</v>
      </c>
      <c r="C17" s="959"/>
      <c r="D17" s="959"/>
      <c r="E17" s="959"/>
      <c r="F17" s="959"/>
      <c r="G17" s="960"/>
      <c r="H17" s="964">
        <v>0.5</v>
      </c>
      <c r="I17" s="965"/>
      <c r="J17" s="965"/>
      <c r="K17" s="966"/>
      <c r="L17" s="970" t="s">
        <v>242</v>
      </c>
      <c r="M17" s="971"/>
      <c r="N17" s="971"/>
      <c r="O17" s="971"/>
      <c r="P17" s="971"/>
      <c r="Q17" s="972"/>
    </row>
    <row r="18" spans="1:17" ht="18" customHeight="1" x14ac:dyDescent="0.2">
      <c r="A18" s="89" t="s">
        <v>243</v>
      </c>
      <c r="B18" s="958" t="s">
        <v>244</v>
      </c>
      <c r="C18" s="959"/>
      <c r="D18" s="959"/>
      <c r="E18" s="959"/>
      <c r="F18" s="959"/>
      <c r="G18" s="960"/>
      <c r="H18" s="976">
        <f>+H17*H16*H15</f>
        <v>0</v>
      </c>
      <c r="I18" s="977"/>
      <c r="J18" s="977"/>
      <c r="K18" s="978"/>
      <c r="L18" s="958" t="s">
        <v>245</v>
      </c>
      <c r="M18" s="959"/>
      <c r="N18" s="959"/>
      <c r="O18" s="959"/>
      <c r="P18" s="959"/>
      <c r="Q18" s="960"/>
    </row>
    <row r="19" spans="1:17" ht="18" customHeight="1" x14ac:dyDescent="0.2">
      <c r="A19" s="89" t="s">
        <v>246</v>
      </c>
      <c r="B19" s="958" t="s">
        <v>247</v>
      </c>
      <c r="C19" s="959"/>
      <c r="D19" s="959"/>
      <c r="E19" s="959"/>
      <c r="F19" s="959"/>
      <c r="G19" s="960"/>
      <c r="H19" s="964">
        <v>0.2</v>
      </c>
      <c r="I19" s="965"/>
      <c r="J19" s="965"/>
      <c r="K19" s="966"/>
      <c r="L19" s="958" t="s">
        <v>248</v>
      </c>
      <c r="M19" s="959"/>
      <c r="N19" s="959"/>
      <c r="O19" s="959"/>
      <c r="P19" s="959"/>
      <c r="Q19" s="960"/>
    </row>
    <row r="20" spans="1:17" ht="18" customHeight="1" x14ac:dyDescent="0.2">
      <c r="A20" s="89" t="s">
        <v>249</v>
      </c>
      <c r="B20" s="958" t="s">
        <v>250</v>
      </c>
      <c r="C20" s="959"/>
      <c r="D20" s="959"/>
      <c r="E20" s="959"/>
      <c r="F20" s="959"/>
      <c r="G20" s="960"/>
      <c r="H20" s="976">
        <f>+H19*H18</f>
        <v>0</v>
      </c>
      <c r="I20" s="977"/>
      <c r="J20" s="977"/>
      <c r="K20" s="978"/>
      <c r="L20" s="958" t="s">
        <v>251</v>
      </c>
      <c r="M20" s="959"/>
      <c r="N20" s="959"/>
      <c r="O20" s="959"/>
      <c r="P20" s="959"/>
      <c r="Q20" s="960"/>
    </row>
    <row r="21" spans="1:17" ht="33" customHeight="1" x14ac:dyDescent="0.2">
      <c r="A21" s="89" t="s">
        <v>252</v>
      </c>
      <c r="B21" s="958" t="s">
        <v>253</v>
      </c>
      <c r="C21" s="959"/>
      <c r="D21" s="959"/>
      <c r="E21" s="959"/>
      <c r="F21" s="959"/>
      <c r="G21" s="960"/>
      <c r="H21" s="964">
        <v>1.1499999999999999</v>
      </c>
      <c r="I21" s="965"/>
      <c r="J21" s="965"/>
      <c r="K21" s="966"/>
      <c r="L21" s="973" t="s">
        <v>254</v>
      </c>
      <c r="M21" s="974"/>
      <c r="N21" s="974"/>
      <c r="O21" s="974"/>
      <c r="P21" s="974"/>
      <c r="Q21" s="975"/>
    </row>
    <row r="22" spans="1:17" ht="18" customHeight="1" x14ac:dyDescent="0.2">
      <c r="A22" s="89" t="s">
        <v>255</v>
      </c>
      <c r="B22" s="958" t="s">
        <v>256</v>
      </c>
      <c r="C22" s="959"/>
      <c r="D22" s="959"/>
      <c r="E22" s="959"/>
      <c r="F22" s="959"/>
      <c r="G22" s="960"/>
      <c r="H22" s="976">
        <f>H20/H21</f>
        <v>0</v>
      </c>
      <c r="I22" s="977"/>
      <c r="J22" s="977"/>
      <c r="K22" s="978"/>
      <c r="L22" s="958" t="s">
        <v>257</v>
      </c>
      <c r="M22" s="959"/>
      <c r="N22" s="959"/>
      <c r="O22" s="959"/>
      <c r="P22" s="959"/>
      <c r="Q22" s="960"/>
    </row>
    <row r="23" spans="1:17" ht="18" customHeight="1" x14ac:dyDescent="0.2">
      <c r="A23" s="89" t="s">
        <v>258</v>
      </c>
      <c r="B23" s="958" t="s">
        <v>259</v>
      </c>
      <c r="C23" s="959"/>
      <c r="D23" s="959"/>
      <c r="E23" s="959"/>
      <c r="F23" s="959"/>
      <c r="G23" s="960"/>
      <c r="H23" s="979">
        <f>IF('Project Description'!C48="",0,IF(NOT(ISNUMBER('Project Description'!C48)),"Correct entry in row 48 of the Proj. Descr. Template",'Project Description'!C48))</f>
        <v>0</v>
      </c>
      <c r="I23" s="979"/>
      <c r="J23" s="979"/>
      <c r="K23" s="979"/>
      <c r="L23" s="958" t="s">
        <v>260</v>
      </c>
      <c r="M23" s="959"/>
      <c r="N23" s="959"/>
      <c r="O23" s="959"/>
      <c r="P23" s="959"/>
      <c r="Q23" s="960"/>
    </row>
    <row r="24" spans="1:17" ht="18" customHeight="1" x14ac:dyDescent="0.2">
      <c r="A24" s="89" t="s">
        <v>261</v>
      </c>
      <c r="B24" s="958" t="s">
        <v>262</v>
      </c>
      <c r="C24" s="959"/>
      <c r="D24" s="959"/>
      <c r="E24" s="959"/>
      <c r="F24" s="959"/>
      <c r="G24" s="960"/>
      <c r="H24" s="964">
        <v>0.5</v>
      </c>
      <c r="I24" s="965"/>
      <c r="J24" s="965"/>
      <c r="K24" s="966"/>
      <c r="L24" s="958" t="s">
        <v>248</v>
      </c>
      <c r="M24" s="959"/>
      <c r="N24" s="959"/>
      <c r="O24" s="959"/>
      <c r="P24" s="959"/>
      <c r="Q24" s="960"/>
    </row>
    <row r="25" spans="1:17" ht="18" customHeight="1" thickBot="1" x14ac:dyDescent="0.25">
      <c r="A25" s="215" t="s">
        <v>263</v>
      </c>
      <c r="B25" s="961" t="s">
        <v>264</v>
      </c>
      <c r="C25" s="962"/>
      <c r="D25" s="962"/>
      <c r="E25" s="962"/>
      <c r="F25" s="962"/>
      <c r="G25" s="963"/>
      <c r="H25" s="967">
        <f>IF(NOT(ISNUMBER('Project Description'!C48)),0,H22*H23*H24)</f>
        <v>0</v>
      </c>
      <c r="I25" s="968"/>
      <c r="J25" s="968"/>
      <c r="K25" s="969"/>
      <c r="L25" s="961" t="s">
        <v>265</v>
      </c>
      <c r="M25" s="962"/>
      <c r="N25" s="962"/>
      <c r="O25" s="962"/>
      <c r="P25" s="962"/>
      <c r="Q25" s="963"/>
    </row>
    <row r="26" spans="1:17" s="379" customFormat="1" ht="15.75" thickBot="1" x14ac:dyDescent="0.25">
      <c r="A26" s="196"/>
      <c r="B26" s="197"/>
      <c r="C26" s="197"/>
      <c r="D26" s="197"/>
      <c r="E26" s="197"/>
      <c r="F26" s="197"/>
      <c r="G26" s="197"/>
      <c r="H26" s="388"/>
      <c r="I26" s="388"/>
      <c r="J26" s="388"/>
      <c r="K26" s="388"/>
      <c r="L26" s="389"/>
      <c r="M26" s="389"/>
      <c r="N26" s="389"/>
      <c r="O26" s="389"/>
      <c r="P26" s="389"/>
      <c r="Q26" s="389"/>
    </row>
    <row r="27" spans="1:17" s="377" customFormat="1" ht="16.5" thickBot="1" x14ac:dyDescent="0.3">
      <c r="A27" s="856" t="s">
        <v>266</v>
      </c>
      <c r="B27" s="857"/>
      <c r="C27" s="857"/>
      <c r="D27" s="857"/>
      <c r="E27" s="857"/>
      <c r="F27" s="857"/>
      <c r="G27" s="857"/>
      <c r="H27" s="857"/>
      <c r="I27" s="857"/>
      <c r="J27" s="857"/>
      <c r="K27" s="857"/>
      <c r="L27" s="857"/>
      <c r="M27" s="857"/>
      <c r="N27" s="857"/>
      <c r="O27" s="857"/>
      <c r="P27" s="857"/>
      <c r="Q27" s="858"/>
    </row>
    <row r="28" spans="1:17" ht="24.75" customHeight="1" x14ac:dyDescent="0.25">
      <c r="A28" s="89"/>
      <c r="B28" s="338"/>
      <c r="C28" s="339"/>
      <c r="D28" s="339"/>
      <c r="E28" s="339"/>
      <c r="F28" s="339"/>
      <c r="G28" s="340"/>
      <c r="H28" s="1036" t="str">
        <f>'Travel Forecasts'!D8</f>
        <v>Current Year ()</v>
      </c>
      <c r="I28" s="1037"/>
      <c r="J28" s="1059" t="str">
        <f>'Travel Forecasts'!E8</f>
        <v>Horizon (None)</v>
      </c>
      <c r="K28" s="1060"/>
      <c r="L28" s="90"/>
      <c r="M28" s="91"/>
      <c r="N28" s="91"/>
      <c r="O28" s="91"/>
      <c r="P28" s="91"/>
      <c r="Q28" s="92"/>
    </row>
    <row r="29" spans="1:17" ht="15" x14ac:dyDescent="0.25">
      <c r="A29" s="89">
        <f>A11+1</f>
        <v>5</v>
      </c>
      <c r="B29" s="1030" t="s">
        <v>267</v>
      </c>
      <c r="C29" s="1031"/>
      <c r="D29" s="1031"/>
      <c r="E29" s="1031"/>
      <c r="F29" s="1031"/>
      <c r="G29" s="1032"/>
      <c r="H29" s="1038" t="str">
        <f>IF(OR(H8="(Select…)",H9="(Select…)",H10="(Select…)",H11="(Select…)"),"-",G51+G67+G85+G101+G118+G134+G151+G166)</f>
        <v>-</v>
      </c>
      <c r="I29" s="1039"/>
      <c r="J29" s="1040" t="str">
        <f>IF(H29="-",H29,IF(OR('Project Description'!C96="None",'Project Description'!$C$92="Yes"),"---",IF('Project Description'!C96="10 Years",L51+L67+L85+L101+L118+L134+L151+L166,IF('Project Description'!C96="20 Years",Q51+Q67+Q85+Q101+Q118+Q134+Q151+Q166,"-"))))</f>
        <v>-</v>
      </c>
      <c r="K29" s="1041"/>
      <c r="L29" s="1045" t="s">
        <v>268</v>
      </c>
      <c r="M29" s="1046"/>
      <c r="N29" s="1046"/>
      <c r="O29" s="1046"/>
      <c r="P29" s="1046"/>
      <c r="Q29" s="1047"/>
    </row>
    <row r="30" spans="1:17" ht="15" x14ac:dyDescent="0.25">
      <c r="A30" s="89">
        <f>A29+1</f>
        <v>6</v>
      </c>
      <c r="B30" s="1030" t="s">
        <v>269</v>
      </c>
      <c r="C30" s="1031"/>
      <c r="D30" s="1031"/>
      <c r="E30" s="1031"/>
      <c r="F30" s="1031"/>
      <c r="G30" s="1032"/>
      <c r="H30" s="1038" t="str">
        <f>IF(H29="-",H29,'Mobility Cost Eff &amp; Cong Relief'!C19)</f>
        <v>-</v>
      </c>
      <c r="I30" s="1039"/>
      <c r="J30" s="1040" t="str">
        <f>IF('Project Description'!$C$92="Yes","---",IF(H29="-",H29,'Mobility Cost Eff &amp; Cong Relief'!D19))</f>
        <v>-</v>
      </c>
      <c r="K30" s="1041"/>
      <c r="L30" s="90" t="s">
        <v>270</v>
      </c>
      <c r="M30" s="91"/>
      <c r="N30" s="91"/>
      <c r="O30" s="91"/>
      <c r="P30" s="91"/>
      <c r="Q30" s="92"/>
    </row>
    <row r="31" spans="1:17" ht="15" x14ac:dyDescent="0.25">
      <c r="A31" s="89">
        <f t="shared" ref="A31:A32" si="1">A30+1</f>
        <v>7</v>
      </c>
      <c r="B31" s="1030" t="s">
        <v>271</v>
      </c>
      <c r="C31" s="1031"/>
      <c r="D31" s="1031"/>
      <c r="E31" s="1031"/>
      <c r="F31" s="1031"/>
      <c r="G31" s="1032"/>
      <c r="H31" s="1048" t="str">
        <f>IF(H29="-",H29,IF(H30=0,0,H29/H30))</f>
        <v>-</v>
      </c>
      <c r="I31" s="1049"/>
      <c r="J31" s="1050" t="str">
        <f>IF('Project Description'!$C$92="Yes","---",IF(OR(H29="-",'Project Description'!C96="(Select…)"),"-",IF(J30=0,0,IF('Project Description'!C96="None","---",J29/J30))))</f>
        <v>-</v>
      </c>
      <c r="K31" s="1051"/>
      <c r="L31" s="90" t="s">
        <v>272</v>
      </c>
      <c r="M31" s="91"/>
      <c r="N31" s="91"/>
      <c r="O31" s="91"/>
      <c r="P31" s="91"/>
      <c r="Q31" s="92"/>
    </row>
    <row r="32" spans="1:17" ht="51.75" customHeight="1" thickBot="1" x14ac:dyDescent="0.25">
      <c r="A32" s="93">
        <f t="shared" si="1"/>
        <v>8</v>
      </c>
      <c r="B32" s="1033" t="s">
        <v>178</v>
      </c>
      <c r="C32" s="1034"/>
      <c r="D32" s="1034"/>
      <c r="E32" s="1034"/>
      <c r="F32" s="1034"/>
      <c r="G32" s="1035"/>
      <c r="H32" s="1056" t="str">
        <f>IF(OR(H29="-",J29="-"),"-",IF(AND(H31=0,J31=0),0,IF(OR('Project Description'!C96="10 Years",'Project Description'!C96="20 Years"),AVERAGE(H31,J31),H31)))</f>
        <v>-</v>
      </c>
      <c r="I32" s="1057"/>
      <c r="J32" s="1057"/>
      <c r="K32" s="1058"/>
      <c r="L32" s="998" t="s">
        <v>273</v>
      </c>
      <c r="M32" s="999"/>
      <c r="N32" s="999"/>
      <c r="O32" s="999"/>
      <c r="P32" s="999"/>
      <c r="Q32" s="1000"/>
    </row>
    <row r="33" spans="1:18" ht="14.1" customHeight="1" thickBot="1" x14ac:dyDescent="0.25">
      <c r="A33" s="196"/>
      <c r="B33" s="197"/>
      <c r="C33" s="197"/>
      <c r="D33" s="197"/>
      <c r="E33" s="197"/>
      <c r="F33" s="197"/>
      <c r="G33" s="197"/>
      <c r="H33" s="1042" t="str">
        <f>IF(Lookups!$K$20="No",doesntMeetThresholds,IF(OR(Lookups!$K$20="Unknown",H32=0,H32="-"),"",VLOOKUP(H32,Lookups!B28:C32,2)))</f>
        <v/>
      </c>
      <c r="I33" s="1043"/>
      <c r="J33" s="1043"/>
      <c r="K33" s="1044"/>
      <c r="L33" s="197"/>
      <c r="M33" s="197"/>
      <c r="N33" s="197"/>
      <c r="O33" s="197"/>
      <c r="P33" s="197"/>
      <c r="Q33" s="197"/>
    </row>
    <row r="34" spans="1:18" s="377" customFormat="1" ht="14.1" customHeight="1" thickBot="1" x14ac:dyDescent="0.25">
      <c r="A34" s="196"/>
      <c r="B34" s="197"/>
      <c r="C34" s="197"/>
      <c r="D34" s="197"/>
      <c r="E34" s="197"/>
      <c r="F34" s="197"/>
      <c r="G34" s="197"/>
      <c r="H34" s="198"/>
      <c r="I34" s="198"/>
      <c r="J34" s="198"/>
      <c r="K34" s="198"/>
      <c r="L34" s="197"/>
      <c r="M34" s="197"/>
      <c r="N34" s="197"/>
      <c r="O34" s="197"/>
      <c r="P34" s="197"/>
      <c r="Q34" s="197"/>
    </row>
    <row r="35" spans="1:18" ht="20.25" customHeight="1" thickBot="1" x14ac:dyDescent="0.25">
      <c r="A35" s="1014" t="s">
        <v>274</v>
      </c>
      <c r="B35" s="1015"/>
      <c r="C35" s="1015"/>
      <c r="D35" s="1015"/>
      <c r="E35" s="1015"/>
      <c r="F35" s="1015"/>
      <c r="G35" s="1015"/>
      <c r="H35" s="1015"/>
      <c r="I35" s="1015"/>
      <c r="J35" s="1015"/>
      <c r="K35" s="1015"/>
      <c r="L35" s="1015"/>
      <c r="M35" s="1015"/>
      <c r="N35" s="1015"/>
      <c r="O35" s="1015"/>
      <c r="P35" s="1015"/>
      <c r="Q35" s="1016"/>
    </row>
    <row r="36" spans="1:18" ht="16.5" thickBot="1" x14ac:dyDescent="0.3">
      <c r="A36" s="1052" t="s">
        <v>275</v>
      </c>
      <c r="B36" s="1053"/>
      <c r="C36" s="1053"/>
      <c r="D36" s="1053"/>
      <c r="E36" s="1053"/>
      <c r="F36" s="1053"/>
      <c r="G36" s="1053"/>
      <c r="H36" s="1053"/>
      <c r="I36" s="1053"/>
      <c r="J36" s="1053"/>
      <c r="K36" s="1053"/>
      <c r="L36" s="1053"/>
      <c r="M36" s="1053"/>
      <c r="N36" s="1053"/>
      <c r="O36" s="1053"/>
      <c r="P36" s="1053"/>
      <c r="Q36" s="1054"/>
      <c r="R36" s="183"/>
    </row>
    <row r="37" spans="1:18" s="79" customFormat="1" ht="16.5" thickBot="1" x14ac:dyDescent="0.3">
      <c r="A37" s="1055"/>
      <c r="B37" s="1055"/>
      <c r="C37" s="1055"/>
      <c r="D37" s="1055"/>
      <c r="E37" s="1055"/>
      <c r="F37" s="1055"/>
      <c r="G37" s="1055"/>
      <c r="H37" s="1055"/>
      <c r="I37" s="1055"/>
      <c r="J37" s="1055"/>
      <c r="K37" s="1055"/>
      <c r="L37" s="1055"/>
      <c r="M37" s="183"/>
      <c r="N37" s="183"/>
      <c r="O37" s="183"/>
      <c r="P37" s="183"/>
      <c r="Q37" s="183"/>
      <c r="R37" s="183"/>
    </row>
    <row r="38" spans="1:18" ht="19.5" customHeight="1" thickBot="1" x14ac:dyDescent="0.3">
      <c r="A38" s="1017" t="s">
        <v>276</v>
      </c>
      <c r="B38" s="1018"/>
      <c r="C38" s="1018"/>
      <c r="D38" s="1018"/>
      <c r="E38" s="1018"/>
      <c r="F38" s="1018"/>
      <c r="G38" s="1018"/>
      <c r="H38" s="1018"/>
      <c r="I38" s="1018"/>
      <c r="J38" s="1018"/>
      <c r="K38" s="1018"/>
      <c r="L38" s="1018"/>
      <c r="M38" s="1018"/>
      <c r="N38" s="1018"/>
      <c r="O38" s="1018"/>
      <c r="P38" s="1018"/>
      <c r="Q38" s="1019"/>
      <c r="R38" s="183"/>
    </row>
    <row r="39" spans="1:18" s="368" customFormat="1" ht="15.75" x14ac:dyDescent="0.25">
      <c r="A39" s="1020" t="s">
        <v>83</v>
      </c>
      <c r="B39" s="1022" t="s">
        <v>277</v>
      </c>
      <c r="C39" s="1024" t="s">
        <v>33</v>
      </c>
      <c r="D39" s="1025"/>
      <c r="E39" s="1025"/>
      <c r="F39" s="1025"/>
      <c r="G39" s="1026"/>
      <c r="H39" s="1025" t="s">
        <v>278</v>
      </c>
      <c r="I39" s="1025"/>
      <c r="J39" s="1025"/>
      <c r="K39" s="1025"/>
      <c r="L39" s="1025"/>
      <c r="M39" s="1024" t="s">
        <v>279</v>
      </c>
      <c r="N39" s="1025"/>
      <c r="O39" s="1025"/>
      <c r="P39" s="1025"/>
      <c r="Q39" s="1026"/>
      <c r="R39" s="285"/>
    </row>
    <row r="40" spans="1:18" s="368" customFormat="1" ht="60" customHeight="1" x14ac:dyDescent="0.2">
      <c r="A40" s="1021"/>
      <c r="B40" s="1023"/>
      <c r="C40" s="95" t="s">
        <v>280</v>
      </c>
      <c r="D40" s="96" t="s">
        <v>281</v>
      </c>
      <c r="E40" s="96" t="s">
        <v>282</v>
      </c>
      <c r="F40" s="97" t="s">
        <v>283</v>
      </c>
      <c r="G40" s="98" t="s">
        <v>284</v>
      </c>
      <c r="H40" s="99" t="s">
        <v>280</v>
      </c>
      <c r="I40" s="96" t="s">
        <v>281</v>
      </c>
      <c r="J40" s="96" t="s">
        <v>282</v>
      </c>
      <c r="K40" s="97" t="s">
        <v>283</v>
      </c>
      <c r="L40" s="98" t="s">
        <v>284</v>
      </c>
      <c r="M40" s="95" t="s">
        <v>280</v>
      </c>
      <c r="N40" s="96" t="s">
        <v>281</v>
      </c>
      <c r="O40" s="96" t="s">
        <v>282</v>
      </c>
      <c r="P40" s="97" t="s">
        <v>283</v>
      </c>
      <c r="Q40" s="98" t="s">
        <v>284</v>
      </c>
      <c r="R40" s="285"/>
    </row>
    <row r="41" spans="1:18" s="368" customFormat="1" ht="18" customHeight="1" x14ac:dyDescent="0.2">
      <c r="A41" s="100">
        <f>A32+1</f>
        <v>9</v>
      </c>
      <c r="B41" s="101" t="s">
        <v>126</v>
      </c>
      <c r="C41" s="102">
        <f>IF('Project Description'!$C$92="Yes",H25,-'Travel Forecasts'!M31)</f>
        <v>0</v>
      </c>
      <c r="D41" s="103">
        <v>3.3426578569999998E-3</v>
      </c>
      <c r="E41" s="104">
        <f>C41*D41</f>
        <v>0</v>
      </c>
      <c r="F41" s="468" t="str">
        <f>IF($H$8="Attainment",0.08,IF($H$8="Maintenance",0.1,IF($H$8="Nonattainment",0.12,"-")))</f>
        <v>-</v>
      </c>
      <c r="G41" s="106" t="str">
        <f t="shared" ref="G41:G50" si="2">IF($H$8="(Select…)","-",E41*F41)</f>
        <v>-</v>
      </c>
      <c r="H41" s="107" t="str">
        <f>IF('Project Description'!$C$96="10 Years",-'Travel Forecasts'!N31,"---")</f>
        <v>---</v>
      </c>
      <c r="I41" s="471">
        <v>1.9807305260000001E-3</v>
      </c>
      <c r="J41" s="473" t="str">
        <f>IF('Project Description'!$C$96="10 Years",H41*I41,"---")</f>
        <v>---</v>
      </c>
      <c r="K41" s="468" t="str">
        <f t="shared" ref="K41:K50" si="3">IF($H$8="Attainment",0.08,IF($H$8="Maintenance",0.1,IF($H$8="Nonattainment",0.12,"-")))</f>
        <v>-</v>
      </c>
      <c r="L41" s="106" t="str">
        <f>IF($H$8="(Select…)","-",IF('Project Description'!$C$96="10 Years",J41*K41,"---"))</f>
        <v>-</v>
      </c>
      <c r="M41" s="102" t="str">
        <f>IF('Project Description'!$C$96="20 Years",-'Travel Forecasts'!N31,"---")</f>
        <v>---</v>
      </c>
      <c r="N41" s="108">
        <v>1.2049044000000001E-3</v>
      </c>
      <c r="O41" s="104" t="str">
        <f>IF('Project Description'!$C$96="20 Years",M41*N41,"---")</f>
        <v>---</v>
      </c>
      <c r="P41" s="109" t="str">
        <f t="shared" ref="P41:P50" si="4">IF($H$8="Attainment",0.08,IF($H$8="Maintenance",0.1,IF($H$8="Nonattainment",0.12,"-")))</f>
        <v>-</v>
      </c>
      <c r="Q41" s="106" t="str">
        <f>IF($H$8="(Select…)","-",IF('Project Description'!$C$96="20 Years",O41*P41,"---"))</f>
        <v>-</v>
      </c>
      <c r="R41" s="285"/>
    </row>
    <row r="42" spans="1:18" s="368" customFormat="1" ht="18" customHeight="1" x14ac:dyDescent="0.2">
      <c r="A42" s="110">
        <f>A41+1</f>
        <v>10</v>
      </c>
      <c r="B42" s="111" t="s">
        <v>285</v>
      </c>
      <c r="C42" s="112">
        <f>-'Travel Forecasts'!M32</f>
        <v>0</v>
      </c>
      <c r="D42" s="113">
        <v>2.1782944899999997E-3</v>
      </c>
      <c r="E42" s="114">
        <f t="shared" ref="E42:E50" si="5">C42*D42</f>
        <v>0</v>
      </c>
      <c r="F42" s="469" t="str">
        <f t="shared" ref="F42:F50" si="6">IF($H$8="Attainment",0.08,IF($H$8="Maintenance",0.1,IF($H$8="Nonattainment",0.12,"-")))</f>
        <v>-</v>
      </c>
      <c r="G42" s="116" t="str">
        <f t="shared" si="2"/>
        <v>-</v>
      </c>
      <c r="H42" s="117" t="str">
        <f>IF('Project Description'!$C$96="10 Years",-'Travel Forecasts'!N32,"---")</f>
        <v>---</v>
      </c>
      <c r="I42" s="472">
        <v>1.8879846080000001E-3</v>
      </c>
      <c r="J42" s="474" t="str">
        <f>IF('Project Description'!$C$96="10 Years",H42*I42,"---")</f>
        <v>---</v>
      </c>
      <c r="K42" s="469" t="str">
        <f t="shared" si="3"/>
        <v>-</v>
      </c>
      <c r="L42" s="116" t="str">
        <f>IF($H$8="(Select…)","-",IF('Project Description'!$C$96="10 Years",J42*K42,"---"))</f>
        <v>-</v>
      </c>
      <c r="M42" s="112" t="str">
        <f>IF('Project Description'!$C$96="20 Years",-'Travel Forecasts'!N32,"---")</f>
        <v>---</v>
      </c>
      <c r="N42" s="118">
        <v>1.7743636490000002E-3</v>
      </c>
      <c r="O42" s="114" t="str">
        <f>IF('Project Description'!$C$96="20 Years",M42*N42,"---")</f>
        <v>---</v>
      </c>
      <c r="P42" s="119" t="str">
        <f t="shared" si="4"/>
        <v>-</v>
      </c>
      <c r="Q42" s="120" t="str">
        <f>IF($H$8="(Select…)","-",IF('Project Description'!$C$96="20 Years",O42*P42,"---"))</f>
        <v>-</v>
      </c>
      <c r="R42" s="285"/>
    </row>
    <row r="43" spans="1:18" s="368" customFormat="1" ht="18" customHeight="1" x14ac:dyDescent="0.2">
      <c r="A43" s="110">
        <f t="shared" ref="A43:A51" si="7">A42+1</f>
        <v>11</v>
      </c>
      <c r="B43" s="111" t="s">
        <v>286</v>
      </c>
      <c r="C43" s="112">
        <f>-'Travel Forecasts'!M33</f>
        <v>0</v>
      </c>
      <c r="D43" s="113">
        <v>2.1782944899999997E-3</v>
      </c>
      <c r="E43" s="114">
        <f t="shared" si="5"/>
        <v>0</v>
      </c>
      <c r="F43" s="469" t="str">
        <f t="shared" si="6"/>
        <v>-</v>
      </c>
      <c r="G43" s="116" t="str">
        <f t="shared" si="2"/>
        <v>-</v>
      </c>
      <c r="H43" s="117" t="str">
        <f>IF('Project Description'!$C$96="10 Years",-'Travel Forecasts'!N33,"---")</f>
        <v>---</v>
      </c>
      <c r="I43" s="472">
        <v>1.8879846080000001E-3</v>
      </c>
      <c r="J43" s="474" t="str">
        <f>IF('Project Description'!$C$96="10 Years",H43*I43,"---")</f>
        <v>---</v>
      </c>
      <c r="K43" s="469" t="str">
        <f t="shared" si="3"/>
        <v>-</v>
      </c>
      <c r="L43" s="116" t="str">
        <f>IF($H$8="(Select…)","-",IF('Project Description'!$C$96="10 Years",J43*K43,"---"))</f>
        <v>-</v>
      </c>
      <c r="M43" s="112" t="str">
        <f>IF('Project Description'!$C$96="20 Years",-'Travel Forecasts'!N33,"---")</f>
        <v>---</v>
      </c>
      <c r="N43" s="118">
        <v>1.7743636490000002E-3</v>
      </c>
      <c r="O43" s="114" t="str">
        <f>IF('Project Description'!$C$96="20 Years",M43*N43,"---")</f>
        <v>---</v>
      </c>
      <c r="P43" s="119" t="str">
        <f t="shared" si="4"/>
        <v>-</v>
      </c>
      <c r="Q43" s="120" t="str">
        <f>IF($H$8="(Select…)","-",IF('Project Description'!$C$96="20 Years",O43*P43,"---"))</f>
        <v>-</v>
      </c>
      <c r="R43" s="285"/>
    </row>
    <row r="44" spans="1:18" s="368" customFormat="1" ht="18" customHeight="1" x14ac:dyDescent="0.2">
      <c r="A44" s="110">
        <f t="shared" si="7"/>
        <v>12</v>
      </c>
      <c r="B44" s="111" t="s">
        <v>287</v>
      </c>
      <c r="C44" s="112">
        <f>-'Travel Forecasts'!M34</f>
        <v>0</v>
      </c>
      <c r="D44" s="113">
        <v>2.4963670270000002E-2</v>
      </c>
      <c r="E44" s="114">
        <f t="shared" si="5"/>
        <v>0</v>
      </c>
      <c r="F44" s="469" t="str">
        <f t="shared" si="6"/>
        <v>-</v>
      </c>
      <c r="G44" s="116" t="str">
        <f t="shared" si="2"/>
        <v>-</v>
      </c>
      <c r="H44" s="117" t="str">
        <f>IF('Project Description'!$C$96="10 Years",-'Travel Forecasts'!N34,"---")</f>
        <v>---</v>
      </c>
      <c r="I44" s="472">
        <v>3.140719854E-2</v>
      </c>
      <c r="J44" s="474" t="str">
        <f>IF('Project Description'!$C$96="10 Years",H44*I44,"---")</f>
        <v>---</v>
      </c>
      <c r="K44" s="469" t="str">
        <f t="shared" si="3"/>
        <v>-</v>
      </c>
      <c r="L44" s="116" t="str">
        <f>IF($H$8="(Select…)","-",IF('Project Description'!$C$96="10 Years",J44*K44,"---"))</f>
        <v>-</v>
      </c>
      <c r="M44" s="112" t="str">
        <f>IF('Project Description'!$C$96="20 Years",-'Travel Forecasts'!N34,"---")</f>
        <v>---</v>
      </c>
      <c r="N44" s="118">
        <v>3.2918603439999999E-2</v>
      </c>
      <c r="O44" s="114" t="str">
        <f>IF('Project Description'!$C$96="20 Years",M44*N44,"---")</f>
        <v>---</v>
      </c>
      <c r="P44" s="119" t="str">
        <f t="shared" si="4"/>
        <v>-</v>
      </c>
      <c r="Q44" s="120" t="str">
        <f>IF($H$8="(Select…)","-",IF('Project Description'!$C$96="20 Years",O44*P44,"---"))</f>
        <v>-</v>
      </c>
      <c r="R44" s="285"/>
    </row>
    <row r="45" spans="1:18" s="368" customFormat="1" ht="18" customHeight="1" x14ac:dyDescent="0.2">
      <c r="A45" s="110">
        <f t="shared" si="7"/>
        <v>13</v>
      </c>
      <c r="B45" s="111" t="s">
        <v>288</v>
      </c>
      <c r="C45" s="112">
        <f>-'Travel Forecasts'!M35</f>
        <v>0</v>
      </c>
      <c r="D45" s="113">
        <v>4.0227999999999998E-4</v>
      </c>
      <c r="E45" s="114">
        <f t="shared" si="5"/>
        <v>0</v>
      </c>
      <c r="F45" s="469" t="str">
        <f t="shared" si="6"/>
        <v>-</v>
      </c>
      <c r="G45" s="116" t="str">
        <f t="shared" si="2"/>
        <v>-</v>
      </c>
      <c r="H45" s="117" t="str">
        <f>IF('Project Description'!$C$96="10 Years",-'Travel Forecasts'!N35,"---")</f>
        <v>---</v>
      </c>
      <c r="I45" s="472">
        <v>2.7229000000000001E-4</v>
      </c>
      <c r="J45" s="474" t="str">
        <f>IF('Project Description'!$C$96="10 Years",H45*I45,"---")</f>
        <v>---</v>
      </c>
      <c r="K45" s="469" t="str">
        <f t="shared" si="3"/>
        <v>-</v>
      </c>
      <c r="L45" s="116" t="str">
        <f>IF($H$8="(Select…)","-",IF('Project Description'!$C$96="10 Years",J45*K45,"---"))</f>
        <v>-</v>
      </c>
      <c r="M45" s="112" t="str">
        <f>IF('Project Description'!$C$96="20 Years",-'Travel Forecasts'!N35,"---")</f>
        <v>---</v>
      </c>
      <c r="N45" s="118">
        <v>2.3685000000000001E-4</v>
      </c>
      <c r="O45" s="114" t="str">
        <f>IF('Project Description'!$C$96="20 Years",M45*N45,"---")</f>
        <v>---</v>
      </c>
      <c r="P45" s="119" t="str">
        <f t="shared" si="4"/>
        <v>-</v>
      </c>
      <c r="Q45" s="120" t="str">
        <f>IF($H$8="(Select…)","-",IF('Project Description'!$C$96="20 Years",O45*P45,"---"))</f>
        <v>-</v>
      </c>
      <c r="R45" s="285"/>
    </row>
    <row r="46" spans="1:18" s="368" customFormat="1" ht="18" customHeight="1" x14ac:dyDescent="0.2">
      <c r="A46" s="110">
        <f t="shared" si="7"/>
        <v>14</v>
      </c>
      <c r="B46" s="111" t="s">
        <v>289</v>
      </c>
      <c r="C46" s="112">
        <f>-'Travel Forecasts'!M36</f>
        <v>0</v>
      </c>
      <c r="D46" s="113">
        <v>6.550166666666667E-6</v>
      </c>
      <c r="E46" s="114">
        <f t="shared" si="5"/>
        <v>0</v>
      </c>
      <c r="F46" s="469" t="str">
        <f t="shared" si="6"/>
        <v>-</v>
      </c>
      <c r="G46" s="116" t="str">
        <f t="shared" si="2"/>
        <v>-</v>
      </c>
      <c r="H46" s="117" t="str">
        <f>IF('Project Description'!$C$96="10 Years",-'Travel Forecasts'!N36,"---")</f>
        <v>---</v>
      </c>
      <c r="I46" s="472">
        <v>5.5078333333333334E-6</v>
      </c>
      <c r="J46" s="474" t="str">
        <f>IF('Project Description'!$C$96="10 Years",H46*I46,"---")</f>
        <v>---</v>
      </c>
      <c r="K46" s="469" t="str">
        <f t="shared" si="3"/>
        <v>-</v>
      </c>
      <c r="L46" s="116" t="str">
        <f>IF($H$8="(Select…)","-",IF('Project Description'!$C$96="10 Years",J46*K46,"---"))</f>
        <v>-</v>
      </c>
      <c r="M46" s="112" t="str">
        <f>IF('Project Description'!$C$96="20 Years",-'Travel Forecasts'!N36,"---")</f>
        <v>---</v>
      </c>
      <c r="N46" s="118">
        <v>5.141833333333333E-6</v>
      </c>
      <c r="O46" s="114" t="str">
        <f>IF('Project Description'!$C$96="20 Years",M46*N46,"---")</f>
        <v>---</v>
      </c>
      <c r="P46" s="119" t="str">
        <f t="shared" si="4"/>
        <v>-</v>
      </c>
      <c r="Q46" s="120" t="str">
        <f>IF($H$8="(Select…)","-",IF('Project Description'!$C$96="20 Years",O46*P46,"---"))</f>
        <v>-</v>
      </c>
      <c r="R46" s="285"/>
    </row>
    <row r="47" spans="1:18" s="368" customFormat="1" ht="18" customHeight="1" x14ac:dyDescent="0.2">
      <c r="A47" s="110">
        <f t="shared" si="7"/>
        <v>15</v>
      </c>
      <c r="B47" s="111" t="s">
        <v>290</v>
      </c>
      <c r="C47" s="112">
        <f>-'Travel Forecasts'!M37</f>
        <v>0</v>
      </c>
      <c r="D47" s="113">
        <v>3.0105853658536591E-5</v>
      </c>
      <c r="E47" s="114">
        <f t="shared" si="5"/>
        <v>0</v>
      </c>
      <c r="F47" s="469" t="str">
        <f t="shared" si="6"/>
        <v>-</v>
      </c>
      <c r="G47" s="116" t="str">
        <f t="shared" si="2"/>
        <v>-</v>
      </c>
      <c r="H47" s="117" t="str">
        <f>IF('Project Description'!$C$96="10 Years",-'Travel Forecasts'!N37,"---")</f>
        <v>---</v>
      </c>
      <c r="I47" s="472">
        <v>2.5314634146341462E-5</v>
      </c>
      <c r="J47" s="474" t="str">
        <f>IF('Project Description'!$C$96="10 Years",H47*I47,"---")</f>
        <v>---</v>
      </c>
      <c r="K47" s="469" t="str">
        <f t="shared" si="3"/>
        <v>-</v>
      </c>
      <c r="L47" s="116" t="str">
        <f>IF($H$8="(Select…)","-",IF('Project Description'!$C$96="10 Years",J47*K47,"---"))</f>
        <v>-</v>
      </c>
      <c r="M47" s="112" t="str">
        <f>IF('Project Description'!$C$96="20 Years",-'Travel Forecasts'!N37,"---")</f>
        <v>---</v>
      </c>
      <c r="N47" s="118">
        <v>2.3632195121951223E-5</v>
      </c>
      <c r="O47" s="114" t="str">
        <f>IF('Project Description'!$C$96="20 Years",M47*N47,"---")</f>
        <v>---</v>
      </c>
      <c r="P47" s="119" t="str">
        <f t="shared" si="4"/>
        <v>-</v>
      </c>
      <c r="Q47" s="120" t="str">
        <f>IF($H$8="(Select…)","-",IF('Project Description'!$C$96="20 Years",O47*P47,"---"))</f>
        <v>-</v>
      </c>
      <c r="R47" s="285"/>
    </row>
    <row r="48" spans="1:18" s="368" customFormat="1" ht="25.5" x14ac:dyDescent="0.2">
      <c r="A48" s="110">
        <f t="shared" si="7"/>
        <v>16</v>
      </c>
      <c r="B48" s="111" t="s">
        <v>291</v>
      </c>
      <c r="C48" s="112">
        <f>-'Travel Forecasts'!M38</f>
        <v>0</v>
      </c>
      <c r="D48" s="113">
        <v>2.026E-2</v>
      </c>
      <c r="E48" s="114">
        <f t="shared" si="5"/>
        <v>0</v>
      </c>
      <c r="F48" s="469" t="str">
        <f t="shared" si="6"/>
        <v>-</v>
      </c>
      <c r="G48" s="116" t="str">
        <f t="shared" si="2"/>
        <v>-</v>
      </c>
      <c r="H48" s="117" t="str">
        <f>IF('Project Description'!$C$96="10 Years",-'Travel Forecasts'!N38,"---")</f>
        <v>---</v>
      </c>
      <c r="I48" s="472">
        <v>2.026E-2</v>
      </c>
      <c r="J48" s="474" t="str">
        <f>IF('Project Description'!$C$96="10 Years",H48*I48,"---")</f>
        <v>---</v>
      </c>
      <c r="K48" s="469" t="str">
        <f t="shared" si="3"/>
        <v>-</v>
      </c>
      <c r="L48" s="116" t="str">
        <f>IF($H$8="(Select…)","-",IF('Project Description'!$C$96="10 Years",J48*K48,"---"))</f>
        <v>-</v>
      </c>
      <c r="M48" s="112" t="str">
        <f>IF('Project Description'!$C$96="20 Years",-'Travel Forecasts'!N38,"---")</f>
        <v>---</v>
      </c>
      <c r="N48" s="118">
        <v>2.026E-2</v>
      </c>
      <c r="O48" s="114" t="str">
        <f>IF('Project Description'!$C$96="20 Years",M48*N48,"---")</f>
        <v>---</v>
      </c>
      <c r="P48" s="119" t="str">
        <f t="shared" si="4"/>
        <v>-</v>
      </c>
      <c r="Q48" s="120" t="str">
        <f>IF($H$8="(Select…)","-",IF('Project Description'!$C$96="20 Years",O48*P48,"---"))</f>
        <v>-</v>
      </c>
      <c r="R48" s="285"/>
    </row>
    <row r="49" spans="1:18" s="368" customFormat="1" ht="12.75" x14ac:dyDescent="0.2">
      <c r="A49" s="110">
        <f t="shared" si="7"/>
        <v>17</v>
      </c>
      <c r="B49" s="111" t="s">
        <v>292</v>
      </c>
      <c r="C49" s="112">
        <f>-'Travel Forecasts'!M39</f>
        <v>0</v>
      </c>
      <c r="D49" s="113">
        <v>2.026E-2</v>
      </c>
      <c r="E49" s="114">
        <f t="shared" si="5"/>
        <v>0</v>
      </c>
      <c r="F49" s="469" t="str">
        <f t="shared" si="6"/>
        <v>-</v>
      </c>
      <c r="G49" s="116" t="str">
        <f t="shared" si="2"/>
        <v>-</v>
      </c>
      <c r="H49" s="117" t="str">
        <f>IF('Project Description'!$C$96="10 Years",-'Travel Forecasts'!N39,"---")</f>
        <v>---</v>
      </c>
      <c r="I49" s="472">
        <v>2.026E-2</v>
      </c>
      <c r="J49" s="474" t="str">
        <f>IF('Project Description'!$C$96="10 Years",H49*I49,"---")</f>
        <v>---</v>
      </c>
      <c r="K49" s="469" t="str">
        <f t="shared" si="3"/>
        <v>-</v>
      </c>
      <c r="L49" s="116" t="str">
        <f>IF($H$8="(Select…)","-",IF('Project Description'!$C$96="10 Years",J49*K49,"---"))</f>
        <v>-</v>
      </c>
      <c r="M49" s="112" t="str">
        <f>IF('Project Description'!$C$96="20 Years",-'Travel Forecasts'!N39,"---")</f>
        <v>---</v>
      </c>
      <c r="N49" s="118">
        <v>2.026E-2</v>
      </c>
      <c r="O49" s="114" t="str">
        <f>IF('Project Description'!$C$96="20 Years",M49*N49,"---")</f>
        <v>---</v>
      </c>
      <c r="P49" s="119" t="str">
        <f t="shared" si="4"/>
        <v>-</v>
      </c>
      <c r="Q49" s="120" t="str">
        <f>IF($H$8="(Select…)","-",IF('Project Description'!$C$96="20 Years",O49*P49,"---"))</f>
        <v>-</v>
      </c>
      <c r="R49" s="285"/>
    </row>
    <row r="50" spans="1:18" s="368" customFormat="1" ht="18" customHeight="1" x14ac:dyDescent="0.2">
      <c r="A50" s="121">
        <f t="shared" si="7"/>
        <v>18</v>
      </c>
      <c r="B50" s="122" t="s">
        <v>293</v>
      </c>
      <c r="C50" s="112">
        <f>-'Travel Forecasts'!M40</f>
        <v>0</v>
      </c>
      <c r="D50" s="123">
        <v>2.9011142061281339E-5</v>
      </c>
      <c r="E50" s="124">
        <f t="shared" si="5"/>
        <v>0</v>
      </c>
      <c r="F50" s="470" t="str">
        <f t="shared" si="6"/>
        <v>-</v>
      </c>
      <c r="G50" s="126" t="str">
        <f t="shared" si="2"/>
        <v>-</v>
      </c>
      <c r="H50" s="117" t="str">
        <f>IF('Project Description'!$C$96="10 Years",-'Travel Forecasts'!N40,"---")</f>
        <v>---</v>
      </c>
      <c r="I50" s="472">
        <v>2.4393314763231198E-5</v>
      </c>
      <c r="J50" s="474" t="str">
        <f>IF('Project Description'!$C$96="10 Years",H50*I50,"---")</f>
        <v>---</v>
      </c>
      <c r="K50" s="470" t="str">
        <f t="shared" si="3"/>
        <v>-</v>
      </c>
      <c r="L50" s="126" t="str">
        <f>IF($H$8="(Select…)","-",IF('Project Description'!$C$96="10 Years",J50*K50,"---"))</f>
        <v>-</v>
      </c>
      <c r="M50" s="112" t="str">
        <f>IF('Project Description'!$C$96="20 Years",-'Travel Forecasts'!N40,"---")</f>
        <v>---</v>
      </c>
      <c r="N50" s="127">
        <v>2.2772144846796658E-5</v>
      </c>
      <c r="O50" s="114" t="str">
        <f>IF('Project Description'!$C$96="20 Years",M50*N50,"---")</f>
        <v>---</v>
      </c>
      <c r="P50" s="128" t="str">
        <f t="shared" si="4"/>
        <v>-</v>
      </c>
      <c r="Q50" s="129" t="str">
        <f>IF($H$8="(Select…)","-",IF('Project Description'!$C$96="20 Years",O50*P50,"---"))</f>
        <v>-</v>
      </c>
      <c r="R50" s="285"/>
    </row>
    <row r="51" spans="1:18" ht="16.5" thickBot="1" x14ac:dyDescent="0.25">
      <c r="A51" s="130">
        <f t="shared" si="7"/>
        <v>19</v>
      </c>
      <c r="B51" s="131" t="s">
        <v>294</v>
      </c>
      <c r="C51" s="132">
        <f>SUM(C41:C50)</f>
        <v>0</v>
      </c>
      <c r="D51" s="133" t="s">
        <v>112</v>
      </c>
      <c r="E51" s="134">
        <f>SUM(E41:E50)</f>
        <v>0</v>
      </c>
      <c r="F51" s="135" t="s">
        <v>112</v>
      </c>
      <c r="G51" s="136">
        <f>SUM(G41:G50)</f>
        <v>0</v>
      </c>
      <c r="H51" s="137" t="str">
        <f>IF('Project Description'!$C$96="10 Years",SUM(H41:H50),"---")</f>
        <v>---</v>
      </c>
      <c r="I51" s="138" t="s">
        <v>112</v>
      </c>
      <c r="J51" s="134" t="str">
        <f>IF('Project Description'!$C$96="10 Years",SUM(J41:J50),"---")</f>
        <v>---</v>
      </c>
      <c r="K51" s="139" t="s">
        <v>112</v>
      </c>
      <c r="L51" s="136" t="str">
        <f>IF('Project Description'!$C$96="10 Years",SUM(L41:L50),"---")</f>
        <v>---</v>
      </c>
      <c r="M51" s="132" t="str">
        <f>IF('Project Description'!$C$96="20 Years",SUM(M41:M50),"---")</f>
        <v>---</v>
      </c>
      <c r="N51" s="138" t="s">
        <v>112</v>
      </c>
      <c r="O51" s="134" t="str">
        <f>IF('Project Description'!$C$96="20 Years",SUM(O41:O50),"---")</f>
        <v>---</v>
      </c>
      <c r="P51" s="139" t="s">
        <v>112</v>
      </c>
      <c r="Q51" s="136" t="str">
        <f>IF('Project Description'!$C$96="20 Years",SUM(Q41:Q50),"---")</f>
        <v>---</v>
      </c>
    </row>
    <row r="52" spans="1:18" s="180" customFormat="1" ht="12.75" x14ac:dyDescent="0.2">
      <c r="C52" s="181"/>
      <c r="D52" s="181"/>
      <c r="E52" s="182"/>
      <c r="F52" s="182"/>
      <c r="G52" s="182"/>
      <c r="H52" s="182"/>
    </row>
    <row r="53" spans="1:18" s="79" customFormat="1" ht="15.75" thickBot="1" x14ac:dyDescent="0.25">
      <c r="C53" s="178"/>
      <c r="D53" s="178"/>
      <c r="E53" s="179"/>
      <c r="F53" s="179"/>
      <c r="G53" s="179"/>
      <c r="H53" s="179"/>
    </row>
    <row r="54" spans="1:18" ht="19.5" thickBot="1" x14ac:dyDescent="0.3">
      <c r="A54" s="1017" t="s">
        <v>295</v>
      </c>
      <c r="B54" s="1018"/>
      <c r="C54" s="1018"/>
      <c r="D54" s="1018"/>
      <c r="E54" s="1018"/>
      <c r="F54" s="1018"/>
      <c r="G54" s="1018"/>
      <c r="H54" s="1018"/>
      <c r="I54" s="1018"/>
      <c r="J54" s="1018"/>
      <c r="K54" s="1018"/>
      <c r="L54" s="1018"/>
      <c r="M54" s="1018"/>
      <c r="N54" s="1018"/>
      <c r="O54" s="1018"/>
      <c r="P54" s="1018"/>
      <c r="Q54" s="1019"/>
      <c r="R54" s="183"/>
    </row>
    <row r="55" spans="1:18" s="368" customFormat="1" ht="15.75" x14ac:dyDescent="0.25">
      <c r="A55" s="1020" t="s">
        <v>83</v>
      </c>
      <c r="B55" s="1022" t="s">
        <v>277</v>
      </c>
      <c r="C55" s="1024" t="s">
        <v>33</v>
      </c>
      <c r="D55" s="1025"/>
      <c r="E55" s="1025"/>
      <c r="F55" s="1025"/>
      <c r="G55" s="1026"/>
      <c r="H55" s="1025" t="s">
        <v>278</v>
      </c>
      <c r="I55" s="1025"/>
      <c r="J55" s="1025"/>
      <c r="K55" s="1025"/>
      <c r="L55" s="1025"/>
      <c r="M55" s="1024" t="s">
        <v>279</v>
      </c>
      <c r="N55" s="1025"/>
      <c r="O55" s="1025"/>
      <c r="P55" s="1025"/>
      <c r="Q55" s="1026"/>
      <c r="R55" s="285"/>
    </row>
    <row r="56" spans="1:18" s="368" customFormat="1" ht="60" customHeight="1" x14ac:dyDescent="0.2">
      <c r="A56" s="1021"/>
      <c r="B56" s="1023"/>
      <c r="C56" s="95" t="s">
        <v>280</v>
      </c>
      <c r="D56" s="96" t="s">
        <v>281</v>
      </c>
      <c r="E56" s="96" t="s">
        <v>282</v>
      </c>
      <c r="F56" s="97" t="s">
        <v>283</v>
      </c>
      <c r="G56" s="98" t="s">
        <v>284</v>
      </c>
      <c r="H56" s="99" t="s">
        <v>280</v>
      </c>
      <c r="I56" s="96" t="s">
        <v>281</v>
      </c>
      <c r="J56" s="96" t="s">
        <v>282</v>
      </c>
      <c r="K56" s="97" t="s">
        <v>283</v>
      </c>
      <c r="L56" s="98" t="s">
        <v>284</v>
      </c>
      <c r="M56" s="95" t="s">
        <v>280</v>
      </c>
      <c r="N56" s="96" t="s">
        <v>281</v>
      </c>
      <c r="O56" s="96" t="s">
        <v>282</v>
      </c>
      <c r="P56" s="97" t="s">
        <v>283</v>
      </c>
      <c r="Q56" s="98" t="s">
        <v>284</v>
      </c>
      <c r="R56" s="285"/>
    </row>
    <row r="57" spans="1:18" s="368" customFormat="1" ht="18" customHeight="1" x14ac:dyDescent="0.2">
      <c r="A57" s="100">
        <f>A51+1</f>
        <v>20</v>
      </c>
      <c r="B57" s="101" t="s">
        <v>126</v>
      </c>
      <c r="C57" s="102">
        <f>IF('Project Description'!$C$92="Yes",H25,-'Travel Forecasts'!M31)</f>
        <v>0</v>
      </c>
      <c r="D57" s="476">
        <v>2.2129509999999999E-4</v>
      </c>
      <c r="E57" s="473">
        <f>C57*D57</f>
        <v>0</v>
      </c>
      <c r="F57" s="468" t="str">
        <f>IF($H$9="Attainment",7.09,IF($H$9="Maintenance",8.86,IF($H$9="Nonattainment",10.64,"-")))</f>
        <v>-</v>
      </c>
      <c r="G57" s="106" t="str">
        <f>IF($H$9="(Select…)","-",E57*F57)</f>
        <v>-</v>
      </c>
      <c r="H57" s="107" t="str">
        <f>IF('Project Description'!$C$96="10 Years",-'Travel Forecasts'!N31,"---")</f>
        <v>---</v>
      </c>
      <c r="I57" s="481">
        <v>4.7268567999999996E-5</v>
      </c>
      <c r="J57" s="473" t="str">
        <f>IF('Project Description'!$C$96="10 Years",H57*I57,"---")</f>
        <v>---</v>
      </c>
      <c r="K57" s="468" t="str">
        <f>IF($H$9="Attainment",7.09,IF($H$9="Maintenance",8.86,IF($H$9="Nonattainment",10.64,"-")))</f>
        <v>-</v>
      </c>
      <c r="L57" s="106" t="str">
        <f>IF($H$9="(Select…)","-",IF('Project Description'!$C$96="10 Years",J57*K57,"---"))</f>
        <v>-</v>
      </c>
      <c r="M57" s="102" t="str">
        <f>IF('Project Description'!$C$96="20 Years",-'Travel Forecasts'!N31,"---")</f>
        <v>---</v>
      </c>
      <c r="N57" s="481">
        <v>1.0057452E-5</v>
      </c>
      <c r="O57" s="473" t="str">
        <f>IF('Project Description'!$C$96="20 Years",M57*N57,"---")</f>
        <v>---</v>
      </c>
      <c r="P57" s="482" t="str">
        <f>IF($H$9="Attainment",7.09,IF($H$9="Maintenance",8.86,IF($H$9="Nonattainment",10.64,"-")))</f>
        <v>-</v>
      </c>
      <c r="Q57" s="106" t="str">
        <f>IF($H$9="(Select…)","-",IF('Project Description'!$C$96="20 Years",O57*P57,"---"))</f>
        <v>-</v>
      </c>
      <c r="R57" s="285"/>
    </row>
    <row r="58" spans="1:18" s="368" customFormat="1" ht="18" customHeight="1" x14ac:dyDescent="0.2">
      <c r="A58" s="110">
        <f>A57+1</f>
        <v>21</v>
      </c>
      <c r="B58" s="111" t="s">
        <v>285</v>
      </c>
      <c r="C58" s="112">
        <f>-'Travel Forecasts'!M32</f>
        <v>0</v>
      </c>
      <c r="D58" s="477">
        <v>3.7828199930000001E-3</v>
      </c>
      <c r="E58" s="474">
        <f t="shared" ref="E58:E66" si="8">C58*D58</f>
        <v>0</v>
      </c>
      <c r="F58" s="469" t="str">
        <f>IF($H$9="Attainment",6.72,IF($H$9="Maintenance",8.4,IF($H$9="Nonattainment",10.08,"-")))</f>
        <v>-</v>
      </c>
      <c r="G58" s="116" t="str">
        <f t="shared" ref="G58:G66" si="9">IF($H$9="(Select…)","-",E58*F58)</f>
        <v>-</v>
      </c>
      <c r="H58" s="117" t="str">
        <f>IF('Project Description'!$C$96="10 Years",-'Travel Forecasts'!N32,"---")</f>
        <v>---</v>
      </c>
      <c r="I58" s="477">
        <v>2.7971828269999998E-3</v>
      </c>
      <c r="J58" s="474" t="str">
        <f>IF('Project Description'!$C$96="10 Years",H58*I58,"---")</f>
        <v>---</v>
      </c>
      <c r="K58" s="469" t="str">
        <f>IF($H$9="Attainment",6.72,IF($H$9="Maintenance",8.4,IF($H$9="Nonattainment",10.08,"-")))</f>
        <v>-</v>
      </c>
      <c r="L58" s="116" t="str">
        <f>IF($H$9="(Select…)","-",IF('Project Description'!$C$96="10 Years",J58*K58,"---"))</f>
        <v>-</v>
      </c>
      <c r="M58" s="112" t="str">
        <f>IF('Project Description'!$C$96="20 Years",-'Travel Forecasts'!N32,"---")</f>
        <v>---</v>
      </c>
      <c r="N58" s="477">
        <v>2.416855304E-3</v>
      </c>
      <c r="O58" s="474" t="str">
        <f>IF('Project Description'!$C$96="20 Years",M58*N58,"---")</f>
        <v>---</v>
      </c>
      <c r="P58" s="482" t="str">
        <f>IF($H$9="Attainment",6.72,IF($H$9="Maintenance",8.4,IF($H$9="Nonattainment",10.08,"-")))</f>
        <v>-</v>
      </c>
      <c r="Q58" s="120" t="str">
        <f>IF($H$9="(Select…)","-",IF('Project Description'!$C$96="20 Years",O58*P58,"---"))</f>
        <v>-</v>
      </c>
      <c r="R58" s="285"/>
    </row>
    <row r="59" spans="1:18" s="368" customFormat="1" ht="18" customHeight="1" x14ac:dyDescent="0.2">
      <c r="A59" s="110">
        <f t="shared" ref="A59:A67" si="10">A58+1</f>
        <v>22</v>
      </c>
      <c r="B59" s="111" t="s">
        <v>286</v>
      </c>
      <c r="C59" s="112">
        <f>-'Travel Forecasts'!M33</f>
        <v>0</v>
      </c>
      <c r="D59" s="477">
        <v>3.7828199930000001E-3</v>
      </c>
      <c r="E59" s="474">
        <f t="shared" si="8"/>
        <v>0</v>
      </c>
      <c r="F59" s="469" t="str">
        <f>IF($H$9="Attainment",6.72,IF($H$9="Maintenance",8.4,IF($H$9="Nonattainment",10.08,"-")))</f>
        <v>-</v>
      </c>
      <c r="G59" s="116" t="str">
        <f t="shared" si="9"/>
        <v>-</v>
      </c>
      <c r="H59" s="117" t="str">
        <f>IF('Project Description'!$C$96="10 Years",-'Travel Forecasts'!N33,"---")</f>
        <v>---</v>
      </c>
      <c r="I59" s="477">
        <v>2.7971828269999998E-3</v>
      </c>
      <c r="J59" s="474" t="str">
        <f>IF('Project Description'!$C$96="10 Years",H59*I59,"---")</f>
        <v>---</v>
      </c>
      <c r="K59" s="469" t="str">
        <f>IF($H$9="Attainment",6.72,IF($H$9="Maintenance",8.4,IF($H$9="Nonattainment",10.08,"-")))</f>
        <v>-</v>
      </c>
      <c r="L59" s="116" t="str">
        <f>IF($H$9="(Select…)","-",IF('Project Description'!$C$96="10 Years",J59*K59,"---"))</f>
        <v>-</v>
      </c>
      <c r="M59" s="112" t="str">
        <f>IF('Project Description'!$C$96="20 Years",-'Travel Forecasts'!N33,"---")</f>
        <v>---</v>
      </c>
      <c r="N59" s="477">
        <v>2.416855304E-3</v>
      </c>
      <c r="O59" s="474" t="str">
        <f>IF('Project Description'!$C$96="20 Years",M59*N59,"---")</f>
        <v>---</v>
      </c>
      <c r="P59" s="482" t="str">
        <f>IF($H$9="Attainment",6.72,IF($H$9="Maintenance",8.4,IF($H$9="Nonattainment",10.08,"-")))</f>
        <v>-</v>
      </c>
      <c r="Q59" s="120" t="str">
        <f>IF($H$9="(Select…)","-",IF('Project Description'!$C$96="20 Years",O59*P59,"---"))</f>
        <v>-</v>
      </c>
      <c r="R59" s="285"/>
    </row>
    <row r="60" spans="1:18" s="368" customFormat="1" ht="18" customHeight="1" x14ac:dyDescent="0.2">
      <c r="A60" s="110">
        <f t="shared" si="10"/>
        <v>23</v>
      </c>
      <c r="B60" s="111" t="s">
        <v>287</v>
      </c>
      <c r="C60" s="112">
        <f>-'Travel Forecasts'!M34</f>
        <v>0</v>
      </c>
      <c r="D60" s="478">
        <v>2.0504913309999998E-3</v>
      </c>
      <c r="E60" s="474">
        <f t="shared" si="8"/>
        <v>0</v>
      </c>
      <c r="F60" s="469" t="str">
        <f>IF($H$9="Attainment",6.72,IF($H$9="Maintenance",8.4,IF($H$9="Nonattainment",10.08,"-")))</f>
        <v>-</v>
      </c>
      <c r="G60" s="116" t="str">
        <f t="shared" si="9"/>
        <v>-</v>
      </c>
      <c r="H60" s="117" t="str">
        <f>IF('Project Description'!$C$96="10 Years",-'Travel Forecasts'!N34,"---")</f>
        <v>---</v>
      </c>
      <c r="I60" s="477">
        <v>1.11576172E-3</v>
      </c>
      <c r="J60" s="474" t="str">
        <f>IF('Project Description'!$C$96="10 Years",H60*I60,"---")</f>
        <v>---</v>
      </c>
      <c r="K60" s="469" t="str">
        <f>IF($H$9="Attainment",6.72,IF($H$9="Maintenance",8.4,IF($H$9="Nonattainment",10.08,"-")))</f>
        <v>-</v>
      </c>
      <c r="L60" s="116" t="str">
        <f>IF($H$9="(Select…)","-",IF('Project Description'!$C$96="10 Years",J60*K60,"---"))</f>
        <v>-</v>
      </c>
      <c r="M60" s="112" t="str">
        <f>IF('Project Description'!$C$96="20 Years",-'Travel Forecasts'!N34,"---")</f>
        <v>---</v>
      </c>
      <c r="N60" s="477">
        <v>7.4730695800000007E-4</v>
      </c>
      <c r="O60" s="474" t="str">
        <f>IF('Project Description'!$C$96="20 Years",M60*N60,"---")</f>
        <v>---</v>
      </c>
      <c r="P60" s="482" t="str">
        <f>IF($H$9="Attainment",6.72,IF($H$9="Maintenance",8.4,IF($H$9="Nonattainment",10.08,"-")))</f>
        <v>-</v>
      </c>
      <c r="Q60" s="120" t="str">
        <f>IF($H$9="(Select…)","-",IF('Project Description'!$C$96="20 Years",O60*P60,"---"))</f>
        <v>-</v>
      </c>
      <c r="R60" s="285"/>
    </row>
    <row r="61" spans="1:18" s="368" customFormat="1" ht="18" customHeight="1" x14ac:dyDescent="0.2">
      <c r="A61" s="110">
        <f t="shared" si="10"/>
        <v>24</v>
      </c>
      <c r="B61" s="111" t="s">
        <v>288</v>
      </c>
      <c r="C61" s="112">
        <f>-'Travel Forecasts'!M35</f>
        <v>0</v>
      </c>
      <c r="D61" s="479">
        <v>7.205E-4</v>
      </c>
      <c r="E61" s="474">
        <f t="shared" si="8"/>
        <v>0</v>
      </c>
      <c r="F61" s="469" t="str">
        <f>IF($H$9="Attainment",7.05,IF($H$9="Maintenance",8.81,IF($H$9="Nonattainment",10.58,"-")))</f>
        <v>-</v>
      </c>
      <c r="G61" s="116" t="str">
        <f t="shared" si="9"/>
        <v>-</v>
      </c>
      <c r="H61" s="117" t="str">
        <f>IF('Project Description'!$C$96="10 Years",-'Travel Forecasts'!N35,"---")</f>
        <v>---</v>
      </c>
      <c r="I61" s="477">
        <v>4.7776999999999997E-4</v>
      </c>
      <c r="J61" s="474" t="str">
        <f>IF('Project Description'!$C$96="10 Years",H61*I61,"---")</f>
        <v>---</v>
      </c>
      <c r="K61" s="469" t="str">
        <f>IF($H$9="Attainment",7.83,IF($H$9="Maintenance",9.79,IF($H$9="Nonattainment",11.75,"-")))</f>
        <v>-</v>
      </c>
      <c r="L61" s="116" t="str">
        <f>IF($H$9="(Select…)","-",IF('Project Description'!$C$96="10 Years",J61*K61,"---"))</f>
        <v>-</v>
      </c>
      <c r="M61" s="112" t="str">
        <f>IF('Project Description'!$C$96="20 Years",-'Travel Forecasts'!N35,"---")</f>
        <v>---</v>
      </c>
      <c r="N61" s="477">
        <v>4.0241000000000007E-4</v>
      </c>
      <c r="O61" s="474" t="str">
        <f>IF('Project Description'!$C$96="20 Years",M61*N61,"---")</f>
        <v>---</v>
      </c>
      <c r="P61" s="482" t="str">
        <f>IF($H$9="Attainment",8.65,IF($H$9="Maintenance",10.81,IF($H$9="Nonattainment",12.98,"-")))</f>
        <v>-</v>
      </c>
      <c r="Q61" s="120" t="str">
        <f>IF($H$9="(Select…)","-",IF('Project Description'!$C$96="20 Years",O61*P61,"---"))</f>
        <v>-</v>
      </c>
      <c r="R61" s="285"/>
    </row>
    <row r="62" spans="1:18" s="368" customFormat="1" ht="18" customHeight="1" x14ac:dyDescent="0.2">
      <c r="A62" s="110">
        <f t="shared" si="10"/>
        <v>25</v>
      </c>
      <c r="B62" s="111" t="s">
        <v>289</v>
      </c>
      <c r="C62" s="112">
        <f>-'Travel Forecasts'!M36</f>
        <v>0</v>
      </c>
      <c r="D62" s="477">
        <v>1.1731833333333332E-5</v>
      </c>
      <c r="E62" s="474">
        <f t="shared" si="8"/>
        <v>0</v>
      </c>
      <c r="F62" s="469" t="str">
        <f>IF($H$9="Attainment",7.05,IF($H$9="Maintenance",8.81,IF($H$9="Nonattainment",10.58,"-")))</f>
        <v>-</v>
      </c>
      <c r="G62" s="116" t="str">
        <f t="shared" si="9"/>
        <v>-</v>
      </c>
      <c r="H62" s="117" t="str">
        <f>IF('Project Description'!$C$96="10 Years",-'Travel Forecasts'!N36,"---")</f>
        <v>---</v>
      </c>
      <c r="I62" s="477">
        <v>9.6643333333333317E-6</v>
      </c>
      <c r="J62" s="474" t="str">
        <f>IF('Project Description'!$C$96="10 Years",H62*I62,"---")</f>
        <v>---</v>
      </c>
      <c r="K62" s="469" t="str">
        <f>IF($H$9="Attainment",7.83,IF($H$9="Maintenance",9.79,IF($H$9="Nonattainment",11.75,"-")))</f>
        <v>-</v>
      </c>
      <c r="L62" s="116" t="str">
        <f>IF($H$9="(Select…)","-",IF('Project Description'!$C$96="10 Years",J62*K62,"---"))</f>
        <v>-</v>
      </c>
      <c r="M62" s="112" t="str">
        <f>IF('Project Description'!$C$96="20 Years",-'Travel Forecasts'!N36,"---")</f>
        <v>---</v>
      </c>
      <c r="N62" s="477">
        <v>8.7360000000000007E-6</v>
      </c>
      <c r="O62" s="474" t="str">
        <f>IF('Project Description'!$C$96="20 Years",M62*N62,"---")</f>
        <v>---</v>
      </c>
      <c r="P62" s="482" t="str">
        <f>IF($H$9="Attainment",8.65,IF($H$9="Maintenance",10.81,IF($H$9="Nonattainment",12.98,"-")))</f>
        <v>-</v>
      </c>
      <c r="Q62" s="120" t="str">
        <f>IF($H$9="(Select…)","-",IF('Project Description'!$C$96="20 Years",O62*P62,"---"))</f>
        <v>-</v>
      </c>
      <c r="R62" s="285"/>
    </row>
    <row r="63" spans="1:18" s="368" customFormat="1" ht="18" customHeight="1" x14ac:dyDescent="0.2">
      <c r="A63" s="110">
        <f t="shared" si="10"/>
        <v>26</v>
      </c>
      <c r="B63" s="111" t="s">
        <v>290</v>
      </c>
      <c r="C63" s="112">
        <f>-'Travel Forecasts'!M37</f>
        <v>0</v>
      </c>
      <c r="D63" s="479">
        <v>5.3921951219512202E-5</v>
      </c>
      <c r="E63" s="474">
        <f t="shared" si="8"/>
        <v>0</v>
      </c>
      <c r="F63" s="469" t="str">
        <f>IF($H$9="Attainment",7.05,IF($H$9="Maintenance",8.81,IF($H$9="Nonattainment",10.58,"-")))</f>
        <v>-</v>
      </c>
      <c r="G63" s="116" t="str">
        <f t="shared" si="9"/>
        <v>-</v>
      </c>
      <c r="H63" s="117" t="str">
        <f>IF('Project Description'!$C$96="10 Years",-'Travel Forecasts'!N37,"---")</f>
        <v>---</v>
      </c>
      <c r="I63" s="477">
        <v>4.4418536585365856E-5</v>
      </c>
      <c r="J63" s="474" t="str">
        <f>IF('Project Description'!$C$96="10 Years",H63*I63,"---")</f>
        <v>---</v>
      </c>
      <c r="K63" s="469" t="str">
        <f>IF($H$9="Attainment",7.83,IF($H$9="Maintenance",9.79,IF($H$9="Nonattainment",11.75,"-")))</f>
        <v>-</v>
      </c>
      <c r="L63" s="116" t="str">
        <f>IF($H$9="(Select…)","-",IF('Project Description'!$C$96="10 Years",J63*K63,"---"))</f>
        <v>-</v>
      </c>
      <c r="M63" s="112" t="str">
        <f>IF('Project Description'!$C$96="20 Years",-'Travel Forecasts'!N37,"---")</f>
        <v>---</v>
      </c>
      <c r="N63" s="477">
        <v>4.015170731707318E-5</v>
      </c>
      <c r="O63" s="474" t="str">
        <f>IF('Project Description'!$C$96="20 Years",M63*N63,"---")</f>
        <v>---</v>
      </c>
      <c r="P63" s="482" t="str">
        <f>IF($H$9="Attainment",8.65,IF($H$9="Maintenance",10.81,IF($H$9="Nonattainment",12.98,"-")))</f>
        <v>-</v>
      </c>
      <c r="Q63" s="120" t="str">
        <f>IF($H$9="(Select…)","-",IF('Project Description'!$C$96="20 Years",O63*P63,"---"))</f>
        <v>-</v>
      </c>
      <c r="R63" s="285"/>
    </row>
    <row r="64" spans="1:18" s="368" customFormat="1" ht="25.5" x14ac:dyDescent="0.2">
      <c r="A64" s="110">
        <f t="shared" si="10"/>
        <v>27</v>
      </c>
      <c r="B64" s="111" t="s">
        <v>291</v>
      </c>
      <c r="C64" s="112">
        <f>-'Travel Forecasts'!M38</f>
        <v>0</v>
      </c>
      <c r="D64" s="477">
        <v>1.583E-2</v>
      </c>
      <c r="E64" s="474">
        <f t="shared" si="8"/>
        <v>0</v>
      </c>
      <c r="F64" s="469" t="str">
        <f>IF($H$9="Attainment",6.83,IF($H$9="Maintenance",8.54,IF($H$9="Nonattainment",10.25,"-")))</f>
        <v>-</v>
      </c>
      <c r="G64" s="116" t="str">
        <f t="shared" si="9"/>
        <v>-</v>
      </c>
      <c r="H64" s="117" t="str">
        <f>IF('Project Description'!$C$96="10 Years",-'Travel Forecasts'!N38,"---")</f>
        <v>---</v>
      </c>
      <c r="I64" s="477">
        <v>1.583E-2</v>
      </c>
      <c r="J64" s="474" t="str">
        <f>IF('Project Description'!$C$96="10 Years",H64*I64,"---")</f>
        <v>---</v>
      </c>
      <c r="K64" s="469" t="str">
        <f>IF($H$9="Attainment",6.83,IF($H$9="Maintenance",8.54,IF($H$9="Nonattainment",10.25,"-")))</f>
        <v>-</v>
      </c>
      <c r="L64" s="116" t="str">
        <f>IF($H$9="(Select…)","-",IF('Project Description'!$C$96="10 Years",J64*K64,"---"))</f>
        <v>-</v>
      </c>
      <c r="M64" s="112" t="str">
        <f>IF('Project Description'!$C$96="20 Years",-'Travel Forecasts'!N38,"---")</f>
        <v>---</v>
      </c>
      <c r="N64" s="477">
        <v>1.583E-2</v>
      </c>
      <c r="O64" s="474" t="str">
        <f>IF('Project Description'!$C$96="20 Years",M64*N64,"---")</f>
        <v>---</v>
      </c>
      <c r="P64" s="482" t="str">
        <f>IF($H$9="Attainment",6.83,IF($H$9="Maintenance",8.54,IF($H$9="Nonattainment",10.25,"-")))</f>
        <v>-</v>
      </c>
      <c r="Q64" s="120" t="str">
        <f>IF($H$9="(Select…)","-",IF('Project Description'!$C$96="20 Years",O64*P64,"---"))</f>
        <v>-</v>
      </c>
      <c r="R64" s="285"/>
    </row>
    <row r="65" spans="1:18" s="368" customFormat="1" ht="12.75" x14ac:dyDescent="0.2">
      <c r="A65" s="110">
        <f t="shared" si="10"/>
        <v>28</v>
      </c>
      <c r="B65" s="111" t="s">
        <v>292</v>
      </c>
      <c r="C65" s="112">
        <f>-'Travel Forecasts'!M39</f>
        <v>0</v>
      </c>
      <c r="D65" s="478">
        <v>9.962E-2</v>
      </c>
      <c r="E65" s="474">
        <f t="shared" si="8"/>
        <v>0</v>
      </c>
      <c r="F65" s="469" t="str">
        <f>IF($H$9="Attainment",6.83,IF($H$9="Maintenance",8.54,IF($H$9="Nonattainment",10.25,"-")))</f>
        <v>-</v>
      </c>
      <c r="G65" s="116" t="str">
        <f t="shared" si="9"/>
        <v>-</v>
      </c>
      <c r="H65" s="117" t="str">
        <f>IF('Project Description'!$C$96="10 Years",-'Travel Forecasts'!N39,"---")</f>
        <v>---</v>
      </c>
      <c r="I65" s="477">
        <v>9.962E-2</v>
      </c>
      <c r="J65" s="474" t="str">
        <f>IF('Project Description'!$C$96="10 Years",H65*I65,"---")</f>
        <v>---</v>
      </c>
      <c r="K65" s="469" t="str">
        <f>IF($H$9="Attainment",6.83,IF($H$9="Maintenance",8.54,IF($H$9="Nonattainment",10.25,"-")))</f>
        <v>-</v>
      </c>
      <c r="L65" s="116" t="str">
        <f>IF($H$9="(Select…)","-",IF('Project Description'!$C$96="10 Years",J65*K65,"---"))</f>
        <v>-</v>
      </c>
      <c r="M65" s="112" t="str">
        <f>IF('Project Description'!$C$96="20 Years",-'Travel Forecasts'!N39,"---")</f>
        <v>---</v>
      </c>
      <c r="N65" s="477">
        <v>9.962E-2</v>
      </c>
      <c r="O65" s="474" t="str">
        <f>IF('Project Description'!$C$96="20 Years",M65*N65,"---")</f>
        <v>---</v>
      </c>
      <c r="P65" s="482" t="str">
        <f>IF($H$9="Attainment",6.83,IF($H$9="Maintenance",8.54,IF($H$9="Nonattainment",10.25,"-")))</f>
        <v>-</v>
      </c>
      <c r="Q65" s="120" t="str">
        <f>IF($H$9="(Select…)","-",IF('Project Description'!$C$96="20 Years",O65*P65,"---"))</f>
        <v>-</v>
      </c>
      <c r="R65" s="285"/>
    </row>
    <row r="66" spans="1:18" s="368" customFormat="1" ht="18" customHeight="1" x14ac:dyDescent="0.2">
      <c r="A66" s="121">
        <f t="shared" si="10"/>
        <v>29</v>
      </c>
      <c r="B66" s="122" t="s">
        <v>293</v>
      </c>
      <c r="C66" s="112">
        <f>-'Travel Forecasts'!M40</f>
        <v>0</v>
      </c>
      <c r="D66" s="480">
        <v>5.1958217270194985E-5</v>
      </c>
      <c r="E66" s="475">
        <f t="shared" si="8"/>
        <v>0</v>
      </c>
      <c r="F66" s="470" t="str">
        <f>IF($H$9="Attainment",7.05,IF($H$9="Maintenance",8.81,IF($H$9="Nonattainment",10.58,"-")))</f>
        <v>-</v>
      </c>
      <c r="G66" s="126" t="str">
        <f t="shared" si="9"/>
        <v>-</v>
      </c>
      <c r="H66" s="117" t="str">
        <f>IF('Project Description'!$C$96="10 Years",-'Travel Forecasts'!N40,"---")</f>
        <v>---</v>
      </c>
      <c r="I66" s="477">
        <v>4.2802228412256267E-5</v>
      </c>
      <c r="J66" s="474" t="str">
        <f>IF('Project Description'!$C$96="10 Years",H66*I66,"---")</f>
        <v>---</v>
      </c>
      <c r="K66" s="470" t="str">
        <f>IF($H$9="Attainment",7.83,IF($H$9="Maintenance",9.79,IF($H$9="Nonattainment",11.75,"-")))</f>
        <v>-</v>
      </c>
      <c r="L66" s="126" t="str">
        <f>IF($H$9="(Select…)","-",IF('Project Description'!$C$96="10 Years",J66*K66,"---"))</f>
        <v>-</v>
      </c>
      <c r="M66" s="112" t="str">
        <f>IF('Project Description'!$C$96="20 Years",-'Travel Forecasts'!N40,"---")</f>
        <v>---</v>
      </c>
      <c r="N66" s="477">
        <v>3.8690807799442894E-5</v>
      </c>
      <c r="O66" s="474" t="str">
        <f>IF('Project Description'!$C$96="20 Years",M66*N66,"---")</f>
        <v>---</v>
      </c>
      <c r="P66" s="483" t="str">
        <f>IF($H$9="Attainment",8.65,IF($H$9="Maintenance",10.81,IF($H$9="Nonattainment",12.98,"-")))</f>
        <v>-</v>
      </c>
      <c r="Q66" s="129" t="str">
        <f>IF($H$9="(Select…)","-",IF('Project Description'!$C$96="20 Years",O66*P66,"---"))</f>
        <v>-</v>
      </c>
      <c r="R66" s="285"/>
    </row>
    <row r="67" spans="1:18" ht="16.5" thickBot="1" x14ac:dyDescent="0.25">
      <c r="A67" s="130">
        <f t="shared" si="10"/>
        <v>30</v>
      </c>
      <c r="B67" s="131" t="s">
        <v>294</v>
      </c>
      <c r="C67" s="132">
        <f>SUM(C57:C66)</f>
        <v>0</v>
      </c>
      <c r="D67" s="133" t="s">
        <v>112</v>
      </c>
      <c r="E67" s="134">
        <f>SUM(E57:E66)</f>
        <v>0</v>
      </c>
      <c r="F67" s="135" t="s">
        <v>112</v>
      </c>
      <c r="G67" s="136">
        <f>SUM(G57:G66)</f>
        <v>0</v>
      </c>
      <c r="H67" s="137" t="str">
        <f>IF('Project Description'!$C$96="10 Years",SUM(H57:H66),"---")</f>
        <v>---</v>
      </c>
      <c r="I67" s="138" t="s">
        <v>112</v>
      </c>
      <c r="J67" s="134" t="str">
        <f>IF('Project Description'!$C$96="10 Years",SUM(J57:J66),"---")</f>
        <v>---</v>
      </c>
      <c r="K67" s="139" t="s">
        <v>112</v>
      </c>
      <c r="L67" s="136" t="str">
        <f>IF('Project Description'!$C$96="10 Years",SUM(L57:L66),"---")</f>
        <v>---</v>
      </c>
      <c r="M67" s="132" t="str">
        <f>IF('Project Description'!$C$96="20 Years",SUM(M57:M66),"---")</f>
        <v>---</v>
      </c>
      <c r="N67" s="138" t="s">
        <v>112</v>
      </c>
      <c r="O67" s="134" t="str">
        <f>IF('Project Description'!$C$96="20 Years",SUM(O57:O66),"---")</f>
        <v>---</v>
      </c>
      <c r="P67" s="139" t="s">
        <v>112</v>
      </c>
      <c r="Q67" s="136" t="str">
        <f>IF('Project Description'!$C$96="20 Years",SUM(Q57:Q66),"---")</f>
        <v>---</v>
      </c>
    </row>
    <row r="68" spans="1:18" ht="15.75" x14ac:dyDescent="0.2">
      <c r="A68" s="201"/>
      <c r="B68" s="202"/>
      <c r="C68" s="203"/>
      <c r="D68" s="204"/>
      <c r="E68" s="205"/>
      <c r="F68" s="204"/>
      <c r="G68" s="206"/>
      <c r="H68" s="203"/>
      <c r="I68" s="207"/>
      <c r="J68" s="205"/>
      <c r="K68" s="207"/>
      <c r="L68" s="206"/>
      <c r="M68" s="203"/>
      <c r="N68" s="207"/>
      <c r="O68" s="205"/>
      <c r="P68" s="207"/>
      <c r="Q68" s="206"/>
      <c r="R68" s="377"/>
    </row>
    <row r="69" spans="1:18" ht="16.5" thickBot="1" x14ac:dyDescent="0.25">
      <c r="A69" s="201"/>
      <c r="B69" s="202"/>
      <c r="C69" s="203"/>
      <c r="D69" s="204"/>
      <c r="E69" s="205"/>
      <c r="F69" s="204"/>
      <c r="G69" s="206"/>
      <c r="H69" s="203"/>
      <c r="I69" s="207"/>
      <c r="J69" s="205"/>
      <c r="K69" s="207"/>
      <c r="L69" s="206"/>
      <c r="M69" s="203"/>
      <c r="N69" s="207"/>
      <c r="O69" s="205"/>
      <c r="P69" s="207"/>
      <c r="Q69" s="206"/>
      <c r="R69" s="377"/>
    </row>
    <row r="70" spans="1:18" ht="18.75" customHeight="1" thickBot="1" x14ac:dyDescent="0.25">
      <c r="A70" s="1014" t="s">
        <v>296</v>
      </c>
      <c r="B70" s="1015"/>
      <c r="C70" s="1015"/>
      <c r="D70" s="1015"/>
      <c r="E70" s="1015"/>
      <c r="F70" s="1015"/>
      <c r="G70" s="1015"/>
      <c r="H70" s="1015"/>
      <c r="I70" s="1015"/>
      <c r="J70" s="1015"/>
      <c r="K70" s="1015"/>
      <c r="L70" s="1015"/>
      <c r="M70" s="1015"/>
      <c r="N70" s="1015"/>
      <c r="O70" s="1015"/>
      <c r="P70" s="1015"/>
      <c r="Q70" s="1016"/>
      <c r="R70" s="382"/>
    </row>
    <row r="71" spans="1:18" s="79" customFormat="1" ht="15.75" thickBot="1" x14ac:dyDescent="0.25">
      <c r="C71" s="178"/>
      <c r="D71" s="178"/>
      <c r="E71" s="179"/>
      <c r="F71" s="179"/>
      <c r="G71" s="179"/>
      <c r="H71" s="179"/>
    </row>
    <row r="72" spans="1:18" ht="19.5" customHeight="1" thickBot="1" x14ac:dyDescent="0.3">
      <c r="A72" s="1017" t="s">
        <v>297</v>
      </c>
      <c r="B72" s="1018"/>
      <c r="C72" s="1018"/>
      <c r="D72" s="1018"/>
      <c r="E72" s="1018"/>
      <c r="F72" s="1018"/>
      <c r="G72" s="1018"/>
      <c r="H72" s="1018"/>
      <c r="I72" s="1018"/>
      <c r="J72" s="1018"/>
      <c r="K72" s="1018"/>
      <c r="L72" s="1018"/>
      <c r="M72" s="1018"/>
      <c r="N72" s="1018"/>
      <c r="O72" s="1018"/>
      <c r="P72" s="1018"/>
      <c r="Q72" s="1019"/>
      <c r="R72" s="183"/>
    </row>
    <row r="73" spans="1:18" s="368" customFormat="1" ht="15.75" x14ac:dyDescent="0.25">
      <c r="A73" s="1020" t="s">
        <v>83</v>
      </c>
      <c r="B73" s="1022" t="s">
        <v>277</v>
      </c>
      <c r="C73" s="1024" t="s">
        <v>33</v>
      </c>
      <c r="D73" s="1025"/>
      <c r="E73" s="1025"/>
      <c r="F73" s="1025"/>
      <c r="G73" s="1026"/>
      <c r="H73" s="1025" t="s">
        <v>278</v>
      </c>
      <c r="I73" s="1025"/>
      <c r="J73" s="1025"/>
      <c r="K73" s="1025"/>
      <c r="L73" s="1025"/>
      <c r="M73" s="1024" t="s">
        <v>279</v>
      </c>
      <c r="N73" s="1025"/>
      <c r="O73" s="1025"/>
      <c r="P73" s="1025"/>
      <c r="Q73" s="1026"/>
      <c r="R73" s="285"/>
    </row>
    <row r="74" spans="1:18" s="368" customFormat="1" ht="60" customHeight="1" x14ac:dyDescent="0.2">
      <c r="A74" s="1021"/>
      <c r="B74" s="1023"/>
      <c r="C74" s="95" t="s">
        <v>280</v>
      </c>
      <c r="D74" s="96" t="s">
        <v>281</v>
      </c>
      <c r="E74" s="96" t="s">
        <v>282</v>
      </c>
      <c r="F74" s="97" t="s">
        <v>283</v>
      </c>
      <c r="G74" s="98" t="s">
        <v>284</v>
      </c>
      <c r="H74" s="99" t="s">
        <v>280</v>
      </c>
      <c r="I74" s="96" t="s">
        <v>281</v>
      </c>
      <c r="J74" s="96" t="s">
        <v>282</v>
      </c>
      <c r="K74" s="97" t="s">
        <v>283</v>
      </c>
      <c r="L74" s="98" t="s">
        <v>284</v>
      </c>
      <c r="M74" s="95" t="s">
        <v>280</v>
      </c>
      <c r="N74" s="96" t="s">
        <v>281</v>
      </c>
      <c r="O74" s="96" t="s">
        <v>282</v>
      </c>
      <c r="P74" s="97" t="s">
        <v>283</v>
      </c>
      <c r="Q74" s="98" t="s">
        <v>284</v>
      </c>
      <c r="R74" s="285"/>
    </row>
    <row r="75" spans="1:18" s="368" customFormat="1" ht="18" customHeight="1" x14ac:dyDescent="0.2">
      <c r="A75" s="100">
        <f>A67+1</f>
        <v>31</v>
      </c>
      <c r="B75" s="101" t="s">
        <v>126</v>
      </c>
      <c r="C75" s="102">
        <f>IF('Project Description'!$C$92="Yes",H25,-'Travel Forecasts'!M31)</f>
        <v>0</v>
      </c>
      <c r="D75" s="481">
        <v>4.9406911E-5</v>
      </c>
      <c r="E75" s="473">
        <f>C75*D75</f>
        <v>0</v>
      </c>
      <c r="F75" s="468" t="str">
        <f>IF($H$10="Attainment",9.38,IF($H$10="Maintenance",11.73,IF($H$10="Nonattainment",14.07,"-")))</f>
        <v>-</v>
      </c>
      <c r="G75" s="484" t="str">
        <f>IF($H$10="(Select…)","-",E75*F75)</f>
        <v>-</v>
      </c>
      <c r="H75" s="486" t="str">
        <f>IF('Project Description'!$C$96="10 Years",-'Travel Forecasts'!N31,"---")</f>
        <v>---</v>
      </c>
      <c r="I75" s="481">
        <v>1.2812096E-5</v>
      </c>
      <c r="J75" s="473" t="str">
        <f>IF('Project Description'!$C$96="10 Years",H75*I75,"---")</f>
        <v>---</v>
      </c>
      <c r="K75" s="468" t="str">
        <f>IF($H$10="Attainment",10.43,IF($H$10="Maintenance",13.03,IF($H$10="Nonattainment",15.64,"-")))</f>
        <v>-</v>
      </c>
      <c r="L75" s="484" t="s">
        <v>170</v>
      </c>
      <c r="M75" s="102" t="str">
        <f>IF('Project Description'!$C$96="20 Years",-'Travel Forecasts'!N31,"---")</f>
        <v>---</v>
      </c>
      <c r="N75" s="481">
        <v>6.7465279999999996E-6</v>
      </c>
      <c r="O75" s="473" t="str">
        <f>IF('Project Description'!$C$96="20 Years",M75*N75,"---")</f>
        <v>---</v>
      </c>
      <c r="P75" s="468" t="str">
        <f t="shared" ref="P75:P83" si="11">IF($H$10="Attainment",12.57,IF($H$10="Maintenance",15.71,IF($H$10="Nonattainment",18.85,"-")))</f>
        <v>-</v>
      </c>
      <c r="Q75" s="484" t="s">
        <v>170</v>
      </c>
      <c r="R75" s="285"/>
    </row>
    <row r="76" spans="1:18" s="368" customFormat="1" ht="18" customHeight="1" x14ac:dyDescent="0.2">
      <c r="A76" s="110">
        <f>A75+1</f>
        <v>32</v>
      </c>
      <c r="B76" s="111" t="s">
        <v>285</v>
      </c>
      <c r="C76" s="112">
        <f>-'Travel Forecasts'!M32</f>
        <v>0</v>
      </c>
      <c r="D76" s="477">
        <v>1.7553222800000001E-4</v>
      </c>
      <c r="E76" s="474">
        <f t="shared" ref="E76:E84" si="12">C76*D76</f>
        <v>0</v>
      </c>
      <c r="F76" s="469" t="str">
        <f>IF($H$10="Attainment",9.38,IF($H$10="Maintenance",11.73,IF($H$10="Nonattainment",14.07,"-")))</f>
        <v>-</v>
      </c>
      <c r="G76" s="485" t="str">
        <f t="shared" ref="G76:G84" si="13">IF($H$10="(Select…)","-",E76*F76)</f>
        <v>-</v>
      </c>
      <c r="H76" s="486" t="str">
        <f>IF('Project Description'!$C$96="10 Years",-'Travel Forecasts'!N32,"---")</f>
        <v>---</v>
      </c>
      <c r="I76" s="477">
        <v>6.7660810000000002E-5</v>
      </c>
      <c r="J76" s="474" t="str">
        <f>IF('Project Description'!$C$96="10 Years",H76*I76,"---")</f>
        <v>---</v>
      </c>
      <c r="K76" s="469" t="str">
        <f>IF($H$10="Attainment",10.43,IF($H$10="Maintenance",13.03,IF($H$10="Nonattainment",15.64,"-")))</f>
        <v>-</v>
      </c>
      <c r="L76" s="485" t="s">
        <v>170</v>
      </c>
      <c r="M76" s="112" t="str">
        <f>IF('Project Description'!$C$96="20 Years",-'Travel Forecasts'!N32,"---")</f>
        <v>---</v>
      </c>
      <c r="N76" s="477">
        <v>3.2123569E-5</v>
      </c>
      <c r="O76" s="474" t="str">
        <f>IF('Project Description'!$C$96="20 Years",M76*N76,"---")</f>
        <v>---</v>
      </c>
      <c r="P76" s="482" t="str">
        <f t="shared" si="11"/>
        <v>-</v>
      </c>
      <c r="Q76" s="487" t="s">
        <v>170</v>
      </c>
      <c r="R76" s="285"/>
    </row>
    <row r="77" spans="1:18" s="368" customFormat="1" ht="18" customHeight="1" x14ac:dyDescent="0.2">
      <c r="A77" s="110">
        <f t="shared" ref="A77:A85" si="14">A76+1</f>
        <v>33</v>
      </c>
      <c r="B77" s="111" t="s">
        <v>286</v>
      </c>
      <c r="C77" s="112">
        <f>-'Travel Forecasts'!M33</f>
        <v>0</v>
      </c>
      <c r="D77" s="477">
        <v>1.7553222800000001E-4</v>
      </c>
      <c r="E77" s="474">
        <f t="shared" si="12"/>
        <v>0</v>
      </c>
      <c r="F77" s="469" t="str">
        <f>IF($H$10="Attainment",9.38,IF($H$10="Maintenance",11.73,IF($H$10="Nonattainment",14.07,"-")))</f>
        <v>-</v>
      </c>
      <c r="G77" s="485" t="str">
        <f t="shared" si="13"/>
        <v>-</v>
      </c>
      <c r="H77" s="486" t="str">
        <f>IF('Project Description'!$C$96="10 Years",-'Travel Forecasts'!N33,"---")</f>
        <v>---</v>
      </c>
      <c r="I77" s="477">
        <v>6.7660810000000002E-5</v>
      </c>
      <c r="J77" s="474" t="str">
        <f>IF('Project Description'!$C$96="10 Years",H77*I77,"---")</f>
        <v>---</v>
      </c>
      <c r="K77" s="469" t="str">
        <f>IF($H$10="Attainment",10.43,IF($H$10="Maintenance",13.03,IF($H$10="Nonattainment",15.64,"-")))</f>
        <v>-</v>
      </c>
      <c r="L77" s="485" t="s">
        <v>170</v>
      </c>
      <c r="M77" s="112" t="str">
        <f>IF('Project Description'!$C$96="20 Years",-'Travel Forecasts'!N33,"---")</f>
        <v>---</v>
      </c>
      <c r="N77" s="477">
        <v>3.2123569E-5</v>
      </c>
      <c r="O77" s="474" t="str">
        <f>IF('Project Description'!$C$96="20 Years",M77*N77,"---")</f>
        <v>---</v>
      </c>
      <c r="P77" s="482" t="str">
        <f t="shared" si="11"/>
        <v>-</v>
      </c>
      <c r="Q77" s="487" t="s">
        <v>170</v>
      </c>
      <c r="R77" s="285"/>
    </row>
    <row r="78" spans="1:18" s="368" customFormat="1" ht="18" customHeight="1" x14ac:dyDescent="0.2">
      <c r="A78" s="110">
        <f t="shared" si="14"/>
        <v>34</v>
      </c>
      <c r="B78" s="111" t="s">
        <v>287</v>
      </c>
      <c r="C78" s="112">
        <f>-'Travel Forecasts'!M34</f>
        <v>0</v>
      </c>
      <c r="D78" s="477">
        <v>7.2628081499999993E-4</v>
      </c>
      <c r="E78" s="474">
        <f t="shared" si="12"/>
        <v>0</v>
      </c>
      <c r="F78" s="469" t="str">
        <f>IF($H$10="Attainment",9.38,IF($H$10="Maintenance",11.73,IF($H$10="Nonattainment",14.07,"-")))</f>
        <v>-</v>
      </c>
      <c r="G78" s="485" t="str">
        <f t="shared" si="13"/>
        <v>-</v>
      </c>
      <c r="H78" s="486" t="str">
        <f>IF('Project Description'!$C$96="10 Years",-'Travel Forecasts'!N34,"---")</f>
        <v>---</v>
      </c>
      <c r="I78" s="477">
        <v>7.631374319999999E-4</v>
      </c>
      <c r="J78" s="474" t="str">
        <f>IF('Project Description'!$C$96="10 Years",H78*I78,"---")</f>
        <v>---</v>
      </c>
      <c r="K78" s="469" t="str">
        <f>IF($H$10="Attainment",10.43,IF($H$10="Maintenance",13.03,IF($H$10="Nonattainment",15.64,"-")))</f>
        <v>-</v>
      </c>
      <c r="L78" s="485" t="s">
        <v>170</v>
      </c>
      <c r="M78" s="112" t="str">
        <f>IF('Project Description'!$C$96="20 Years",-'Travel Forecasts'!N34,"---")</f>
        <v>---</v>
      </c>
      <c r="N78" s="477">
        <v>7.6463581700000004E-4</v>
      </c>
      <c r="O78" s="474" t="str">
        <f>IF('Project Description'!$C$96="20 Years",M78*N78,"---")</f>
        <v>---</v>
      </c>
      <c r="P78" s="482" t="str">
        <f t="shared" si="11"/>
        <v>-</v>
      </c>
      <c r="Q78" s="487" t="s">
        <v>170</v>
      </c>
      <c r="R78" s="285"/>
    </row>
    <row r="79" spans="1:18" s="368" customFormat="1" ht="18" customHeight="1" x14ac:dyDescent="0.2">
      <c r="A79" s="110">
        <f t="shared" si="14"/>
        <v>35</v>
      </c>
      <c r="B79" s="111" t="s">
        <v>288</v>
      </c>
      <c r="C79" s="112">
        <f>-'Travel Forecasts'!M35</f>
        <v>0</v>
      </c>
      <c r="D79" s="477">
        <v>1.1438E-4</v>
      </c>
      <c r="E79" s="474">
        <f t="shared" si="12"/>
        <v>0</v>
      </c>
      <c r="F79" s="469" t="str">
        <f>IF($H$10="Attainment",14.55,IF($H$10="Maintenance",18.19,IF($H$10="Nonattainment",21.83,"-")))</f>
        <v>-</v>
      </c>
      <c r="G79" s="485" t="str">
        <f t="shared" si="13"/>
        <v>-</v>
      </c>
      <c r="H79" s="486" t="str">
        <f>IF('Project Description'!$C$96="10 Years",-'Travel Forecasts'!N35,"---")</f>
        <v>---</v>
      </c>
      <c r="I79" s="477">
        <v>7.7527000000000005E-5</v>
      </c>
      <c r="J79" s="474" t="str">
        <f>IF('Project Description'!$C$96="10 Years",H79*I79,"---")</f>
        <v>---</v>
      </c>
      <c r="K79" s="469" t="str">
        <f>IF($H$10="Attainment",16.09,IF($H$10="Maintenance",20.12,IF($H$10="Nonattainment",24.14,"-")))</f>
        <v>-</v>
      </c>
      <c r="L79" s="485" t="s">
        <v>170</v>
      </c>
      <c r="M79" s="112" t="str">
        <f>IF('Project Description'!$C$96="20 Years",-'Travel Forecasts'!N35,"---")</f>
        <v>---</v>
      </c>
      <c r="N79" s="477">
        <v>6.7779000000000003E-5</v>
      </c>
      <c r="O79" s="474" t="str">
        <f>IF('Project Description'!$C$96="20 Years",M79*N79,"---")</f>
        <v>---</v>
      </c>
      <c r="P79" s="482" t="str">
        <f>IF($H$10="Attainment",19.51,IF($H$10="Maintenance",24.39,IF($H$10="Nonattainment",29.27,"-")))</f>
        <v>-</v>
      </c>
      <c r="Q79" s="487" t="s">
        <v>170</v>
      </c>
      <c r="R79" s="285"/>
    </row>
    <row r="80" spans="1:18" s="368" customFormat="1" ht="18" customHeight="1" x14ac:dyDescent="0.2">
      <c r="A80" s="110">
        <f t="shared" si="14"/>
        <v>36</v>
      </c>
      <c r="B80" s="111" t="s">
        <v>289</v>
      </c>
      <c r="C80" s="112">
        <f>-'Travel Forecasts'!M36</f>
        <v>0</v>
      </c>
      <c r="D80" s="488">
        <v>1.8625000000000002E-6</v>
      </c>
      <c r="E80" s="474">
        <f t="shared" si="12"/>
        <v>0</v>
      </c>
      <c r="F80" s="469" t="str">
        <f>IF($H$10="Attainment",14.55,IF($H$10="Maintenance",18.19,IF($H$10="Nonattainment",21.83,"-")))</f>
        <v>-</v>
      </c>
      <c r="G80" s="485" t="str">
        <f t="shared" si="13"/>
        <v>-</v>
      </c>
      <c r="H80" s="486" t="str">
        <f>IF('Project Description'!$C$96="10 Years",-'Travel Forecasts'!N36,"---")</f>
        <v>---</v>
      </c>
      <c r="I80" s="488">
        <v>1.5681999999999999E-6</v>
      </c>
      <c r="J80" s="474" t="str">
        <f>IF('Project Description'!$C$96="10 Years",H80*I80,"---")</f>
        <v>---</v>
      </c>
      <c r="K80" s="469" t="str">
        <f>IF($H$10="Attainment",16.09,IF($H$10="Maintenance",20.12,IF($H$10="Nonattainment",24.14,"-")))</f>
        <v>-</v>
      </c>
      <c r="L80" s="485" t="s">
        <v>170</v>
      </c>
      <c r="M80" s="112" t="str">
        <f>IF('Project Description'!$C$96="20 Years",-'Travel Forecasts'!N36,"---")</f>
        <v>---</v>
      </c>
      <c r="N80" s="488">
        <v>1.4714166666666667E-6</v>
      </c>
      <c r="O80" s="474" t="str">
        <f>IF('Project Description'!$C$96="20 Years",M80*N80,"---")</f>
        <v>---</v>
      </c>
      <c r="P80" s="482" t="str">
        <f t="shared" si="11"/>
        <v>-</v>
      </c>
      <c r="Q80" s="487" t="s">
        <v>170</v>
      </c>
      <c r="R80" s="285"/>
    </row>
    <row r="81" spans="1:18" s="368" customFormat="1" ht="18" customHeight="1" x14ac:dyDescent="0.2">
      <c r="A81" s="110">
        <f t="shared" si="14"/>
        <v>37</v>
      </c>
      <c r="B81" s="111" t="s">
        <v>290</v>
      </c>
      <c r="C81" s="112">
        <f>-'Travel Forecasts'!M37</f>
        <v>0</v>
      </c>
      <c r="D81" s="477">
        <v>8.5599999999999994E-6</v>
      </c>
      <c r="E81" s="474">
        <f t="shared" si="12"/>
        <v>0</v>
      </c>
      <c r="F81" s="469" t="str">
        <f>IF($H$10="Attainment",14.55,IF($H$10="Maintenance",18.19,IF($H$10="Nonattainment",21.83,"-")))</f>
        <v>-</v>
      </c>
      <c r="G81" s="485" t="str">
        <f t="shared" si="13"/>
        <v>-</v>
      </c>
      <c r="H81" s="486" t="str">
        <f>IF('Project Description'!$C$96="10 Years",-'Travel Forecasts'!N37,"---")</f>
        <v>---</v>
      </c>
      <c r="I81" s="477">
        <v>7.2078048780487814E-6</v>
      </c>
      <c r="J81" s="474" t="str">
        <f>IF('Project Description'!$C$96="10 Years",H81*I81,"---")</f>
        <v>---</v>
      </c>
      <c r="K81" s="469" t="str">
        <f>IF($H$10="Attainment",16.09,IF($H$10="Maintenance",20.12,IF($H$10="Nonattainment",24.14,"-")))</f>
        <v>-</v>
      </c>
      <c r="L81" s="485" t="s">
        <v>170</v>
      </c>
      <c r="M81" s="112" t="str">
        <f>IF('Project Description'!$C$96="20 Years",-'Travel Forecasts'!N37,"---")</f>
        <v>---</v>
      </c>
      <c r="N81" s="477">
        <v>6.7629268292682925E-6</v>
      </c>
      <c r="O81" s="474" t="str">
        <f>IF('Project Description'!$C$96="20 Years",M81*N81,"---")</f>
        <v>---</v>
      </c>
      <c r="P81" s="482" t="str">
        <f t="shared" si="11"/>
        <v>-</v>
      </c>
      <c r="Q81" s="487" t="s">
        <v>170</v>
      </c>
      <c r="R81" s="285"/>
    </row>
    <row r="82" spans="1:18" s="368" customFormat="1" ht="25.5" x14ac:dyDescent="0.2">
      <c r="A82" s="110">
        <f t="shared" si="14"/>
        <v>38</v>
      </c>
      <c r="B82" s="111" t="s">
        <v>291</v>
      </c>
      <c r="C82" s="112">
        <f>-'Travel Forecasts'!M38</f>
        <v>0</v>
      </c>
      <c r="D82" s="477">
        <v>5.9999999999999995E-4</v>
      </c>
      <c r="E82" s="474">
        <f t="shared" si="12"/>
        <v>0</v>
      </c>
      <c r="F82" s="469" t="str">
        <f>IF($H$10="Attainment",9.38,IF($H$10="Maintenance",11.73,IF($H$10="Nonattainment",14.07,"-")))</f>
        <v>-</v>
      </c>
      <c r="G82" s="485" t="str">
        <f t="shared" si="13"/>
        <v>-</v>
      </c>
      <c r="H82" s="486" t="str">
        <f>IF('Project Description'!$C$96="10 Years",-'Travel Forecasts'!N38,"---")</f>
        <v>---</v>
      </c>
      <c r="I82" s="477">
        <v>5.9999999999999995E-4</v>
      </c>
      <c r="J82" s="474" t="str">
        <f>IF('Project Description'!$C$96="10 Years",H82*I82,"---")</f>
        <v>---</v>
      </c>
      <c r="K82" s="469" t="str">
        <f>IF($H$10="Attainment",10.43,IF($H$10="Maintenance",13.03,IF($H$10="Nonattainment",15.64,"-")))</f>
        <v>-</v>
      </c>
      <c r="L82" s="485" t="s">
        <v>170</v>
      </c>
      <c r="M82" s="112" t="str">
        <f>IF('Project Description'!$C$96="20 Years",-'Travel Forecasts'!N38,"---")</f>
        <v>---</v>
      </c>
      <c r="N82" s="477">
        <v>5.9999999999999995E-4</v>
      </c>
      <c r="O82" s="474" t="str">
        <f>IF('Project Description'!$C$96="20 Years",M82*N82,"---")</f>
        <v>---</v>
      </c>
      <c r="P82" s="482" t="str">
        <f t="shared" si="11"/>
        <v>-</v>
      </c>
      <c r="Q82" s="487" t="s">
        <v>170</v>
      </c>
      <c r="R82" s="285"/>
    </row>
    <row r="83" spans="1:18" s="368" customFormat="1" ht="12.75" x14ac:dyDescent="0.2">
      <c r="A83" s="110">
        <f t="shared" si="14"/>
        <v>39</v>
      </c>
      <c r="B83" s="111" t="s">
        <v>292</v>
      </c>
      <c r="C83" s="112">
        <f>-'Travel Forecasts'!M39</f>
        <v>0</v>
      </c>
      <c r="D83" s="477">
        <v>4.4200000000000003E-3</v>
      </c>
      <c r="E83" s="474">
        <f t="shared" si="12"/>
        <v>0</v>
      </c>
      <c r="F83" s="469" t="str">
        <f>IF($H$10="Attainment",9.38,IF($H$10="Maintenance",11.73,IF($H$10="Nonattainment",14.07,"-")))</f>
        <v>-</v>
      </c>
      <c r="G83" s="485" t="str">
        <f t="shared" si="13"/>
        <v>-</v>
      </c>
      <c r="H83" s="486" t="str">
        <f>IF('Project Description'!$C$96="10 Years",-'Travel Forecasts'!N39,"---")</f>
        <v>---</v>
      </c>
      <c r="I83" s="477">
        <v>4.4200000000000003E-3</v>
      </c>
      <c r="J83" s="474" t="str">
        <f>IF('Project Description'!$C$96="10 Years",H83*I83,"---")</f>
        <v>---</v>
      </c>
      <c r="K83" s="469" t="str">
        <f>IF($H$10="Attainment",10.43,IF($H$10="Maintenance",13.03,IF($H$10="Nonattainment",15.64,"-")))</f>
        <v>-</v>
      </c>
      <c r="L83" s="485" t="s">
        <v>170</v>
      </c>
      <c r="M83" s="112" t="str">
        <f>IF('Project Description'!$C$96="20 Years",-'Travel Forecasts'!N39,"---")</f>
        <v>---</v>
      </c>
      <c r="N83" s="477">
        <v>4.4200000000000003E-3</v>
      </c>
      <c r="O83" s="474" t="str">
        <f>IF('Project Description'!$C$96="20 Years",M83*N83,"---")</f>
        <v>---</v>
      </c>
      <c r="P83" s="482" t="str">
        <f t="shared" si="11"/>
        <v>-</v>
      </c>
      <c r="Q83" s="487" t="s">
        <v>170</v>
      </c>
      <c r="R83" s="285"/>
    </row>
    <row r="84" spans="1:18" s="368" customFormat="1" ht="18" customHeight="1" x14ac:dyDescent="0.2">
      <c r="A84" s="121">
        <f t="shared" si="14"/>
        <v>40</v>
      </c>
      <c r="B84" s="122" t="s">
        <v>293</v>
      </c>
      <c r="C84" s="112">
        <f>-'Travel Forecasts'!M40</f>
        <v>0</v>
      </c>
      <c r="D84" s="477">
        <v>8.2484679665738199E-6</v>
      </c>
      <c r="E84" s="475">
        <f t="shared" si="12"/>
        <v>0</v>
      </c>
      <c r="F84" s="470" t="str">
        <f>IF($H$10="Attainment",14.55,IF($H$10="Maintenance",18.19,IF($H$10="Nonattainment",21.83,"-")))</f>
        <v>-</v>
      </c>
      <c r="G84" s="489" t="str">
        <f t="shared" si="13"/>
        <v>-</v>
      </c>
      <c r="H84" s="486" t="str">
        <f>IF('Project Description'!$C$96="10 Years",-'Travel Forecasts'!N40,"---")</f>
        <v>---</v>
      </c>
      <c r="I84" s="477">
        <v>6.9454038997214488E-6</v>
      </c>
      <c r="J84" s="474" t="str">
        <f>IF('Project Description'!$C$96="10 Years",H84*I84,"---")</f>
        <v>---</v>
      </c>
      <c r="K84" s="470" t="str">
        <f>IF($H$10="Attainment",16.09,IF($H$10="Maintenance",20.12,IF($H$10="Nonattainment",24.14,"-")))</f>
        <v>-</v>
      </c>
      <c r="L84" s="489" t="s">
        <v>170</v>
      </c>
      <c r="M84" s="112" t="str">
        <f>IF('Project Description'!$C$96="20 Years",-'Travel Forecasts'!N40,"---")</f>
        <v>---</v>
      </c>
      <c r="N84" s="477">
        <v>6.5167130919220063E-6</v>
      </c>
      <c r="O84" s="474" t="str">
        <f>IF('Project Description'!$C$96="20 Years",M84*N84,"---")</f>
        <v>---</v>
      </c>
      <c r="P84" s="483" t="str">
        <f>IF($H$10="Attainment",19.51,IF($H$10="Maintenance",24.39,IF($H$10="Nonattainment",29.27,"-")))</f>
        <v>-</v>
      </c>
      <c r="Q84" s="490" t="s">
        <v>170</v>
      </c>
      <c r="R84" s="285"/>
    </row>
    <row r="85" spans="1:18" ht="16.5" thickBot="1" x14ac:dyDescent="0.25">
      <c r="A85" s="130">
        <f t="shared" si="14"/>
        <v>41</v>
      </c>
      <c r="B85" s="131" t="s">
        <v>294</v>
      </c>
      <c r="C85" s="132">
        <f>SUM(C75:C84)</f>
        <v>0</v>
      </c>
      <c r="D85" s="133" t="s">
        <v>112</v>
      </c>
      <c r="E85" s="134">
        <f>SUM(E75:E84)</f>
        <v>0</v>
      </c>
      <c r="F85" s="135" t="s">
        <v>112</v>
      </c>
      <c r="G85" s="136">
        <f>SUM(G75:G84)</f>
        <v>0</v>
      </c>
      <c r="H85" s="137" t="str">
        <f>IF('Project Description'!$C$96="10 Years",SUM(H75:H84),"---")</f>
        <v>---</v>
      </c>
      <c r="I85" s="138" t="s">
        <v>112</v>
      </c>
      <c r="J85" s="134" t="str">
        <f>IF('Project Description'!$C$96="10 Years",SUM(J75:J84),"---")</f>
        <v>---</v>
      </c>
      <c r="K85" s="139" t="s">
        <v>112</v>
      </c>
      <c r="L85" s="136" t="str">
        <f>IF('Project Description'!$C$96="10 Years",SUM(L75:L84),"---")</f>
        <v>---</v>
      </c>
      <c r="M85" s="132" t="str">
        <f>IF('Project Description'!$C$96="20 Years",SUM(M75:M84),"---")</f>
        <v>---</v>
      </c>
      <c r="N85" s="138" t="s">
        <v>112</v>
      </c>
      <c r="O85" s="134" t="str">
        <f>IF('Project Description'!$C$96="20 Years",SUM(O75:O84),"---")</f>
        <v>---</v>
      </c>
      <c r="P85" s="139" t="s">
        <v>112</v>
      </c>
      <c r="Q85" s="136" t="str">
        <f>IF('Project Description'!$C$96="20 Years",SUM(Q75:Q84),"---")</f>
        <v>---</v>
      </c>
    </row>
    <row r="86" spans="1:18" s="180" customFormat="1" ht="12.75" x14ac:dyDescent="0.2">
      <c r="C86" s="181"/>
      <c r="D86" s="181"/>
      <c r="E86" s="182"/>
      <c r="F86" s="182"/>
      <c r="G86" s="182"/>
      <c r="H86" s="182"/>
    </row>
    <row r="87" spans="1:18" s="79" customFormat="1" ht="15.75" thickBot="1" x14ac:dyDescent="0.25">
      <c r="C87" s="178"/>
      <c r="D87" s="178"/>
      <c r="E87" s="179"/>
      <c r="F87" s="179"/>
      <c r="G87" s="179"/>
      <c r="H87" s="179"/>
    </row>
    <row r="88" spans="1:18" ht="19.5" thickBot="1" x14ac:dyDescent="0.3">
      <c r="A88" s="1017" t="s">
        <v>298</v>
      </c>
      <c r="B88" s="1018"/>
      <c r="C88" s="1018"/>
      <c r="D88" s="1018"/>
      <c r="E88" s="1018"/>
      <c r="F88" s="1018"/>
      <c r="G88" s="1018"/>
      <c r="H88" s="1018"/>
      <c r="I88" s="1018"/>
      <c r="J88" s="1018"/>
      <c r="K88" s="1018"/>
      <c r="L88" s="1018"/>
      <c r="M88" s="1018"/>
      <c r="N88" s="1018"/>
      <c r="O88" s="1018"/>
      <c r="P88" s="1018"/>
      <c r="Q88" s="1019"/>
      <c r="R88" s="183"/>
    </row>
    <row r="89" spans="1:18" s="368" customFormat="1" ht="15.75" x14ac:dyDescent="0.25">
      <c r="A89" s="1020" t="s">
        <v>83</v>
      </c>
      <c r="B89" s="1022" t="s">
        <v>277</v>
      </c>
      <c r="C89" s="1024" t="s">
        <v>33</v>
      </c>
      <c r="D89" s="1025"/>
      <c r="E89" s="1025"/>
      <c r="F89" s="1025"/>
      <c r="G89" s="1026"/>
      <c r="H89" s="1025" t="s">
        <v>278</v>
      </c>
      <c r="I89" s="1025"/>
      <c r="J89" s="1025"/>
      <c r="K89" s="1025"/>
      <c r="L89" s="1025"/>
      <c r="M89" s="1024" t="s">
        <v>279</v>
      </c>
      <c r="N89" s="1025"/>
      <c r="O89" s="1025"/>
      <c r="P89" s="1025"/>
      <c r="Q89" s="1026"/>
      <c r="R89" s="285"/>
    </row>
    <row r="90" spans="1:18" s="368" customFormat="1" ht="60" customHeight="1" x14ac:dyDescent="0.2">
      <c r="A90" s="1021"/>
      <c r="B90" s="1023"/>
      <c r="C90" s="95" t="s">
        <v>280</v>
      </c>
      <c r="D90" s="96" t="s">
        <v>281</v>
      </c>
      <c r="E90" s="96" t="s">
        <v>282</v>
      </c>
      <c r="F90" s="97" t="s">
        <v>283</v>
      </c>
      <c r="G90" s="98" t="s">
        <v>284</v>
      </c>
      <c r="H90" s="99" t="s">
        <v>280</v>
      </c>
      <c r="I90" s="96" t="s">
        <v>281</v>
      </c>
      <c r="J90" s="96" t="s">
        <v>282</v>
      </c>
      <c r="K90" s="97" t="s">
        <v>283</v>
      </c>
      <c r="L90" s="98" t="s">
        <v>284</v>
      </c>
      <c r="M90" s="95" t="s">
        <v>280</v>
      </c>
      <c r="N90" s="96" t="s">
        <v>281</v>
      </c>
      <c r="O90" s="96" t="s">
        <v>282</v>
      </c>
      <c r="P90" s="97" t="s">
        <v>283</v>
      </c>
      <c r="Q90" s="98" t="s">
        <v>284</v>
      </c>
      <c r="R90" s="285"/>
    </row>
    <row r="91" spans="1:18" s="368" customFormat="1" ht="18" customHeight="1" x14ac:dyDescent="0.2">
      <c r="A91" s="100">
        <f>A85+1</f>
        <v>42</v>
      </c>
      <c r="B91" s="101" t="s">
        <v>126</v>
      </c>
      <c r="C91" s="102">
        <f>IF('Project Description'!$C$92="Yes",H25,-'Travel Forecasts'!M31)</f>
        <v>0</v>
      </c>
      <c r="D91" s="491">
        <v>8.7109389999999999E-6</v>
      </c>
      <c r="E91" s="473">
        <f>C91*D91</f>
        <v>0</v>
      </c>
      <c r="F91" s="468" t="str">
        <f>IF($H$11="Attainment",650.36,IF($H$11="Maintenance",812.95,IF($H$11="Nonattainment",975.55,"-")))</f>
        <v>-</v>
      </c>
      <c r="G91" s="106" t="str">
        <f>IF($H$11="(Select…)","-",E91*F91)</f>
        <v>-</v>
      </c>
      <c r="H91" s="107" t="str">
        <f>IF('Project Description'!$C$96="10 Years",-'Travel Forecasts'!N31,"---")</f>
        <v>---</v>
      </c>
      <c r="I91" s="140">
        <v>6.8604390000000004E-6</v>
      </c>
      <c r="J91" s="104" t="str">
        <f>IF('Project Description'!$C$96="10 Years",H91*I91,"---")</f>
        <v>---</v>
      </c>
      <c r="K91" s="105" t="str">
        <f>IF($H$11="Attainment",650.36,IF($H$11="Maintenance",812.95,IF($H$11="Nonattainment",975.55,"-")))</f>
        <v>-</v>
      </c>
      <c r="L91" s="106" t="str">
        <f>IF($H$11="(Select…)","-",IF('Project Description'!$C$96="10 Years",J91*K91,"---"))</f>
        <v>-</v>
      </c>
      <c r="M91" s="102" t="str">
        <f>IF('Project Description'!$C$96="20 Years",-'Travel Forecasts'!N31,"---")</f>
        <v>---</v>
      </c>
      <c r="N91" s="491">
        <v>6.1365739999999995E-6</v>
      </c>
      <c r="O91" s="473" t="str">
        <f>IF('Project Description'!$C$96="20 Years",M91*N91,"---")</f>
        <v>---</v>
      </c>
      <c r="P91" s="468" t="str">
        <f>IF($H$11="Attainment",650.36,IF($H$11="Maintenance",812.95,IF($H$11="Nonattainment",975.55,"-")))</f>
        <v>-</v>
      </c>
      <c r="Q91" s="106" t="str">
        <f>IF($H$11="(Select…)","-",IF('Project Description'!$C$96="20 Years",O91*P91,"---"))</f>
        <v>-</v>
      </c>
      <c r="R91" s="285"/>
    </row>
    <row r="92" spans="1:18" s="368" customFormat="1" ht="18" customHeight="1" x14ac:dyDescent="0.2">
      <c r="A92" s="110">
        <f>A91+1</f>
        <v>43</v>
      </c>
      <c r="B92" s="111" t="s">
        <v>285</v>
      </c>
      <c r="C92" s="112">
        <f>-'Travel Forecasts'!M32</f>
        <v>0</v>
      </c>
      <c r="D92" s="488">
        <v>6.3794164000000001E-5</v>
      </c>
      <c r="E92" s="474">
        <f t="shared" ref="E92:E100" si="15">C92*D92</f>
        <v>0</v>
      </c>
      <c r="F92" s="469" t="str">
        <f>IF($H$11="Attainment",451.95,IF($H$11="Maintenance",564.93,IF($H$11="Nonattainment",677.92,"-")))</f>
        <v>-</v>
      </c>
      <c r="G92" s="116" t="str">
        <f t="shared" ref="G92:G100" si="16">IF($H$11="(Select…)","-",E92*F92)</f>
        <v>-</v>
      </c>
      <c r="H92" s="117" t="str">
        <f>IF('Project Description'!$C$96="10 Years",-'Travel Forecasts'!N32,"---")</f>
        <v>---</v>
      </c>
      <c r="I92" s="141">
        <v>3.1377680999999997E-5</v>
      </c>
      <c r="J92" s="114" t="str">
        <f>IF('Project Description'!$C$96="10 Years",H92*I92,"---")</f>
        <v>---</v>
      </c>
      <c r="K92" s="115" t="str">
        <f>IF($H$11="Attainment",451.95,IF($H$11="Maintenance",564.93,IF($H$11="Nonattainment",677.92,"-")))</f>
        <v>-</v>
      </c>
      <c r="L92" s="116" t="str">
        <f>IF($H$11="(Select…)","-",IF('Project Description'!$C$96="10 Years",J92*K92,"---"))</f>
        <v>-</v>
      </c>
      <c r="M92" s="112" t="str">
        <f>IF('Project Description'!$C$96="20 Years",-'Travel Forecasts'!N32,"---")</f>
        <v>---</v>
      </c>
      <c r="N92" s="488">
        <v>2.0538060999999999E-5</v>
      </c>
      <c r="O92" s="474" t="str">
        <f>IF('Project Description'!$C$96="20 Years",M92*N92,"---")</f>
        <v>---</v>
      </c>
      <c r="P92" s="482" t="str">
        <f>IF($H$11="Attainment",451.95,IF($H$11="Maintenance",564.93,IF($H$11="Nonattainment",677.92,"-")))</f>
        <v>-</v>
      </c>
      <c r="Q92" s="120" t="str">
        <f>IF($H$11="(Select…)","-",IF('Project Description'!$C$96="20 Years",O92*P92,"---"))</f>
        <v>-</v>
      </c>
      <c r="R92" s="285"/>
    </row>
    <row r="93" spans="1:18" s="368" customFormat="1" ht="18" customHeight="1" x14ac:dyDescent="0.2">
      <c r="A93" s="110">
        <f t="shared" ref="A93:A101" si="17">A92+1</f>
        <v>44</v>
      </c>
      <c r="B93" s="111" t="s">
        <v>286</v>
      </c>
      <c r="C93" s="112">
        <f>-'Travel Forecasts'!M33</f>
        <v>0</v>
      </c>
      <c r="D93" s="488">
        <v>6.3794164000000001E-5</v>
      </c>
      <c r="E93" s="474">
        <f t="shared" si="15"/>
        <v>0</v>
      </c>
      <c r="F93" s="469" t="str">
        <f>IF($H$11="Attainment",595.25,IF($H$11="Maintenance",744.06,IF($H$11="Nonattainment",892.87,"-")))</f>
        <v>-</v>
      </c>
      <c r="G93" s="116" t="str">
        <f t="shared" si="16"/>
        <v>-</v>
      </c>
      <c r="H93" s="117" t="str">
        <f>IF('Project Description'!$C$96="10 Years",-'Travel Forecasts'!N33,"---")</f>
        <v>---</v>
      </c>
      <c r="I93" s="141">
        <v>3.1377680999999997E-5</v>
      </c>
      <c r="J93" s="114" t="str">
        <f>IF('Project Description'!$C$96="10 Years",H93*I93,"---")</f>
        <v>---</v>
      </c>
      <c r="K93" s="115" t="str">
        <f>IF($H$11="Attainment",595.25,IF($H$11="Maintenance",744.06,IF($H$11="Nonattainment",892.87,"-")))</f>
        <v>-</v>
      </c>
      <c r="L93" s="116" t="str">
        <f>IF($H$11="(Select…)","-",IF('Project Description'!$C$96="10 Years",J93*K93,"---"))</f>
        <v>-</v>
      </c>
      <c r="M93" s="112" t="str">
        <f>IF('Project Description'!$C$96="20 Years",-'Travel Forecasts'!N33,"---")</f>
        <v>---</v>
      </c>
      <c r="N93" s="488">
        <v>2.0538060999999999E-5</v>
      </c>
      <c r="O93" s="474" t="str">
        <f>IF('Project Description'!$C$96="20 Years",M93*N93,"---")</f>
        <v>---</v>
      </c>
      <c r="P93" s="482" t="str">
        <f>IF($H$11="Attainment",595.25,IF($H$11="Maintenance",744.06,IF($H$11="Nonattainment",892.87,"-")))</f>
        <v>-</v>
      </c>
      <c r="Q93" s="120" t="str">
        <f>IF($H$11="(Select…)","-",IF('Project Description'!$C$96="20 Years",O93*P93,"---"))</f>
        <v>-</v>
      </c>
      <c r="R93" s="285"/>
    </row>
    <row r="94" spans="1:18" s="368" customFormat="1" ht="18" customHeight="1" x14ac:dyDescent="0.2">
      <c r="A94" s="110">
        <f t="shared" si="17"/>
        <v>45</v>
      </c>
      <c r="B94" s="111" t="s">
        <v>287</v>
      </c>
      <c r="C94" s="112">
        <f>-'Travel Forecasts'!M34</f>
        <v>0</v>
      </c>
      <c r="D94" s="488">
        <v>3.4568956999999996E-5</v>
      </c>
      <c r="E94" s="474">
        <f t="shared" si="15"/>
        <v>0</v>
      </c>
      <c r="F94" s="469" t="str">
        <f>IF($H$11="Attainment",595.25,IF($H$11="Maintenance",744.06,IF($H$11="Nonattainment",892.87,"-")))</f>
        <v>-</v>
      </c>
      <c r="G94" s="116" t="str">
        <f t="shared" si="16"/>
        <v>-</v>
      </c>
      <c r="H94" s="117" t="str">
        <f>IF('Project Description'!$C$96="10 Years",-'Travel Forecasts'!N34,"---")</f>
        <v>---</v>
      </c>
      <c r="I94" s="141">
        <v>2.6792032000000001E-5</v>
      </c>
      <c r="J94" s="114" t="str">
        <f>IF('Project Description'!$C$96="10 Years",H94*I94,"---")</f>
        <v>---</v>
      </c>
      <c r="K94" s="115" t="str">
        <f>IF($H$11="Attainment",595.25,IF($H$11="Maintenance",744.06,IF($H$11="Nonattainment",892.87,"-")))</f>
        <v>-</v>
      </c>
      <c r="L94" s="116" t="str">
        <f>IF($H$11="(Select…)","-",IF('Project Description'!$C$96="10 Years",J94*K94,"---"))</f>
        <v>-</v>
      </c>
      <c r="M94" s="112" t="str">
        <f>IF('Project Description'!$C$96="20 Years",-'Travel Forecasts'!N34,"---")</f>
        <v>---</v>
      </c>
      <c r="N94" s="488">
        <v>2.4135118000000001E-5</v>
      </c>
      <c r="O94" s="474" t="str">
        <f>IF('Project Description'!$C$96="20 Years",M94*N94,"---")</f>
        <v>---</v>
      </c>
      <c r="P94" s="482" t="str">
        <f>IF($H$11="Attainment",595.25,IF($H$11="Maintenance",744.06,IF($H$11="Nonattainment",892.87,"-")))</f>
        <v>-</v>
      </c>
      <c r="Q94" s="120" t="str">
        <f>IF($H$11="(Select…)","-",IF('Project Description'!$C$96="20 Years",O94*P94,"---"))</f>
        <v>-</v>
      </c>
      <c r="R94" s="285"/>
    </row>
    <row r="95" spans="1:18" s="368" customFormat="1" ht="18" customHeight="1" x14ac:dyDescent="0.2">
      <c r="A95" s="110">
        <f t="shared" si="17"/>
        <v>46</v>
      </c>
      <c r="B95" s="111" t="s">
        <v>288</v>
      </c>
      <c r="C95" s="112">
        <f>-'Travel Forecasts'!M35</f>
        <v>0</v>
      </c>
      <c r="D95" s="488">
        <v>7.0690622752228884E-5</v>
      </c>
      <c r="E95" s="474">
        <f t="shared" si="15"/>
        <v>0</v>
      </c>
      <c r="F95" s="469" t="str">
        <f>IF($H$11="Attainment",151.02,IF($H$11="Maintenance",188.77,IF($H$11="Nonattainment",226.52,"-")))</f>
        <v>-</v>
      </c>
      <c r="G95" s="116" t="str">
        <f t="shared" si="16"/>
        <v>-</v>
      </c>
      <c r="H95" s="117" t="str">
        <f>IF('Project Description'!$C$96="10 Years",-'Travel Forecasts'!N35,"---")</f>
        <v>---</v>
      </c>
      <c r="I95" s="141">
        <v>5.0453641530559395E-5</v>
      </c>
      <c r="J95" s="114" t="str">
        <f>IF('Project Description'!$C$96="10 Years",H95*I95,"---")</f>
        <v>---</v>
      </c>
      <c r="K95" s="115" t="str">
        <f>IF($H$11="Attainment",169.76,IF($H$11="Maintenance",212.19,IF($H$11="Nonattainment",254.63,"-")))</f>
        <v>-</v>
      </c>
      <c r="L95" s="116" t="str">
        <f>IF($H$11="(Select…)","-",IF('Project Description'!$C$96="10 Years",J95*K95,"---"))</f>
        <v>-</v>
      </c>
      <c r="M95" s="112" t="str">
        <f>IF('Project Description'!$C$96="20 Years",-'Travel Forecasts'!N35,"---")</f>
        <v>---</v>
      </c>
      <c r="N95" s="488">
        <v>4.3859411816071107E-5</v>
      </c>
      <c r="O95" s="474" t="str">
        <f>IF('Project Description'!$C$96="20 Years",M95*N95,"---")</f>
        <v>---</v>
      </c>
      <c r="P95" s="482" t="str">
        <f>IF($H$11="Attainment",196.21,IF($H$11="Maintenance",245.26,IF($H$11="Nonattainment",294.32,"-")))</f>
        <v>-</v>
      </c>
      <c r="Q95" s="120" t="str">
        <f>IF($H$11="(Select…)","-",IF('Project Description'!$C$96="20 Years",O95*P95,"---"))</f>
        <v>-</v>
      </c>
      <c r="R95" s="285"/>
    </row>
    <row r="96" spans="1:18" s="368" customFormat="1" ht="18" customHeight="1" x14ac:dyDescent="0.2">
      <c r="A96" s="110">
        <f t="shared" si="17"/>
        <v>47</v>
      </c>
      <c r="B96" s="111" t="s">
        <v>289</v>
      </c>
      <c r="C96" s="112">
        <f>-'Travel Forecasts'!M36</f>
        <v>0</v>
      </c>
      <c r="D96" s="488">
        <v>9.9296666666666666E-7</v>
      </c>
      <c r="E96" s="474">
        <f t="shared" si="15"/>
        <v>0</v>
      </c>
      <c r="F96" s="469" t="str">
        <f>IF($H$11="Attainment",151.02,IF($H$11="Maintenance",188.77,IF($H$11="Nonattainment",226.52,"-")))</f>
        <v>-</v>
      </c>
      <c r="G96" s="116" t="str">
        <f t="shared" si="16"/>
        <v>-</v>
      </c>
      <c r="H96" s="117" t="str">
        <f>IF('Project Description'!$C$96="10 Years",-'Travel Forecasts'!N36,"---")</f>
        <v>---</v>
      </c>
      <c r="I96" s="141">
        <v>8.2184999999999991E-7</v>
      </c>
      <c r="J96" s="114" t="str">
        <f>IF('Project Description'!$C$96="10 Years",H96*I96,"---")</f>
        <v>---</v>
      </c>
      <c r="K96" s="115" t="str">
        <f>IF($H$11="Attainment",169.76,IF($H$11="Maintenance",212.19,IF($H$11="Nonattainment",254.63,"-")))</f>
        <v>-</v>
      </c>
      <c r="L96" s="116" t="str">
        <f>IF($H$11="(Select…)","-",IF('Project Description'!$C$96="10 Years",J96*K96,"---"))</f>
        <v>-</v>
      </c>
      <c r="M96" s="112" t="str">
        <f>IF('Project Description'!$C$96="20 Years",-'Travel Forecasts'!N36,"---")</f>
        <v>---</v>
      </c>
      <c r="N96" s="488">
        <v>7.3725000000000001E-7</v>
      </c>
      <c r="O96" s="474" t="str">
        <f>IF('Project Description'!$C$96="20 Years",M96*N96,"---")</f>
        <v>---</v>
      </c>
      <c r="P96" s="482" t="str">
        <f>IF($H$11="Attainment",196.21,IF($H$11="Maintenance",245.26,IF($H$11="Nonattainment",294.32,"-")))</f>
        <v>-</v>
      </c>
      <c r="Q96" s="120" t="str">
        <f>IF($H$11="(Select…)","-",IF('Project Description'!$C$96="20 Years",O96*P96,"---"))</f>
        <v>-</v>
      </c>
      <c r="R96" s="285"/>
    </row>
    <row r="97" spans="1:18" s="368" customFormat="1" ht="18" customHeight="1" x14ac:dyDescent="0.2">
      <c r="A97" s="110">
        <f t="shared" si="17"/>
        <v>48</v>
      </c>
      <c r="B97" s="111" t="s">
        <v>290</v>
      </c>
      <c r="C97" s="112">
        <f>-'Travel Forecasts'!M37</f>
        <v>0</v>
      </c>
      <c r="D97" s="488">
        <v>4.563804878048781E-6</v>
      </c>
      <c r="E97" s="474">
        <f t="shared" si="15"/>
        <v>0</v>
      </c>
      <c r="F97" s="469" t="str">
        <f>IF($H$11="Attainment",151.02,IF($H$11="Maintenance",188.77,IF($H$11="Nonattainment",226.52,"-")))</f>
        <v>-</v>
      </c>
      <c r="G97" s="116" t="str">
        <f t="shared" si="16"/>
        <v>-</v>
      </c>
      <c r="H97" s="117" t="str">
        <f>IF('Project Description'!$C$96="10 Years",-'Travel Forecasts'!N37,"---")</f>
        <v>---</v>
      </c>
      <c r="I97" s="141">
        <v>3.7773170731707316E-6</v>
      </c>
      <c r="J97" s="114" t="str">
        <f>IF('Project Description'!$C$96="10 Years",H97*I97,"---")</f>
        <v>---</v>
      </c>
      <c r="K97" s="115" t="str">
        <f>IF($H$11="Attainment",169.76,IF($H$11="Maintenance",212.19,IF($H$11="Nonattainment",254.63,"-")))</f>
        <v>-</v>
      </c>
      <c r="L97" s="116" t="str">
        <f>IF($H$11="(Select…)","-",IF('Project Description'!$C$96="10 Years",J97*K97,"---"))</f>
        <v>-</v>
      </c>
      <c r="M97" s="112" t="str">
        <f>IF('Project Description'!$C$96="20 Years",-'Travel Forecasts'!N37,"---")</f>
        <v>---</v>
      </c>
      <c r="N97" s="488">
        <v>3.3885365853658542E-6</v>
      </c>
      <c r="O97" s="474" t="str">
        <f>IF('Project Description'!$C$96="20 Years",M97*N97,"---")</f>
        <v>---</v>
      </c>
      <c r="P97" s="482" t="str">
        <f>IF($H$11="Attainment",196.21,IF($H$11="Maintenance",245.26,IF($H$11="Nonattainment",294.32,"-")))</f>
        <v>-</v>
      </c>
      <c r="Q97" s="120" t="str">
        <f>IF($H$11="(Select…)","-",IF('Project Description'!$C$96="20 Years",O97*P97,"---"))</f>
        <v>-</v>
      </c>
      <c r="R97" s="285"/>
    </row>
    <row r="98" spans="1:18" s="368" customFormat="1" ht="25.5" x14ac:dyDescent="0.2">
      <c r="A98" s="110">
        <f t="shared" si="17"/>
        <v>49</v>
      </c>
      <c r="B98" s="111" t="s">
        <v>291</v>
      </c>
      <c r="C98" s="112">
        <f>-'Travel Forecasts'!M38</f>
        <v>0</v>
      </c>
      <c r="D98" s="488">
        <v>2.3999999999999998E-4</v>
      </c>
      <c r="E98" s="474">
        <f t="shared" si="15"/>
        <v>0</v>
      </c>
      <c r="F98" s="469" t="str">
        <f>IF($H$11="Attainment",275.58,IF($H$11="Maintenance",344.47,IF($H$11="Nonattainment",413.37,"-")))</f>
        <v>-</v>
      </c>
      <c r="G98" s="116" t="str">
        <f t="shared" si="16"/>
        <v>-</v>
      </c>
      <c r="H98" s="117" t="str">
        <f>IF('Project Description'!$C$96="10 Years",-'Travel Forecasts'!N38,"---")</f>
        <v>---</v>
      </c>
      <c r="I98" s="141">
        <v>2.3999999999999998E-4</v>
      </c>
      <c r="J98" s="114" t="str">
        <f>IF('Project Description'!$C$96="10 Years",H98*I98,"---")</f>
        <v>---</v>
      </c>
      <c r="K98" s="115" t="str">
        <f>IF($H$11="Attainment",275.58,IF($H$11="Maintenance",344.47,IF($H$11="Nonattainment",413.37,"-")))</f>
        <v>-</v>
      </c>
      <c r="L98" s="116" t="str">
        <f>IF($H$11="(Select…)","-",IF('Project Description'!$C$96="10 Years",J98*K98,"---"))</f>
        <v>-</v>
      </c>
      <c r="M98" s="112" t="str">
        <f>IF('Project Description'!$C$96="20 Years",-'Travel Forecasts'!N38,"---")</f>
        <v>---</v>
      </c>
      <c r="N98" s="488">
        <v>2.3999999999999998E-4</v>
      </c>
      <c r="O98" s="474" t="str">
        <f>IF('Project Description'!$C$96="20 Years",M98*N98,"---")</f>
        <v>---</v>
      </c>
      <c r="P98" s="482" t="str">
        <f>IF($H$11="Attainment",275.58,IF($H$11="Maintenance",344.47,IF($H$11="Nonattainment",413.37,"-")))</f>
        <v>-</v>
      </c>
      <c r="Q98" s="120" t="str">
        <f>IF($H$11="(Select…)","-",IF('Project Description'!$C$96="20 Years",O98*P98,"---"))</f>
        <v>-</v>
      </c>
      <c r="R98" s="285"/>
    </row>
    <row r="99" spans="1:18" s="368" customFormat="1" ht="12.75" x14ac:dyDescent="0.2">
      <c r="A99" s="110">
        <f t="shared" si="17"/>
        <v>50</v>
      </c>
      <c r="B99" s="111" t="s">
        <v>292</v>
      </c>
      <c r="C99" s="112">
        <f>-'Travel Forecasts'!M39</f>
        <v>0</v>
      </c>
      <c r="D99" s="488">
        <v>3.1199999999999999E-3</v>
      </c>
      <c r="E99" s="474">
        <f t="shared" si="15"/>
        <v>0</v>
      </c>
      <c r="F99" s="469" t="str">
        <f>IF($H$11="Attainment",275.58,IF($H$11="Maintenance",344.47,IF($H$11="Nonattainment",413.37,"-")))</f>
        <v>-</v>
      </c>
      <c r="G99" s="116" t="str">
        <f t="shared" si="16"/>
        <v>-</v>
      </c>
      <c r="H99" s="117" t="str">
        <f>IF('Project Description'!$C$96="10 Years",-'Travel Forecasts'!N39,"---")</f>
        <v>---</v>
      </c>
      <c r="I99" s="141">
        <v>3.1199999999999999E-3</v>
      </c>
      <c r="J99" s="114" t="str">
        <f>IF('Project Description'!$C$96="10 Years",H99*I99,"---")</f>
        <v>---</v>
      </c>
      <c r="K99" s="115" t="str">
        <f>IF($H$11="Attainment",275.58,IF($H$11="Maintenance",344.47,IF($H$11="Nonattainment",413.37,"-")))</f>
        <v>-</v>
      </c>
      <c r="L99" s="116" t="str">
        <f>IF($H$11="(Select…)","-",IF('Project Description'!$C$96="10 Years",J99*K99,"---"))</f>
        <v>-</v>
      </c>
      <c r="M99" s="112" t="str">
        <f>IF('Project Description'!$C$96="20 Years",-'Travel Forecasts'!N39,"---")</f>
        <v>---</v>
      </c>
      <c r="N99" s="488">
        <v>3.1199999999999999E-3</v>
      </c>
      <c r="O99" s="474" t="str">
        <f>IF('Project Description'!$C$96="20 Years",M99*N99,"---")</f>
        <v>---</v>
      </c>
      <c r="P99" s="482" t="str">
        <f>IF($H$11="Attainment",275.58,IF($H$11="Maintenance",344.47,IF($H$11="Nonattainment",413.37,"-")))</f>
        <v>-</v>
      </c>
      <c r="Q99" s="120" t="str">
        <f>IF($H$11="(Select…)","-",IF('Project Description'!$C$96="20 Years",O99*P99,"---"))</f>
        <v>-</v>
      </c>
      <c r="R99" s="285"/>
    </row>
    <row r="100" spans="1:18" s="368" customFormat="1" ht="18" customHeight="1" x14ac:dyDescent="0.2">
      <c r="A100" s="121">
        <f t="shared" si="17"/>
        <v>51</v>
      </c>
      <c r="B100" s="122" t="s">
        <v>293</v>
      </c>
      <c r="C100" s="112">
        <f>-'Travel Forecasts'!M40</f>
        <v>0</v>
      </c>
      <c r="D100" s="488">
        <v>4.3977715877437331E-6</v>
      </c>
      <c r="E100" s="475">
        <f t="shared" si="15"/>
        <v>0</v>
      </c>
      <c r="F100" s="470" t="str">
        <f>IF($H$11="Attainment",151.02,IF($H$11="Maintenance",188.77,IF($H$11="Nonattainment",226.52,"-")))</f>
        <v>-</v>
      </c>
      <c r="G100" s="126" t="str">
        <f t="shared" si="16"/>
        <v>-</v>
      </c>
      <c r="H100" s="117" t="str">
        <f>IF('Project Description'!$C$96="10 Years",-'Travel Forecasts'!N40,"---")</f>
        <v>---</v>
      </c>
      <c r="I100" s="142">
        <v>3.6398328690807802E-6</v>
      </c>
      <c r="J100" s="114" t="str">
        <f>IF('Project Description'!$C$96="10 Years",H100*I100,"---")</f>
        <v>---</v>
      </c>
      <c r="K100" s="125" t="str">
        <f>IF($H$11="Attainment",169.76,IF($H$11="Maintenance",212.19,IF($H$11="Nonattainment",254.63,"-")))</f>
        <v>-</v>
      </c>
      <c r="L100" s="126" t="str">
        <f>IF($H$11="(Select…)","-",IF('Project Description'!$C$96="10 Years",J100*K100,"---"))</f>
        <v>-</v>
      </c>
      <c r="M100" s="112" t="str">
        <f>IF('Project Description'!$C$96="20 Years",-'Travel Forecasts'!N40,"---")</f>
        <v>---</v>
      </c>
      <c r="N100" s="488">
        <v>3.2651810584958215E-6</v>
      </c>
      <c r="O100" s="474" t="str">
        <f>IF('Project Description'!$C$96="20 Years",M100*N100,"---")</f>
        <v>---</v>
      </c>
      <c r="P100" s="483" t="str">
        <f>IF($H$11="Attainment",196.21,IF($H$11="Maintenance",245.26,IF($H$11="Nonattainment",294.32,"-")))</f>
        <v>-</v>
      </c>
      <c r="Q100" s="129" t="str">
        <f>IF($H$11="(Select…)","-",IF('Project Description'!$C$96="20 Years",O100*P100,"---"))</f>
        <v>-</v>
      </c>
      <c r="R100" s="285"/>
    </row>
    <row r="101" spans="1:18" ht="16.5" thickBot="1" x14ac:dyDescent="0.25">
      <c r="A101" s="130">
        <f t="shared" si="17"/>
        <v>52</v>
      </c>
      <c r="B101" s="131" t="s">
        <v>294</v>
      </c>
      <c r="C101" s="132">
        <f>SUM(C91:C100)</f>
        <v>0</v>
      </c>
      <c r="D101" s="133" t="s">
        <v>112</v>
      </c>
      <c r="E101" s="134">
        <f>SUM(E91:E100)</f>
        <v>0</v>
      </c>
      <c r="F101" s="135" t="s">
        <v>112</v>
      </c>
      <c r="G101" s="136">
        <f>SUM(G91:G100)</f>
        <v>0</v>
      </c>
      <c r="H101" s="137" t="str">
        <f>IF('Project Description'!$C$96="10 Years",SUM(H91:H100),"---")</f>
        <v>---</v>
      </c>
      <c r="I101" s="138" t="s">
        <v>112</v>
      </c>
      <c r="J101" s="134" t="str">
        <f>IF('Project Description'!$C$96="10 Years",SUM(J91:J100),"---")</f>
        <v>---</v>
      </c>
      <c r="K101" s="139" t="s">
        <v>112</v>
      </c>
      <c r="L101" s="136" t="str">
        <f>IF('Project Description'!$C$96="10 Years",SUM(L91:L100),"---")</f>
        <v>---</v>
      </c>
      <c r="M101" s="132" t="str">
        <f>IF('Project Description'!$C$96="20 Years",SUM(M91:M100),"---")</f>
        <v>---</v>
      </c>
      <c r="N101" s="138" t="s">
        <v>112</v>
      </c>
      <c r="O101" s="134" t="str">
        <f>IF('Project Description'!$C$96="20 Years",SUM(O91:O100),"---")</f>
        <v>---</v>
      </c>
      <c r="P101" s="139" t="s">
        <v>112</v>
      </c>
      <c r="Q101" s="136" t="str">
        <f>IF('Project Description'!$C$96="20 Years",SUM(Q91:Q100),"---")</f>
        <v>---</v>
      </c>
    </row>
    <row r="102" spans="1:18" ht="16.5" thickBot="1" x14ac:dyDescent="0.25">
      <c r="A102" s="201"/>
      <c r="B102" s="202"/>
      <c r="C102" s="203"/>
      <c r="D102" s="204"/>
      <c r="E102" s="205"/>
      <c r="F102" s="204"/>
      <c r="G102" s="206"/>
      <c r="H102" s="203"/>
      <c r="I102" s="207"/>
      <c r="J102" s="205"/>
      <c r="K102" s="207"/>
      <c r="L102" s="206"/>
      <c r="M102" s="203"/>
      <c r="N102" s="207"/>
      <c r="O102" s="205"/>
      <c r="P102" s="207"/>
      <c r="Q102" s="206"/>
    </row>
    <row r="103" spans="1:18" ht="18.75" customHeight="1" thickBot="1" x14ac:dyDescent="0.25">
      <c r="A103" s="1014" t="s">
        <v>299</v>
      </c>
      <c r="B103" s="1015"/>
      <c r="C103" s="1015"/>
      <c r="D103" s="1015"/>
      <c r="E103" s="1015"/>
      <c r="F103" s="1015"/>
      <c r="G103" s="1015"/>
      <c r="H103" s="1015"/>
      <c r="I103" s="1015"/>
      <c r="J103" s="1015"/>
      <c r="K103" s="1015"/>
      <c r="L103" s="1015"/>
      <c r="M103" s="1015"/>
      <c r="N103" s="1015"/>
      <c r="O103" s="1015"/>
      <c r="P103" s="1015"/>
      <c r="Q103" s="1016"/>
      <c r="R103" s="382"/>
    </row>
    <row r="104" spans="1:18" s="79" customFormat="1" ht="15.75" thickBot="1" x14ac:dyDescent="0.25">
      <c r="C104" s="178"/>
      <c r="D104" s="178"/>
      <c r="E104" s="179"/>
      <c r="F104" s="179"/>
      <c r="G104" s="179"/>
      <c r="H104" s="179"/>
    </row>
    <row r="105" spans="1:18" ht="19.5" thickBot="1" x14ac:dyDescent="0.3">
      <c r="A105" s="1017" t="s">
        <v>300</v>
      </c>
      <c r="B105" s="1018"/>
      <c r="C105" s="1018"/>
      <c r="D105" s="1018"/>
      <c r="E105" s="1018"/>
      <c r="F105" s="1018"/>
      <c r="G105" s="1018"/>
      <c r="H105" s="1018"/>
      <c r="I105" s="1018"/>
      <c r="J105" s="1018"/>
      <c r="K105" s="1018"/>
      <c r="L105" s="1018"/>
      <c r="M105" s="1018"/>
      <c r="N105" s="1018"/>
      <c r="O105" s="1018"/>
      <c r="P105" s="1018"/>
      <c r="Q105" s="1019"/>
      <c r="R105" s="183"/>
    </row>
    <row r="106" spans="1:18" s="368" customFormat="1" ht="15.75" x14ac:dyDescent="0.25">
      <c r="A106" s="1020" t="s">
        <v>83</v>
      </c>
      <c r="B106" s="1022" t="s">
        <v>277</v>
      </c>
      <c r="C106" s="1024" t="s">
        <v>33</v>
      </c>
      <c r="D106" s="1025"/>
      <c r="E106" s="1025"/>
      <c r="F106" s="1025"/>
      <c r="G106" s="1026"/>
      <c r="H106" s="1025" t="s">
        <v>278</v>
      </c>
      <c r="I106" s="1025"/>
      <c r="J106" s="1025"/>
      <c r="K106" s="1025"/>
      <c r="L106" s="1025"/>
      <c r="M106" s="1024" t="s">
        <v>279</v>
      </c>
      <c r="N106" s="1025"/>
      <c r="O106" s="1025"/>
      <c r="P106" s="1025"/>
      <c r="Q106" s="1026"/>
      <c r="R106" s="285"/>
    </row>
    <row r="107" spans="1:18" s="368" customFormat="1" ht="60.75" customHeight="1" x14ac:dyDescent="0.2">
      <c r="A107" s="1021"/>
      <c r="B107" s="1023"/>
      <c r="C107" s="95" t="s">
        <v>280</v>
      </c>
      <c r="D107" s="96" t="s">
        <v>301</v>
      </c>
      <c r="E107" s="96" t="s">
        <v>302</v>
      </c>
      <c r="F107" s="97" t="s">
        <v>303</v>
      </c>
      <c r="G107" s="98" t="s">
        <v>284</v>
      </c>
      <c r="H107" s="99" t="s">
        <v>280</v>
      </c>
      <c r="I107" s="96" t="s">
        <v>301</v>
      </c>
      <c r="J107" s="96" t="s">
        <v>302</v>
      </c>
      <c r="K107" s="97" t="s">
        <v>303</v>
      </c>
      <c r="L107" s="98" t="s">
        <v>284</v>
      </c>
      <c r="M107" s="95" t="s">
        <v>280</v>
      </c>
      <c r="N107" s="96" t="s">
        <v>301</v>
      </c>
      <c r="O107" s="96" t="s">
        <v>302</v>
      </c>
      <c r="P107" s="97" t="s">
        <v>303</v>
      </c>
      <c r="Q107" s="98" t="s">
        <v>284</v>
      </c>
      <c r="R107" s="285"/>
    </row>
    <row r="108" spans="1:18" s="368" customFormat="1" ht="18" customHeight="1" x14ac:dyDescent="0.2">
      <c r="A108" s="100">
        <f>A101+1</f>
        <v>53</v>
      </c>
      <c r="B108" s="101" t="s">
        <v>126</v>
      </c>
      <c r="C108" s="102">
        <f>IF('Project Description'!$C$92="Yes",H25,-'Travel Forecasts'!M31)</f>
        <v>0</v>
      </c>
      <c r="D108" s="491">
        <v>5.0000000000000001E-4</v>
      </c>
      <c r="E108" s="473">
        <f>C108*D108</f>
        <v>0</v>
      </c>
      <c r="F108" s="468">
        <v>51</v>
      </c>
      <c r="G108" s="106" t="str">
        <f t="shared" ref="G108:G117" si="18">IF($H$8="(Select…)","-",E108*F108)</f>
        <v>-</v>
      </c>
      <c r="H108" s="107" t="str">
        <f>IF('Project Description'!$C$96="10 Years",-'Travel Forecasts'!N31,"---")</f>
        <v>---</v>
      </c>
      <c r="I108" s="491">
        <v>3.7100000000000002E-4</v>
      </c>
      <c r="J108" s="473" t="str">
        <f>IF('Project Description'!$C$96="10 Years",H108*I108,"---")</f>
        <v>---</v>
      </c>
      <c r="K108" s="468">
        <v>51</v>
      </c>
      <c r="L108" s="106" t="str">
        <f>IF($H$8="(Select…)","-",IF('Project Description'!$C$96="10 Years",J108*K108,"---"))</f>
        <v>-</v>
      </c>
      <c r="M108" s="102" t="str">
        <f>IF('Project Description'!$C$96="20 Years",-'Travel Forecasts'!N31,"---")</f>
        <v>---</v>
      </c>
      <c r="N108" s="491">
        <v>3.19E-4</v>
      </c>
      <c r="O108" s="473" t="str">
        <f>IF('Project Description'!$C$96="20 Years",M108*N108,"---")</f>
        <v>---</v>
      </c>
      <c r="P108" s="468">
        <v>51</v>
      </c>
      <c r="Q108" s="106" t="str">
        <f>IF($H$8="(Select…)","-",IF('Project Description'!$C$96="20 Years",O108*P108,"---"))</f>
        <v>-</v>
      </c>
      <c r="R108" s="285"/>
    </row>
    <row r="109" spans="1:18" s="368" customFormat="1" ht="18" customHeight="1" x14ac:dyDescent="0.2">
      <c r="A109" s="110">
        <f>A108+1</f>
        <v>54</v>
      </c>
      <c r="B109" s="111" t="s">
        <v>285</v>
      </c>
      <c r="C109" s="112">
        <f>-'Travel Forecasts'!M32</f>
        <v>0</v>
      </c>
      <c r="D109" s="488">
        <v>2.647E-3</v>
      </c>
      <c r="E109" s="474">
        <f t="shared" ref="E109:E117" si="19">C109*D109</f>
        <v>0</v>
      </c>
      <c r="F109" s="469">
        <v>51</v>
      </c>
      <c r="G109" s="116" t="str">
        <f t="shared" si="18"/>
        <v>-</v>
      </c>
      <c r="H109" s="117" t="str">
        <f>IF('Project Description'!$C$96="10 Years",-'Travel Forecasts'!N32,"---")</f>
        <v>---</v>
      </c>
      <c r="I109" s="488">
        <v>2.555E-3</v>
      </c>
      <c r="J109" s="474" t="str">
        <f>IF('Project Description'!$C$96="10 Years",H109*I109,"---")</f>
        <v>---</v>
      </c>
      <c r="K109" s="469">
        <v>51</v>
      </c>
      <c r="L109" s="116" t="str">
        <f>IF($H$8="(Select…)","-",IF('Project Description'!$C$96="10 Years",J109*K109,"---"))</f>
        <v>-</v>
      </c>
      <c r="M109" s="112" t="str">
        <f>IF('Project Description'!$C$96="20 Years",-'Travel Forecasts'!N32,"---")</f>
        <v>---</v>
      </c>
      <c r="N109" s="488">
        <v>2.4759999999999999E-3</v>
      </c>
      <c r="O109" s="474" t="str">
        <f>IF('Project Description'!$C$96="20 Years",M109*N109,"---")</f>
        <v>---</v>
      </c>
      <c r="P109" s="482">
        <v>51</v>
      </c>
      <c r="Q109" s="120" t="str">
        <f>IF($H$8="(Select…)","-",IF('Project Description'!$C$96="20 Years",O109*P109,"---"))</f>
        <v>-</v>
      </c>
      <c r="R109" s="285"/>
    </row>
    <row r="110" spans="1:18" s="368" customFormat="1" ht="18" customHeight="1" x14ac:dyDescent="0.2">
      <c r="A110" s="110">
        <f t="shared" ref="A110:A118" si="20">A109+1</f>
        <v>55</v>
      </c>
      <c r="B110" s="111" t="s">
        <v>286</v>
      </c>
      <c r="C110" s="112">
        <f>-'Travel Forecasts'!M33</f>
        <v>0</v>
      </c>
      <c r="D110" s="488">
        <v>2.1180000000000001E-3</v>
      </c>
      <c r="E110" s="474">
        <f t="shared" si="19"/>
        <v>0</v>
      </c>
      <c r="F110" s="469">
        <v>51</v>
      </c>
      <c r="G110" s="116" t="str">
        <f t="shared" si="18"/>
        <v>-</v>
      </c>
      <c r="H110" s="117" t="str">
        <f>IF('Project Description'!$C$96="10 Years",-'Travel Forecasts'!N33,"---")</f>
        <v>---</v>
      </c>
      <c r="I110" s="488">
        <v>2.0439999999999998E-3</v>
      </c>
      <c r="J110" s="474" t="str">
        <f>IF('Project Description'!$C$96="10 Years",H110*I110,"---")</f>
        <v>---</v>
      </c>
      <c r="K110" s="469">
        <v>51</v>
      </c>
      <c r="L110" s="116" t="str">
        <f>IF($H$8="(Select…)","-",IF('Project Description'!$C$96="10 Years",J110*K110,"---"))</f>
        <v>-</v>
      </c>
      <c r="M110" s="112" t="str">
        <f>IF('Project Description'!$C$96="20 Years",-'Travel Forecasts'!N33,"---")</f>
        <v>---</v>
      </c>
      <c r="N110" s="488">
        <v>1.98E-3</v>
      </c>
      <c r="O110" s="474" t="str">
        <f>IF('Project Description'!$C$96="20 Years",M110*N110,"---")</f>
        <v>---</v>
      </c>
      <c r="P110" s="482">
        <v>51</v>
      </c>
      <c r="Q110" s="120" t="str">
        <f>IF($H$8="(Select…)","-",IF('Project Description'!$C$96="20 Years",O110*P110,"---"))</f>
        <v>-</v>
      </c>
      <c r="R110" s="285"/>
    </row>
    <row r="111" spans="1:18" s="368" customFormat="1" ht="18" customHeight="1" x14ac:dyDescent="0.2">
      <c r="A111" s="110">
        <f t="shared" si="20"/>
        <v>56</v>
      </c>
      <c r="B111" s="111" t="s">
        <v>287</v>
      </c>
      <c r="C111" s="112">
        <f>-'Travel Forecasts'!M34</f>
        <v>0</v>
      </c>
      <c r="D111" s="488">
        <v>3.1740000000000002E-3</v>
      </c>
      <c r="E111" s="474">
        <f t="shared" si="19"/>
        <v>0</v>
      </c>
      <c r="F111" s="469">
        <v>51</v>
      </c>
      <c r="G111" s="116" t="str">
        <f t="shared" si="18"/>
        <v>-</v>
      </c>
      <c r="H111" s="117" t="str">
        <f>IF('Project Description'!$C$96="10 Years",-'Travel Forecasts'!N34,"---")</f>
        <v>---</v>
      </c>
      <c r="I111" s="488">
        <v>3.0790000000000001E-3</v>
      </c>
      <c r="J111" s="474" t="str">
        <f>IF('Project Description'!$C$96="10 Years",H111*I111,"---")</f>
        <v>---</v>
      </c>
      <c r="K111" s="469">
        <v>51</v>
      </c>
      <c r="L111" s="116" t="str">
        <f>IF($H$8="(Select…)","-",IF('Project Description'!$C$96="10 Years",J111*K111,"---"))</f>
        <v>-</v>
      </c>
      <c r="M111" s="112" t="str">
        <f>IF('Project Description'!$C$96="20 Years",-'Travel Forecasts'!N34,"---")</f>
        <v>---</v>
      </c>
      <c r="N111" s="488">
        <v>2.9859999999999999E-3</v>
      </c>
      <c r="O111" s="474" t="str">
        <f>IF('Project Description'!$C$96="20 Years",M111*N111,"---")</f>
        <v>---</v>
      </c>
      <c r="P111" s="482">
        <v>51</v>
      </c>
      <c r="Q111" s="120" t="str">
        <f>IF($H$8="(Select…)","-",IF('Project Description'!$C$96="20 Years",O111*P111,"---"))</f>
        <v>-</v>
      </c>
      <c r="R111" s="285"/>
    </row>
    <row r="112" spans="1:18" s="368" customFormat="1" ht="18" customHeight="1" x14ac:dyDescent="0.2">
      <c r="A112" s="110">
        <f t="shared" si="20"/>
        <v>57</v>
      </c>
      <c r="B112" s="111" t="s">
        <v>288</v>
      </c>
      <c r="C112" s="112">
        <f>-'Travel Forecasts'!M35</f>
        <v>0</v>
      </c>
      <c r="D112" s="488">
        <v>2.6638400000000002E-3</v>
      </c>
      <c r="E112" s="474">
        <f t="shared" si="19"/>
        <v>0</v>
      </c>
      <c r="F112" s="469">
        <v>51</v>
      </c>
      <c r="G112" s="116" t="str">
        <f t="shared" si="18"/>
        <v>-</v>
      </c>
      <c r="H112" s="117" t="str">
        <f>IF('Project Description'!$C$96="10 Years",-'Travel Forecasts'!N35,"---")</f>
        <v>---</v>
      </c>
      <c r="I112" s="488">
        <v>1.99855E-3</v>
      </c>
      <c r="J112" s="474" t="str">
        <f>IF('Project Description'!$C$96="10 Years",H112*I112,"---")</f>
        <v>---</v>
      </c>
      <c r="K112" s="469">
        <v>51</v>
      </c>
      <c r="L112" s="116" t="str">
        <f>IF($H$8="(Select…)","-",IF('Project Description'!$C$96="10 Years",J112*K112,"---"))</f>
        <v>-</v>
      </c>
      <c r="M112" s="112" t="str">
        <f>IF('Project Description'!$C$96="20 Years",-'Travel Forecasts'!N35,"---")</f>
        <v>---</v>
      </c>
      <c r="N112" s="488">
        <v>1.7745699999999998E-3</v>
      </c>
      <c r="O112" s="474" t="str">
        <f>IF('Project Description'!$C$96="20 Years",M112*N112,"---")</f>
        <v>---</v>
      </c>
      <c r="P112" s="482">
        <v>51</v>
      </c>
      <c r="Q112" s="120" t="str">
        <f>IF($H$8="(Select…)","-",IF('Project Description'!$C$96="20 Years",O112*P112,"---"))</f>
        <v>-</v>
      </c>
      <c r="R112" s="285"/>
    </row>
    <row r="113" spans="1:18" s="368" customFormat="1" ht="18" customHeight="1" x14ac:dyDescent="0.2">
      <c r="A113" s="110">
        <f t="shared" si="20"/>
        <v>58</v>
      </c>
      <c r="B113" s="111" t="s">
        <v>289</v>
      </c>
      <c r="C113" s="112">
        <f>-'Travel Forecasts'!M36</f>
        <v>0</v>
      </c>
      <c r="D113" s="488">
        <v>2.1757899999999999E-3</v>
      </c>
      <c r="E113" s="474">
        <f t="shared" si="19"/>
        <v>0</v>
      </c>
      <c r="F113" s="469">
        <v>51</v>
      </c>
      <c r="G113" s="116" t="str">
        <f t="shared" si="18"/>
        <v>-</v>
      </c>
      <c r="H113" s="117" t="str">
        <f>IF('Project Description'!$C$96="10 Years",-'Travel Forecasts'!N36,"---")</f>
        <v>---</v>
      </c>
      <c r="I113" s="488">
        <v>1.6323900000000001E-3</v>
      </c>
      <c r="J113" s="474" t="str">
        <f>IF('Project Description'!$C$96="10 Years",H113*I113,"---")</f>
        <v>---</v>
      </c>
      <c r="K113" s="469">
        <v>51</v>
      </c>
      <c r="L113" s="116" t="str">
        <f>IF($H$8="(Select…)","-",IF('Project Description'!$C$96="10 Years",J113*K113,"---"))</f>
        <v>-</v>
      </c>
      <c r="M113" s="112" t="str">
        <f>IF('Project Description'!$C$96="20 Years",-'Travel Forecasts'!N36,"---")</f>
        <v>---</v>
      </c>
      <c r="N113" s="488">
        <v>1.4494500000000001E-3</v>
      </c>
      <c r="O113" s="474" t="str">
        <f>IF('Project Description'!$C$96="20 Years",M113*N113,"---")</f>
        <v>---</v>
      </c>
      <c r="P113" s="482">
        <v>51</v>
      </c>
      <c r="Q113" s="120" t="str">
        <f>IF($H$8="(Select…)","-",IF('Project Description'!$C$96="20 Years",O113*P113,"---"))</f>
        <v>-</v>
      </c>
      <c r="R113" s="285"/>
    </row>
    <row r="114" spans="1:18" s="368" customFormat="1" ht="18" customHeight="1" x14ac:dyDescent="0.2">
      <c r="A114" s="110">
        <f t="shared" si="20"/>
        <v>59</v>
      </c>
      <c r="B114" s="111" t="s">
        <v>290</v>
      </c>
      <c r="C114" s="112">
        <f>-'Travel Forecasts'!M37</f>
        <v>0</v>
      </c>
      <c r="D114" s="488">
        <v>3.24296E-3</v>
      </c>
      <c r="E114" s="474">
        <f t="shared" si="19"/>
        <v>0</v>
      </c>
      <c r="F114" s="469">
        <v>51</v>
      </c>
      <c r="G114" s="116" t="str">
        <f t="shared" si="18"/>
        <v>-</v>
      </c>
      <c r="H114" s="117" t="str">
        <f>IF('Project Description'!$C$96="10 Years",-'Travel Forecasts'!N37,"---")</f>
        <v>---</v>
      </c>
      <c r="I114" s="488">
        <v>2.43304E-3</v>
      </c>
      <c r="J114" s="474" t="str">
        <f>IF('Project Description'!$C$96="10 Years",H114*I114,"---")</f>
        <v>---</v>
      </c>
      <c r="K114" s="469">
        <v>51</v>
      </c>
      <c r="L114" s="116" t="str">
        <f>IF($H$8="(Select…)","-",IF('Project Description'!$C$96="10 Years",J114*K114,"---"))</f>
        <v>-</v>
      </c>
      <c r="M114" s="112" t="str">
        <f>IF('Project Description'!$C$96="20 Years",-'Travel Forecasts'!N37,"---")</f>
        <v>---</v>
      </c>
      <c r="N114" s="488">
        <v>2.16037E-3</v>
      </c>
      <c r="O114" s="474" t="str">
        <f>IF('Project Description'!$C$96="20 Years",M114*N114,"---")</f>
        <v>---</v>
      </c>
      <c r="P114" s="482">
        <v>51</v>
      </c>
      <c r="Q114" s="120" t="str">
        <f>IF($H$8="(Select…)","-",IF('Project Description'!$C$96="20 Years",O114*P114,"---"))</f>
        <v>-</v>
      </c>
      <c r="R114" s="285"/>
    </row>
    <row r="115" spans="1:18" s="368" customFormat="1" ht="25.5" x14ac:dyDescent="0.2">
      <c r="A115" s="110">
        <f t="shared" si="20"/>
        <v>60</v>
      </c>
      <c r="B115" s="111" t="s">
        <v>291</v>
      </c>
      <c r="C115" s="112">
        <f>-'Travel Forecasts'!M38</f>
        <v>0</v>
      </c>
      <c r="D115" s="488">
        <v>7.3100999999999999E-3</v>
      </c>
      <c r="E115" s="474">
        <f t="shared" si="19"/>
        <v>0</v>
      </c>
      <c r="F115" s="469">
        <v>51</v>
      </c>
      <c r="G115" s="116" t="str">
        <f t="shared" si="18"/>
        <v>-</v>
      </c>
      <c r="H115" s="117" t="str">
        <f>IF('Project Description'!$C$96="10 Years",-'Travel Forecasts'!N38,"---")</f>
        <v>---</v>
      </c>
      <c r="I115" s="488">
        <v>7.3836000000000006E-3</v>
      </c>
      <c r="J115" s="474" t="str">
        <f>IF('Project Description'!$C$96="10 Years",H115*I115,"---")</f>
        <v>---</v>
      </c>
      <c r="K115" s="469">
        <v>51</v>
      </c>
      <c r="L115" s="116" t="str">
        <f>IF($H$8="(Select…)","-",IF('Project Description'!$C$96="10 Years",J115*K115,"---"))</f>
        <v>-</v>
      </c>
      <c r="M115" s="112" t="str">
        <f>IF('Project Description'!$C$96="20 Years",-'Travel Forecasts'!N38,"---")</f>
        <v>---</v>
      </c>
      <c r="N115" s="488">
        <v>7.3836000000000006E-3</v>
      </c>
      <c r="O115" s="474" t="str">
        <f>IF('Project Description'!$C$96="20 Years",M115*N115,"---")</f>
        <v>---</v>
      </c>
      <c r="P115" s="482">
        <v>51</v>
      </c>
      <c r="Q115" s="120" t="str">
        <f>IF($H$8="(Select…)","-",IF('Project Description'!$C$96="20 Years",O115*P115,"---"))</f>
        <v>-</v>
      </c>
      <c r="R115" s="285"/>
    </row>
    <row r="116" spans="1:18" s="368" customFormat="1" ht="12.75" x14ac:dyDescent="0.2">
      <c r="A116" s="110">
        <f t="shared" si="20"/>
        <v>61</v>
      </c>
      <c r="B116" s="111" t="s">
        <v>292</v>
      </c>
      <c r="C116" s="112">
        <f>-'Travel Forecasts'!M39</f>
        <v>0</v>
      </c>
      <c r="D116" s="488">
        <v>7.3100999999999999E-3</v>
      </c>
      <c r="E116" s="474">
        <f t="shared" si="19"/>
        <v>0</v>
      </c>
      <c r="F116" s="469">
        <v>51</v>
      </c>
      <c r="G116" s="116" t="str">
        <f t="shared" si="18"/>
        <v>-</v>
      </c>
      <c r="H116" s="117" t="str">
        <f>IF('Project Description'!$C$96="10 Years",-'Travel Forecasts'!N39,"---")</f>
        <v>---</v>
      </c>
      <c r="I116" s="488">
        <v>7.3836000000000006E-3</v>
      </c>
      <c r="J116" s="474" t="str">
        <f>IF('Project Description'!$C$96="10 Years",H116*I116,"---")</f>
        <v>---</v>
      </c>
      <c r="K116" s="469">
        <v>51</v>
      </c>
      <c r="L116" s="116" t="str">
        <f>IF($H$8="(Select…)","-",IF('Project Description'!$C$96="10 Years",J116*K116,"---"))</f>
        <v>-</v>
      </c>
      <c r="M116" s="112" t="str">
        <f>IF('Project Description'!$C$96="20 Years",-'Travel Forecasts'!N39,"---")</f>
        <v>---</v>
      </c>
      <c r="N116" s="488">
        <v>7.3836000000000006E-3</v>
      </c>
      <c r="O116" s="474" t="str">
        <f>IF('Project Description'!$C$96="20 Years",M116*N116,"---")</f>
        <v>---</v>
      </c>
      <c r="P116" s="482">
        <v>51</v>
      </c>
      <c r="Q116" s="120" t="str">
        <f>IF($H$8="(Select…)","-",IF('Project Description'!$C$96="20 Years",O116*P116,"---"))</f>
        <v>-</v>
      </c>
      <c r="R116" s="285"/>
    </row>
    <row r="117" spans="1:18" s="368" customFormat="1" ht="18" customHeight="1" x14ac:dyDescent="0.2">
      <c r="A117" s="121">
        <f t="shared" si="20"/>
        <v>62</v>
      </c>
      <c r="B117" s="122" t="s">
        <v>293</v>
      </c>
      <c r="C117" s="112">
        <f>-'Travel Forecasts'!M40</f>
        <v>0</v>
      </c>
      <c r="D117" s="488">
        <v>3.5817800000000001E-3</v>
      </c>
      <c r="E117" s="475">
        <f t="shared" si="19"/>
        <v>0</v>
      </c>
      <c r="F117" s="469">
        <v>51</v>
      </c>
      <c r="G117" s="126" t="str">
        <f t="shared" si="18"/>
        <v>-</v>
      </c>
      <c r="H117" s="117" t="str">
        <f>IF('Project Description'!$C$96="10 Years",-'Travel Forecasts'!N40,"---")</f>
        <v>---</v>
      </c>
      <c r="I117" s="488">
        <v>2.6872300000000001E-3</v>
      </c>
      <c r="J117" s="474" t="str">
        <f>IF('Project Description'!$C$96="10 Years",H117*I117,"---")</f>
        <v>---</v>
      </c>
      <c r="K117" s="469">
        <v>51</v>
      </c>
      <c r="L117" s="126" t="str">
        <f>IF($H$8="(Select…)","-",IF('Project Description'!$C$96="10 Years",J117*K117,"---"))</f>
        <v>-</v>
      </c>
      <c r="M117" s="112" t="str">
        <f>IF('Project Description'!$C$96="20 Years",-'Travel Forecasts'!N40,"---")</f>
        <v>---</v>
      </c>
      <c r="N117" s="488">
        <v>2.3860700000000001E-3</v>
      </c>
      <c r="O117" s="474" t="str">
        <f>IF('Project Description'!$C$96="20 Years",M117*N117,"---")</f>
        <v>---</v>
      </c>
      <c r="P117" s="482">
        <v>51</v>
      </c>
      <c r="Q117" s="129" t="str">
        <f>IF($H$8="(Select…)","-",IF('Project Description'!$C$96="20 Years",O117*P117,"---"))</f>
        <v>-</v>
      </c>
      <c r="R117" s="285"/>
    </row>
    <row r="118" spans="1:18" ht="16.5" thickBot="1" x14ac:dyDescent="0.25">
      <c r="A118" s="130">
        <f t="shared" si="20"/>
        <v>63</v>
      </c>
      <c r="B118" s="131" t="s">
        <v>294</v>
      </c>
      <c r="C118" s="132">
        <f>SUM(C108:C117)</f>
        <v>0</v>
      </c>
      <c r="D118" s="133" t="s">
        <v>112</v>
      </c>
      <c r="E118" s="134">
        <f>SUM(E108:E117)</f>
        <v>0</v>
      </c>
      <c r="F118" s="135" t="s">
        <v>112</v>
      </c>
      <c r="G118" s="136">
        <f>SUM(G108:G117)</f>
        <v>0</v>
      </c>
      <c r="H118" s="137" t="str">
        <f>IF('Project Description'!$C$96="10 Years",SUM(H108:H117),"---")</f>
        <v>---</v>
      </c>
      <c r="I118" s="138" t="s">
        <v>112</v>
      </c>
      <c r="J118" s="134" t="str">
        <f>IF('Project Description'!$C$96="10 Years",SUM(J108:J117),"---")</f>
        <v>---</v>
      </c>
      <c r="K118" s="139" t="s">
        <v>112</v>
      </c>
      <c r="L118" s="136" t="str">
        <f>IF('Project Description'!$C$96="10 Years",SUM(L108:L117),"---")</f>
        <v>---</v>
      </c>
      <c r="M118" s="132" t="str">
        <f>IF('Project Description'!$C$96="20 Years",SUM(M108:M117),"---")</f>
        <v>---</v>
      </c>
      <c r="N118" s="138" t="s">
        <v>112</v>
      </c>
      <c r="O118" s="134" t="str">
        <f>IF('Project Description'!$C$96="20 Years",SUM(O108:O117),"---")</f>
        <v>---</v>
      </c>
      <c r="P118" s="139" t="s">
        <v>112</v>
      </c>
      <c r="Q118" s="136" t="str">
        <f>IF('Project Description'!$C$96="20 Years",SUM(Q108:Q117),"---")</f>
        <v>---</v>
      </c>
    </row>
    <row r="119" spans="1:18" s="180" customFormat="1" ht="12.75" x14ac:dyDescent="0.2">
      <c r="C119" s="181"/>
      <c r="D119" s="181"/>
      <c r="E119" s="182"/>
      <c r="F119" s="182"/>
      <c r="G119" s="182"/>
      <c r="H119" s="182"/>
    </row>
    <row r="120" spans="1:18" s="79" customFormat="1" ht="15.75" thickBot="1" x14ac:dyDescent="0.25">
      <c r="C120" s="178"/>
      <c r="D120" s="178"/>
      <c r="E120" s="179"/>
      <c r="F120" s="179"/>
      <c r="G120" s="179"/>
      <c r="H120" s="179"/>
    </row>
    <row r="121" spans="1:18" ht="19.5" customHeight="1" thickBot="1" x14ac:dyDescent="0.3">
      <c r="A121" s="1017" t="s">
        <v>304</v>
      </c>
      <c r="B121" s="1018"/>
      <c r="C121" s="1018"/>
      <c r="D121" s="1018"/>
      <c r="E121" s="1018"/>
      <c r="F121" s="1018"/>
      <c r="G121" s="1018"/>
      <c r="H121" s="1018"/>
      <c r="I121" s="1018"/>
      <c r="J121" s="1018"/>
      <c r="K121" s="1018"/>
      <c r="L121" s="1018"/>
      <c r="M121" s="1018"/>
      <c r="N121" s="1018"/>
      <c r="O121" s="1018"/>
      <c r="P121" s="1018"/>
      <c r="Q121" s="1019"/>
      <c r="R121" s="183"/>
    </row>
    <row r="122" spans="1:18" s="368" customFormat="1" ht="15.75" x14ac:dyDescent="0.25">
      <c r="A122" s="1020" t="s">
        <v>83</v>
      </c>
      <c r="B122" s="1022" t="s">
        <v>277</v>
      </c>
      <c r="C122" s="1024" t="s">
        <v>33</v>
      </c>
      <c r="D122" s="1025"/>
      <c r="E122" s="1025"/>
      <c r="F122" s="1025"/>
      <c r="G122" s="1026"/>
      <c r="H122" s="1025" t="s">
        <v>278</v>
      </c>
      <c r="I122" s="1025"/>
      <c r="J122" s="1025"/>
      <c r="K122" s="1025"/>
      <c r="L122" s="1025"/>
      <c r="M122" s="1024" t="s">
        <v>279</v>
      </c>
      <c r="N122" s="1025"/>
      <c r="O122" s="1025"/>
      <c r="P122" s="1025"/>
      <c r="Q122" s="1026"/>
      <c r="R122" s="285"/>
    </row>
    <row r="123" spans="1:18" s="368" customFormat="1" ht="72.75" customHeight="1" x14ac:dyDescent="0.2">
      <c r="A123" s="1021"/>
      <c r="B123" s="1023"/>
      <c r="C123" s="95" t="s">
        <v>280</v>
      </c>
      <c r="D123" s="96" t="s">
        <v>305</v>
      </c>
      <c r="E123" s="96" t="s">
        <v>306</v>
      </c>
      <c r="F123" s="97" t="s">
        <v>307</v>
      </c>
      <c r="G123" s="98" t="s">
        <v>284</v>
      </c>
      <c r="H123" s="99" t="s">
        <v>280</v>
      </c>
      <c r="I123" s="96" t="s">
        <v>305</v>
      </c>
      <c r="J123" s="96" t="s">
        <v>306</v>
      </c>
      <c r="K123" s="97" t="s">
        <v>307</v>
      </c>
      <c r="L123" s="98" t="s">
        <v>284</v>
      </c>
      <c r="M123" s="95" t="s">
        <v>280</v>
      </c>
      <c r="N123" s="96" t="s">
        <v>305</v>
      </c>
      <c r="O123" s="96" t="s">
        <v>306</v>
      </c>
      <c r="P123" s="97" t="s">
        <v>307</v>
      </c>
      <c r="Q123" s="98" t="s">
        <v>284</v>
      </c>
      <c r="R123" s="285"/>
    </row>
    <row r="124" spans="1:18" s="368" customFormat="1" ht="18" customHeight="1" x14ac:dyDescent="0.2">
      <c r="A124" s="100">
        <f>A118+1</f>
        <v>64</v>
      </c>
      <c r="B124" s="101" t="s">
        <v>126</v>
      </c>
      <c r="C124" s="102">
        <f>IF('Project Description'!$C$92="Yes",H25,-'Travel Forecasts'!M31)</f>
        <v>0</v>
      </c>
      <c r="D124" s="492">
        <v>6.7380000000000001E-3</v>
      </c>
      <c r="E124" s="473">
        <f>C124*D124</f>
        <v>0</v>
      </c>
      <c r="F124" s="468">
        <v>0.28999999999999998</v>
      </c>
      <c r="G124" s="106" t="str">
        <f t="shared" ref="G124:G132" si="21">IF($H$8="(Select…)","-",E124*F124)</f>
        <v>-</v>
      </c>
      <c r="H124" s="107" t="str">
        <f>IF('Project Description'!$C$96="10 Years",-'Travel Forecasts'!N31,"---")</f>
        <v>---</v>
      </c>
      <c r="I124" s="491">
        <v>5.0067884945339631E-3</v>
      </c>
      <c r="J124" s="473" t="str">
        <f>IF('Project Description'!$C$96="10 Years",H124*I124,"---")</f>
        <v>---</v>
      </c>
      <c r="K124" s="468">
        <v>0.28999999999999998</v>
      </c>
      <c r="L124" s="106" t="str">
        <f>IF($H$8="(Select…)","-",IF('Project Description'!$C$96="10 Years",J124*K124,"---"))</f>
        <v>-</v>
      </c>
      <c r="M124" s="102" t="str">
        <f>IF('Project Description'!$C$96="20 Years",-'Travel Forecasts'!N31,"---")</f>
        <v>---</v>
      </c>
      <c r="N124" s="491">
        <v>4.3034235893790029E-3</v>
      </c>
      <c r="O124" s="473" t="str">
        <f>IF('Project Description'!$C$96="20 Years",M124*N124,"---")</f>
        <v>---</v>
      </c>
      <c r="P124" s="468">
        <v>0.28999999999999998</v>
      </c>
      <c r="Q124" s="106" t="str">
        <f>IF($H$8="(Select…)","-",IF('Project Description'!$C$96="20 Years",O124*P124,"---"))</f>
        <v>-</v>
      </c>
      <c r="R124" s="285"/>
    </row>
    <row r="125" spans="1:18" s="368" customFormat="1" ht="18" customHeight="1" x14ac:dyDescent="0.2">
      <c r="A125" s="110">
        <f>A124+1</f>
        <v>65</v>
      </c>
      <c r="B125" s="111" t="s">
        <v>285</v>
      </c>
      <c r="C125" s="112">
        <f>-'Travel Forecasts'!M32</f>
        <v>0</v>
      </c>
      <c r="D125" s="493">
        <v>3.4001999999999998E-2</v>
      </c>
      <c r="E125" s="474">
        <f t="shared" ref="E125:E132" si="22">C125*D125</f>
        <v>0</v>
      </c>
      <c r="F125" s="469">
        <v>0.26</v>
      </c>
      <c r="G125" s="116" t="str">
        <f t="shared" si="21"/>
        <v>-</v>
      </c>
      <c r="H125" s="117" t="str">
        <f>IF('Project Description'!$C$96="10 Years",-'Travel Forecasts'!N32,"---")</f>
        <v>---</v>
      </c>
      <c r="I125" s="488">
        <v>3.2814999999999997E-2</v>
      </c>
      <c r="J125" s="474" t="str">
        <f>IF('Project Description'!$C$96="10 Years",H125*I125,"---")</f>
        <v>---</v>
      </c>
      <c r="K125" s="469">
        <v>0.26</v>
      </c>
      <c r="L125" s="116" t="str">
        <f>IF($H$8="(Select…)","-",IF('Project Description'!$C$96="10 Years",J125*K125,"---"))</f>
        <v>-</v>
      </c>
      <c r="M125" s="112" t="str">
        <f>IF('Project Description'!$C$96="20 Years",-'Travel Forecasts'!N32,"---")</f>
        <v>---</v>
      </c>
      <c r="N125" s="488">
        <v>3.1800000000000002E-2</v>
      </c>
      <c r="O125" s="474" t="str">
        <f>IF('Project Description'!$C$96="20 Years",M125*N125,"---")</f>
        <v>---</v>
      </c>
      <c r="P125" s="469">
        <v>0.26</v>
      </c>
      <c r="Q125" s="120" t="str">
        <f>IF($H$8="(Select…)","-",IF('Project Description'!$C$96="20 Years",O125*P125,"---"))</f>
        <v>-</v>
      </c>
      <c r="R125" s="285"/>
    </row>
    <row r="126" spans="1:18" s="368" customFormat="1" ht="18" customHeight="1" x14ac:dyDescent="0.2">
      <c r="A126" s="110">
        <f t="shared" ref="A126:A134" si="23">A125+1</f>
        <v>66</v>
      </c>
      <c r="B126" s="111" t="s">
        <v>286</v>
      </c>
      <c r="C126" s="112">
        <f>-'Travel Forecasts'!M33</f>
        <v>0</v>
      </c>
      <c r="D126" s="494">
        <v>2.7202E-2</v>
      </c>
      <c r="E126" s="474">
        <f t="shared" si="22"/>
        <v>0</v>
      </c>
      <c r="F126" s="469">
        <v>0.26</v>
      </c>
      <c r="G126" s="116" t="str">
        <f t="shared" si="21"/>
        <v>-</v>
      </c>
      <c r="H126" s="117" t="str">
        <f>IF('Project Description'!$C$96="10 Years",-'Travel Forecasts'!N33,"---")</f>
        <v>---</v>
      </c>
      <c r="I126" s="488">
        <v>2.6252000000000001E-2</v>
      </c>
      <c r="J126" s="474" t="str">
        <f>IF('Project Description'!$C$96="10 Years",H126*I126,"---")</f>
        <v>---</v>
      </c>
      <c r="K126" s="469">
        <v>0.26</v>
      </c>
      <c r="L126" s="116" t="str">
        <f>IF($H$8="(Select…)","-",IF('Project Description'!$C$96="10 Years",J126*K126,"---"))</f>
        <v>-</v>
      </c>
      <c r="M126" s="112" t="str">
        <f>IF('Project Description'!$C$96="20 Years",-'Travel Forecasts'!N33,"---")</f>
        <v>---</v>
      </c>
      <c r="N126" s="488">
        <v>2.5440000000000001E-2</v>
      </c>
      <c r="O126" s="474" t="str">
        <f>IF('Project Description'!$C$96="20 Years",M126*N126,"---")</f>
        <v>---</v>
      </c>
      <c r="P126" s="469">
        <v>0.26</v>
      </c>
      <c r="Q126" s="120" t="str">
        <f>IF($H$8="(Select…)","-",IF('Project Description'!$C$96="20 Years",O126*P126,"---"))</f>
        <v>-</v>
      </c>
      <c r="R126" s="285"/>
    </row>
    <row r="127" spans="1:18" s="368" customFormat="1" ht="18" customHeight="1" x14ac:dyDescent="0.2">
      <c r="A127" s="110">
        <f t="shared" si="23"/>
        <v>67</v>
      </c>
      <c r="B127" s="111" t="s">
        <v>287</v>
      </c>
      <c r="C127" s="154" t="s">
        <v>112</v>
      </c>
      <c r="D127" s="495" t="s">
        <v>112</v>
      </c>
      <c r="E127" s="495" t="s">
        <v>112</v>
      </c>
      <c r="F127" s="496" t="s">
        <v>112</v>
      </c>
      <c r="G127" s="155" t="s">
        <v>112</v>
      </c>
      <c r="H127" s="156" t="s">
        <v>112</v>
      </c>
      <c r="I127" s="495" t="s">
        <v>112</v>
      </c>
      <c r="J127" s="495" t="s">
        <v>112</v>
      </c>
      <c r="K127" s="496" t="s">
        <v>112</v>
      </c>
      <c r="L127" s="155" t="s">
        <v>112</v>
      </c>
      <c r="M127" s="156" t="s">
        <v>112</v>
      </c>
      <c r="N127" s="501" t="s">
        <v>112</v>
      </c>
      <c r="O127" s="501" t="s">
        <v>112</v>
      </c>
      <c r="P127" s="496" t="s">
        <v>112</v>
      </c>
      <c r="Q127" s="157" t="s">
        <v>112</v>
      </c>
      <c r="R127" s="285"/>
    </row>
    <row r="128" spans="1:18" s="368" customFormat="1" ht="18" customHeight="1" x14ac:dyDescent="0.2">
      <c r="A128" s="110">
        <f t="shared" si="23"/>
        <v>68</v>
      </c>
      <c r="B128" s="111" t="s">
        <v>288</v>
      </c>
      <c r="C128" s="158" t="s">
        <v>112</v>
      </c>
      <c r="D128" s="497" t="s">
        <v>112</v>
      </c>
      <c r="E128" s="497" t="s">
        <v>112</v>
      </c>
      <c r="F128" s="498" t="s">
        <v>112</v>
      </c>
      <c r="G128" s="159" t="s">
        <v>112</v>
      </c>
      <c r="H128" s="160" t="s">
        <v>112</v>
      </c>
      <c r="I128" s="497" t="s">
        <v>112</v>
      </c>
      <c r="J128" s="497" t="s">
        <v>112</v>
      </c>
      <c r="K128" s="498" t="s">
        <v>112</v>
      </c>
      <c r="L128" s="159" t="s">
        <v>112</v>
      </c>
      <c r="M128" s="160" t="s">
        <v>112</v>
      </c>
      <c r="N128" s="502" t="s">
        <v>112</v>
      </c>
      <c r="O128" s="502" t="s">
        <v>112</v>
      </c>
      <c r="P128" s="498" t="s">
        <v>112</v>
      </c>
      <c r="Q128" s="161" t="s">
        <v>112</v>
      </c>
      <c r="R128" s="285"/>
    </row>
    <row r="129" spans="1:18" s="368" customFormat="1" ht="18" customHeight="1" x14ac:dyDescent="0.2">
      <c r="A129" s="110">
        <f t="shared" si="23"/>
        <v>69</v>
      </c>
      <c r="B129" s="111" t="s">
        <v>289</v>
      </c>
      <c r="C129" s="158" t="s">
        <v>112</v>
      </c>
      <c r="D129" s="497" t="s">
        <v>112</v>
      </c>
      <c r="E129" s="497" t="s">
        <v>112</v>
      </c>
      <c r="F129" s="498" t="s">
        <v>112</v>
      </c>
      <c r="G129" s="159" t="s">
        <v>112</v>
      </c>
      <c r="H129" s="160" t="s">
        <v>112</v>
      </c>
      <c r="I129" s="497" t="s">
        <v>112</v>
      </c>
      <c r="J129" s="497" t="s">
        <v>112</v>
      </c>
      <c r="K129" s="498" t="s">
        <v>112</v>
      </c>
      <c r="L129" s="159" t="s">
        <v>112</v>
      </c>
      <c r="M129" s="160" t="s">
        <v>112</v>
      </c>
      <c r="N129" s="502" t="s">
        <v>112</v>
      </c>
      <c r="O129" s="502" t="s">
        <v>112</v>
      </c>
      <c r="P129" s="498" t="s">
        <v>112</v>
      </c>
      <c r="Q129" s="161" t="s">
        <v>112</v>
      </c>
      <c r="R129" s="285"/>
    </row>
    <row r="130" spans="1:18" s="368" customFormat="1" ht="18" customHeight="1" x14ac:dyDescent="0.2">
      <c r="A130" s="110">
        <f t="shared" si="23"/>
        <v>70</v>
      </c>
      <c r="B130" s="111" t="s">
        <v>290</v>
      </c>
      <c r="C130" s="162" t="s">
        <v>112</v>
      </c>
      <c r="D130" s="497" t="s">
        <v>112</v>
      </c>
      <c r="E130" s="499" t="s">
        <v>112</v>
      </c>
      <c r="F130" s="500" t="s">
        <v>112</v>
      </c>
      <c r="G130" s="163" t="s">
        <v>112</v>
      </c>
      <c r="H130" s="164" t="s">
        <v>112</v>
      </c>
      <c r="I130" s="499" t="s">
        <v>112</v>
      </c>
      <c r="J130" s="499" t="s">
        <v>112</v>
      </c>
      <c r="K130" s="500" t="s">
        <v>112</v>
      </c>
      <c r="L130" s="163" t="s">
        <v>112</v>
      </c>
      <c r="M130" s="164" t="s">
        <v>112</v>
      </c>
      <c r="N130" s="503" t="s">
        <v>112</v>
      </c>
      <c r="O130" s="503" t="s">
        <v>112</v>
      </c>
      <c r="P130" s="500" t="s">
        <v>112</v>
      </c>
      <c r="Q130" s="165" t="s">
        <v>112</v>
      </c>
      <c r="R130" s="285"/>
    </row>
    <row r="131" spans="1:18" s="368" customFormat="1" ht="25.5" x14ac:dyDescent="0.2">
      <c r="A131" s="110">
        <f t="shared" si="23"/>
        <v>71</v>
      </c>
      <c r="B131" s="111" t="s">
        <v>291</v>
      </c>
      <c r="C131" s="112">
        <f>-'Travel Forecasts'!M38</f>
        <v>0</v>
      </c>
      <c r="D131" s="493">
        <v>9.3906000000000003E-2</v>
      </c>
      <c r="E131" s="474">
        <f t="shared" si="22"/>
        <v>0</v>
      </c>
      <c r="F131" s="469">
        <v>0.26</v>
      </c>
      <c r="G131" s="116" t="str">
        <f t="shared" si="21"/>
        <v>-</v>
      </c>
      <c r="H131" s="117" t="str">
        <f>IF('Project Description'!$C$96="10 Years",-'Travel Forecasts'!N38,"---")</f>
        <v>---</v>
      </c>
      <c r="I131" s="488">
        <v>9.4844698232660452E-2</v>
      </c>
      <c r="J131" s="474" t="str">
        <f>IF('Project Description'!$C$96="10 Years",H131*I131,"---")</f>
        <v>---</v>
      </c>
      <c r="K131" s="469">
        <v>0.26</v>
      </c>
      <c r="L131" s="116" t="str">
        <f>IF($H$8="(Select…)","-",IF('Project Description'!$C$96="10 Years",J131*K131,"---"))</f>
        <v>-</v>
      </c>
      <c r="M131" s="112" t="str">
        <f>IF('Project Description'!$C$96="20 Years",-'Travel Forecasts'!N38,"---")</f>
        <v>---</v>
      </c>
      <c r="N131" s="488">
        <v>9.4844698232660452E-2</v>
      </c>
      <c r="O131" s="474" t="str">
        <f>IF('Project Description'!$C$96="20 Years",M131*N131,"---")</f>
        <v>---</v>
      </c>
      <c r="P131" s="469">
        <v>0.26</v>
      </c>
      <c r="Q131" s="120" t="str">
        <f>IF($H$8="(Select…)","-",IF('Project Description'!$C$96="20 Years",O131*P131,"---"))</f>
        <v>-</v>
      </c>
      <c r="R131" s="285"/>
    </row>
    <row r="132" spans="1:18" s="368" customFormat="1" ht="12.75" x14ac:dyDescent="0.2">
      <c r="A132" s="110">
        <f t="shared" si="23"/>
        <v>72</v>
      </c>
      <c r="B132" s="111" t="s">
        <v>292</v>
      </c>
      <c r="C132" s="112">
        <f>-'Travel Forecasts'!M39</f>
        <v>0</v>
      </c>
      <c r="D132" s="488">
        <v>9.3906000000000003E-2</v>
      </c>
      <c r="E132" s="474">
        <f t="shared" si="22"/>
        <v>0</v>
      </c>
      <c r="F132" s="469">
        <v>0.26</v>
      </c>
      <c r="G132" s="116" t="str">
        <f t="shared" si="21"/>
        <v>-</v>
      </c>
      <c r="H132" s="117" t="str">
        <f>IF('Project Description'!$C$96="10 Years",-'Travel Forecasts'!N39,"---")</f>
        <v>---</v>
      </c>
      <c r="I132" s="488">
        <v>9.4844698232660452E-2</v>
      </c>
      <c r="J132" s="474" t="str">
        <f>IF('Project Description'!$C$96="10 Years",H132*I132,"---")</f>
        <v>---</v>
      </c>
      <c r="K132" s="469">
        <v>0.26</v>
      </c>
      <c r="L132" s="116" t="str">
        <f>IF($H$8="(Select…)","-",IF('Project Description'!$C$96="10 Years",J132*K132,"---"))</f>
        <v>-</v>
      </c>
      <c r="M132" s="112" t="str">
        <f>IF('Project Description'!$C$96="20 Years",-'Travel Forecasts'!N39,"---")</f>
        <v>---</v>
      </c>
      <c r="N132" s="488">
        <v>9.4844698232660452E-2</v>
      </c>
      <c r="O132" s="474" t="str">
        <f>IF('Project Description'!$C$96="20 Years",M132*N132,"---")</f>
        <v>---</v>
      </c>
      <c r="P132" s="469">
        <v>0.26</v>
      </c>
      <c r="Q132" s="120" t="str">
        <f>IF($H$8="(Select…)","-",IF('Project Description'!$C$96="20 Years",O132*P132,"---"))</f>
        <v>-</v>
      </c>
      <c r="R132" s="285"/>
    </row>
    <row r="133" spans="1:18" s="368" customFormat="1" ht="18" customHeight="1" x14ac:dyDescent="0.2">
      <c r="A133" s="121">
        <f t="shared" si="23"/>
        <v>73</v>
      </c>
      <c r="B133" s="122" t="s">
        <v>293</v>
      </c>
      <c r="C133" s="166" t="s">
        <v>112</v>
      </c>
      <c r="D133" s="167" t="s">
        <v>112</v>
      </c>
      <c r="E133" s="168" t="s">
        <v>112</v>
      </c>
      <c r="F133" s="169" t="s">
        <v>112</v>
      </c>
      <c r="G133" s="170" t="s">
        <v>112</v>
      </c>
      <c r="H133" s="171" t="s">
        <v>112</v>
      </c>
      <c r="I133" s="167" t="s">
        <v>112</v>
      </c>
      <c r="J133" s="168" t="s">
        <v>112</v>
      </c>
      <c r="K133" s="169" t="s">
        <v>112</v>
      </c>
      <c r="L133" s="170" t="s">
        <v>112</v>
      </c>
      <c r="M133" s="171" t="s">
        <v>112</v>
      </c>
      <c r="N133" s="167" t="s">
        <v>112</v>
      </c>
      <c r="O133" s="168" t="s">
        <v>112</v>
      </c>
      <c r="P133" s="169" t="s">
        <v>112</v>
      </c>
      <c r="Q133" s="172" t="s">
        <v>112</v>
      </c>
      <c r="R133" s="285"/>
    </row>
    <row r="134" spans="1:18" ht="16.5" thickBot="1" x14ac:dyDescent="0.25">
      <c r="A134" s="130">
        <f t="shared" si="23"/>
        <v>74</v>
      </c>
      <c r="B134" s="131" t="s">
        <v>294</v>
      </c>
      <c r="C134" s="132">
        <f>SUM(C124:C133)</f>
        <v>0</v>
      </c>
      <c r="D134" s="133" t="s">
        <v>112</v>
      </c>
      <c r="E134" s="134">
        <f>SUM(E124:E133)</f>
        <v>0</v>
      </c>
      <c r="F134" s="135" t="s">
        <v>112</v>
      </c>
      <c r="G134" s="136">
        <f>SUM(G124:G133)</f>
        <v>0</v>
      </c>
      <c r="H134" s="137" t="str">
        <f>IF('Project Description'!$C$96="10 Years",SUM(H124:H133),"---")</f>
        <v>---</v>
      </c>
      <c r="I134" s="138" t="s">
        <v>112</v>
      </c>
      <c r="J134" s="134" t="str">
        <f>IF('Project Description'!$C$96="10 Years",SUM(J124:J133),"---")</f>
        <v>---</v>
      </c>
      <c r="K134" s="139" t="s">
        <v>112</v>
      </c>
      <c r="L134" s="136" t="str">
        <f>IF('Project Description'!$C$96="10 Years",SUM(L124:L133),"---")</f>
        <v>---</v>
      </c>
      <c r="M134" s="132" t="str">
        <f>IF('Project Description'!$C$96="20 Years",SUM(M124:M133),"---")</f>
        <v>---</v>
      </c>
      <c r="N134" s="138" t="s">
        <v>112</v>
      </c>
      <c r="O134" s="134" t="str">
        <f>IF('Project Description'!$C$96="20 Years",SUM(O124:O133),"---")</f>
        <v>---</v>
      </c>
      <c r="P134" s="139" t="s">
        <v>112</v>
      </c>
      <c r="Q134" s="136" t="str">
        <f>IF('Project Description'!$C$96="20 Years",SUM(Q124:Q133),"---")</f>
        <v>---</v>
      </c>
    </row>
    <row r="135" spans="1:18" ht="16.5" thickBot="1" x14ac:dyDescent="0.25">
      <c r="A135" s="201"/>
      <c r="B135" s="202"/>
      <c r="C135" s="203"/>
      <c r="D135" s="204"/>
      <c r="E135" s="205"/>
      <c r="F135" s="204"/>
      <c r="G135" s="206"/>
      <c r="H135" s="203"/>
      <c r="I135" s="207"/>
      <c r="J135" s="205"/>
      <c r="K135" s="207"/>
      <c r="L135" s="206"/>
      <c r="M135" s="203"/>
      <c r="N135" s="207"/>
      <c r="O135" s="205"/>
      <c r="P135" s="207"/>
      <c r="Q135" s="206"/>
    </row>
    <row r="136" spans="1:18" ht="18.75" thickBot="1" x14ac:dyDescent="0.25">
      <c r="A136" s="1014" t="s">
        <v>308</v>
      </c>
      <c r="B136" s="1015"/>
      <c r="C136" s="1015"/>
      <c r="D136" s="1015"/>
      <c r="E136" s="1015"/>
      <c r="F136" s="1015"/>
      <c r="G136" s="1015"/>
      <c r="H136" s="1015"/>
      <c r="I136" s="1015"/>
      <c r="J136" s="1015"/>
      <c r="K136" s="1015"/>
      <c r="L136" s="1015"/>
      <c r="M136" s="1015"/>
      <c r="N136" s="1015"/>
      <c r="O136" s="1015"/>
      <c r="P136" s="1015"/>
      <c r="Q136" s="1016"/>
    </row>
    <row r="137" spans="1:18" s="79" customFormat="1" ht="15.75" thickBot="1" x14ac:dyDescent="0.25">
      <c r="C137" s="178"/>
      <c r="D137" s="178"/>
      <c r="E137" s="179"/>
      <c r="F137" s="179"/>
      <c r="G137" s="179"/>
      <c r="H137" s="179"/>
    </row>
    <row r="138" spans="1:18" ht="19.5" customHeight="1" thickBot="1" x14ac:dyDescent="0.3">
      <c r="A138" s="1017" t="s">
        <v>309</v>
      </c>
      <c r="B138" s="1018"/>
      <c r="C138" s="1018"/>
      <c r="D138" s="1018"/>
      <c r="E138" s="1018"/>
      <c r="F138" s="1018"/>
      <c r="G138" s="1018"/>
      <c r="H138" s="1018"/>
      <c r="I138" s="1018"/>
      <c r="J138" s="1018"/>
      <c r="K138" s="1018"/>
      <c r="L138" s="1018"/>
      <c r="M138" s="1018"/>
      <c r="N138" s="1018"/>
      <c r="O138" s="1018"/>
      <c r="P138" s="1018"/>
      <c r="Q138" s="1019"/>
      <c r="R138" s="183"/>
    </row>
    <row r="139" spans="1:18" s="368" customFormat="1" ht="15.75" x14ac:dyDescent="0.25">
      <c r="A139" s="1020" t="s">
        <v>83</v>
      </c>
      <c r="B139" s="1022" t="s">
        <v>277</v>
      </c>
      <c r="C139" s="1024" t="s">
        <v>33</v>
      </c>
      <c r="D139" s="1025"/>
      <c r="E139" s="1025"/>
      <c r="F139" s="1025"/>
      <c r="G139" s="1026"/>
      <c r="H139" s="1025" t="s">
        <v>278</v>
      </c>
      <c r="I139" s="1025"/>
      <c r="J139" s="1025"/>
      <c r="K139" s="1025"/>
      <c r="L139" s="1025"/>
      <c r="M139" s="1024" t="s">
        <v>279</v>
      </c>
      <c r="N139" s="1025"/>
      <c r="O139" s="1025"/>
      <c r="P139" s="1025"/>
      <c r="Q139" s="1026"/>
      <c r="R139" s="285"/>
    </row>
    <row r="140" spans="1:18" s="368" customFormat="1" ht="57.75" customHeight="1" x14ac:dyDescent="0.2">
      <c r="A140" s="1021"/>
      <c r="B140" s="1023"/>
      <c r="C140" s="95" t="s">
        <v>280</v>
      </c>
      <c r="D140" s="96" t="s">
        <v>310</v>
      </c>
      <c r="E140" s="96" t="s">
        <v>311</v>
      </c>
      <c r="F140" s="97" t="s">
        <v>312</v>
      </c>
      <c r="G140" s="98" t="s">
        <v>284</v>
      </c>
      <c r="H140" s="99" t="s">
        <v>280</v>
      </c>
      <c r="I140" s="96" t="s">
        <v>310</v>
      </c>
      <c r="J140" s="96" t="s">
        <v>311</v>
      </c>
      <c r="K140" s="97" t="s">
        <v>312</v>
      </c>
      <c r="L140" s="98" t="s">
        <v>284</v>
      </c>
      <c r="M140" s="95" t="s">
        <v>280</v>
      </c>
      <c r="N140" s="96" t="s">
        <v>310</v>
      </c>
      <c r="O140" s="96" t="s">
        <v>311</v>
      </c>
      <c r="P140" s="97" t="s">
        <v>312</v>
      </c>
      <c r="Q140" s="98" t="s">
        <v>284</v>
      </c>
      <c r="R140" s="285"/>
    </row>
    <row r="141" spans="1:18" s="368" customFormat="1" ht="18" customHeight="1" x14ac:dyDescent="0.2">
      <c r="A141" s="100">
        <f>A134+1</f>
        <v>75</v>
      </c>
      <c r="B141" s="101" t="s">
        <v>126</v>
      </c>
      <c r="C141" s="102">
        <f>IF('Project Description'!$C$92="Yes",H25,-'Travel Forecasts'!M31)</f>
        <v>0</v>
      </c>
      <c r="D141" s="504">
        <v>1.1311324363775401E-8</v>
      </c>
      <c r="E141" s="473">
        <f>C141*D141</f>
        <v>0</v>
      </c>
      <c r="F141" s="505">
        <v>12500000</v>
      </c>
      <c r="G141" s="106" t="str">
        <f t="shared" ref="G141:G150" si="24">IF($H$8="(Select…)","-",E141*F141)</f>
        <v>-</v>
      </c>
      <c r="H141" s="107" t="str">
        <f>IF('Project Description'!$C$96="10 Years",-'Travel Forecasts'!N31,"---")</f>
        <v>---</v>
      </c>
      <c r="I141" s="504">
        <v>1.1311324363775389E-8</v>
      </c>
      <c r="J141" s="473" t="str">
        <f>IF('Project Description'!$C$96="10 Years",H141*I141,"---")</f>
        <v>---</v>
      </c>
      <c r="K141" s="507">
        <v>12500000</v>
      </c>
      <c r="L141" s="106" t="str">
        <f>IF($H$8="(Select…)","-",IF('Project Description'!$C$96="10 Years",J141*K141,"---"))</f>
        <v>-</v>
      </c>
      <c r="M141" s="102" t="str">
        <f>IF('Project Description'!$C$96="20 Years",-'Travel Forecasts'!N31,"---")</f>
        <v>---</v>
      </c>
      <c r="N141" s="504">
        <v>1.1311324363775389E-8</v>
      </c>
      <c r="O141" s="473" t="str">
        <f>IF('Project Description'!$C$96="20 Years",M141*N141,"---")</f>
        <v>---</v>
      </c>
      <c r="P141" s="507">
        <v>12500000</v>
      </c>
      <c r="Q141" s="106" t="str">
        <f>IF($H$8="(Select…)","-",IF('Project Description'!$C$96="20 Years",O141*P141,"---"))</f>
        <v>-</v>
      </c>
      <c r="R141" s="285"/>
    </row>
    <row r="142" spans="1:18" s="368" customFormat="1" ht="18" customHeight="1" x14ac:dyDescent="0.2">
      <c r="A142" s="110">
        <f>A141+1</f>
        <v>76</v>
      </c>
      <c r="B142" s="111" t="s">
        <v>285</v>
      </c>
      <c r="C142" s="112">
        <f>-'Travel Forecasts'!M32</f>
        <v>0</v>
      </c>
      <c r="D142" s="506">
        <v>4.8370910694492411E-9</v>
      </c>
      <c r="E142" s="474">
        <f t="shared" ref="E142:E150" si="25">C142*D142</f>
        <v>0</v>
      </c>
      <c r="F142" s="507">
        <v>12500000</v>
      </c>
      <c r="G142" s="116" t="str">
        <f t="shared" si="24"/>
        <v>-</v>
      </c>
      <c r="H142" s="117" t="str">
        <f>IF('Project Description'!$C$96="10 Years",-'Travel Forecasts'!N32,"---")</f>
        <v>---</v>
      </c>
      <c r="I142" s="506">
        <v>4.8370910694492411E-9</v>
      </c>
      <c r="J142" s="474" t="str">
        <f>IF('Project Description'!$C$96="10 Years",H142*I142,"---")</f>
        <v>---</v>
      </c>
      <c r="K142" s="507">
        <v>12500000</v>
      </c>
      <c r="L142" s="116" t="str">
        <f>IF($H$8="(Select…)","-",IF('Project Description'!$C$96="10 Years",J142*K142,"---"))</f>
        <v>-</v>
      </c>
      <c r="M142" s="112" t="str">
        <f>IF('Project Description'!$C$96="20 Years",-'Travel Forecasts'!N32,"---")</f>
        <v>---</v>
      </c>
      <c r="N142" s="506">
        <v>4.8370910694492411E-9</v>
      </c>
      <c r="O142" s="474" t="str">
        <f>IF('Project Description'!$C$96="20 Years",M142*N142,"---")</f>
        <v>---</v>
      </c>
      <c r="P142" s="507">
        <v>12500000</v>
      </c>
      <c r="Q142" s="120" t="str">
        <f>IF($H$8="(Select…)","-",IF('Project Description'!$C$96="20 Years",O142*P142,"---"))</f>
        <v>-</v>
      </c>
      <c r="R142" s="285"/>
    </row>
    <row r="143" spans="1:18" s="368" customFormat="1" ht="18" customHeight="1" x14ac:dyDescent="0.2">
      <c r="A143" s="110">
        <f t="shared" ref="A143:A151" si="26">A142+1</f>
        <v>77</v>
      </c>
      <c r="B143" s="111" t="s">
        <v>286</v>
      </c>
      <c r="C143" s="112">
        <f>-'Travel Forecasts'!M33</f>
        <v>0</v>
      </c>
      <c r="D143" s="506">
        <v>4.8370910694492411E-9</v>
      </c>
      <c r="E143" s="474">
        <f t="shared" si="25"/>
        <v>0</v>
      </c>
      <c r="F143" s="507">
        <v>12500000</v>
      </c>
      <c r="G143" s="116" t="str">
        <f t="shared" si="24"/>
        <v>-</v>
      </c>
      <c r="H143" s="117" t="str">
        <f>IF('Project Description'!$C$96="10 Years",-'Travel Forecasts'!N33,"---")</f>
        <v>---</v>
      </c>
      <c r="I143" s="506">
        <v>4.8370910694492411E-9</v>
      </c>
      <c r="J143" s="474" t="str">
        <f>IF('Project Description'!$C$96="10 Years",H143*I143,"---")</f>
        <v>---</v>
      </c>
      <c r="K143" s="507">
        <v>12500000</v>
      </c>
      <c r="L143" s="116" t="str">
        <f>IF($H$8="(Select…)","-",IF('Project Description'!$C$96="10 Years",J143*K143,"---"))</f>
        <v>-</v>
      </c>
      <c r="M143" s="112" t="str">
        <f>IF('Project Description'!$C$96="20 Years",-'Travel Forecasts'!N33,"---")</f>
        <v>---</v>
      </c>
      <c r="N143" s="506">
        <v>4.8370910694492411E-9</v>
      </c>
      <c r="O143" s="474" t="str">
        <f>IF('Project Description'!$C$96="20 Years",M143*N143,"---")</f>
        <v>---</v>
      </c>
      <c r="P143" s="507">
        <v>12500000</v>
      </c>
      <c r="Q143" s="120" t="str">
        <f>IF($H$8="(Select…)","-",IF('Project Description'!$C$96="20 Years",O143*P143,"---"))</f>
        <v>-</v>
      </c>
      <c r="R143" s="285"/>
    </row>
    <row r="144" spans="1:18" s="368" customFormat="1" ht="18" customHeight="1" x14ac:dyDescent="0.2">
      <c r="A144" s="110">
        <f t="shared" si="26"/>
        <v>78</v>
      </c>
      <c r="B144" s="111" t="s">
        <v>287</v>
      </c>
      <c r="C144" s="112">
        <f>-'Travel Forecasts'!M34</f>
        <v>0</v>
      </c>
      <c r="D144" s="506">
        <v>4.8370910694492411E-9</v>
      </c>
      <c r="E144" s="474">
        <f t="shared" si="25"/>
        <v>0</v>
      </c>
      <c r="F144" s="507">
        <v>12500000</v>
      </c>
      <c r="G144" s="116" t="str">
        <f t="shared" si="24"/>
        <v>-</v>
      </c>
      <c r="H144" s="117" t="str">
        <f>IF('Project Description'!$C$96="10 Years",-'Travel Forecasts'!N34,"---")</f>
        <v>---</v>
      </c>
      <c r="I144" s="506">
        <v>4.8370910694492411E-9</v>
      </c>
      <c r="J144" s="474" t="str">
        <f>IF('Project Description'!$C$96="10 Years",H144*I144,"---")</f>
        <v>---</v>
      </c>
      <c r="K144" s="507">
        <v>12500000</v>
      </c>
      <c r="L144" s="116" t="str">
        <f>IF($H$8="(Select…)","-",IF('Project Description'!$C$96="10 Years",J144*K144,"---"))</f>
        <v>-</v>
      </c>
      <c r="M144" s="112" t="str">
        <f>IF('Project Description'!$C$96="20 Years",-'Travel Forecasts'!N34,"---")</f>
        <v>---</v>
      </c>
      <c r="N144" s="506">
        <v>4.8370910694492411E-9</v>
      </c>
      <c r="O144" s="474" t="str">
        <f>IF('Project Description'!$C$96="20 Years",M144*N144,"---")</f>
        <v>---</v>
      </c>
      <c r="P144" s="507">
        <v>12500000</v>
      </c>
      <c r="Q144" s="120" t="str">
        <f>IF($H$8="(Select…)","-",IF('Project Description'!$C$96="20 Years",O144*P144,"---"))</f>
        <v>-</v>
      </c>
      <c r="R144" s="285"/>
    </row>
    <row r="145" spans="1:18" s="368" customFormat="1" ht="18" customHeight="1" x14ac:dyDescent="0.2">
      <c r="A145" s="110">
        <f t="shared" si="26"/>
        <v>79</v>
      </c>
      <c r="B145" s="111" t="s">
        <v>288</v>
      </c>
      <c r="C145" s="112">
        <f>-'Travel Forecasts'!M35</f>
        <v>0</v>
      </c>
      <c r="D145" s="506">
        <v>4.8370910694492411E-9</v>
      </c>
      <c r="E145" s="474">
        <f t="shared" si="25"/>
        <v>0</v>
      </c>
      <c r="F145" s="507">
        <v>12500000</v>
      </c>
      <c r="G145" s="116" t="str">
        <f t="shared" si="24"/>
        <v>-</v>
      </c>
      <c r="H145" s="117" t="str">
        <f>IF('Project Description'!$C$96="10 Years",-'Travel Forecasts'!N35,"---")</f>
        <v>---</v>
      </c>
      <c r="I145" s="506">
        <v>4.8370910694492411E-9</v>
      </c>
      <c r="J145" s="474" t="str">
        <f>IF('Project Description'!$C$96="10 Years",H145*I145,"---")</f>
        <v>---</v>
      </c>
      <c r="K145" s="507">
        <v>12500000</v>
      </c>
      <c r="L145" s="116" t="str">
        <f>IF($H$8="(Select…)","-",IF('Project Description'!$C$96="10 Years",J145*K145,"---"))</f>
        <v>-</v>
      </c>
      <c r="M145" s="112" t="str">
        <f>IF('Project Description'!$C$96="20 Years",-'Travel Forecasts'!N35,"---")</f>
        <v>---</v>
      </c>
      <c r="N145" s="506">
        <v>4.8370910694492411E-9</v>
      </c>
      <c r="O145" s="474" t="str">
        <f>IF('Project Description'!$C$96="20 Years",M145*N145,"---")</f>
        <v>---</v>
      </c>
      <c r="P145" s="507">
        <v>12500000</v>
      </c>
      <c r="Q145" s="120" t="str">
        <f>IF($H$8="(Select…)","-",IF('Project Description'!$C$96="20 Years",O145*P145,"---"))</f>
        <v>-</v>
      </c>
      <c r="R145" s="285"/>
    </row>
    <row r="146" spans="1:18" s="368" customFormat="1" ht="18" customHeight="1" x14ac:dyDescent="0.2">
      <c r="A146" s="110">
        <f t="shared" si="26"/>
        <v>80</v>
      </c>
      <c r="B146" s="111" t="s">
        <v>289</v>
      </c>
      <c r="C146" s="112">
        <f>-'Travel Forecasts'!M36</f>
        <v>0</v>
      </c>
      <c r="D146" s="506">
        <v>4.0000000000000002E-9</v>
      </c>
      <c r="E146" s="474">
        <f t="shared" si="25"/>
        <v>0</v>
      </c>
      <c r="F146" s="507">
        <v>12500000</v>
      </c>
      <c r="G146" s="116" t="str">
        <f t="shared" si="24"/>
        <v>-</v>
      </c>
      <c r="H146" s="117" t="str">
        <f>IF('Project Description'!$C$96="10 Years",-'Travel Forecasts'!N36,"---")</f>
        <v>---</v>
      </c>
      <c r="I146" s="506">
        <v>4.0000000000000002E-9</v>
      </c>
      <c r="J146" s="474" t="str">
        <f>IF('Project Description'!$C$96="10 Years",H146*I146,"---")</f>
        <v>---</v>
      </c>
      <c r="K146" s="507">
        <v>12500000</v>
      </c>
      <c r="L146" s="116" t="str">
        <f>IF($H$8="(Select…)","-",IF('Project Description'!$C$96="10 Years",J146*K146,"---"))</f>
        <v>-</v>
      </c>
      <c r="M146" s="112" t="str">
        <f>IF('Project Description'!$C$96="20 Years",-'Travel Forecasts'!N36,"---")</f>
        <v>---</v>
      </c>
      <c r="N146" s="506">
        <v>4.0000000000000002E-9</v>
      </c>
      <c r="O146" s="474" t="str">
        <f>IF('Project Description'!$C$96="20 Years",M146*N146,"---")</f>
        <v>---</v>
      </c>
      <c r="P146" s="507">
        <v>12500000</v>
      </c>
      <c r="Q146" s="120" t="str">
        <f>IF($H$8="(Select…)","-",IF('Project Description'!$C$96="20 Years",O146*P146,"---"))</f>
        <v>-</v>
      </c>
      <c r="R146" s="285"/>
    </row>
    <row r="147" spans="1:18" s="368" customFormat="1" ht="18" customHeight="1" x14ac:dyDescent="0.2">
      <c r="A147" s="110">
        <f t="shared" si="26"/>
        <v>81</v>
      </c>
      <c r="B147" s="111" t="s">
        <v>290</v>
      </c>
      <c r="C147" s="112">
        <f>-'Travel Forecasts'!M37</f>
        <v>0</v>
      </c>
      <c r="D147" s="506">
        <v>1.2999999999999999E-8</v>
      </c>
      <c r="E147" s="474">
        <f t="shared" si="25"/>
        <v>0</v>
      </c>
      <c r="F147" s="507">
        <v>12500000</v>
      </c>
      <c r="G147" s="116" t="str">
        <f t="shared" si="24"/>
        <v>-</v>
      </c>
      <c r="H147" s="117" t="str">
        <f>IF('Project Description'!$C$96="10 Years",-'Travel Forecasts'!N37,"---")</f>
        <v>---</v>
      </c>
      <c r="I147" s="506">
        <v>1.2999999999999999E-8</v>
      </c>
      <c r="J147" s="474" t="str">
        <f>IF('Project Description'!$C$96="10 Years",H147*I147,"---")</f>
        <v>---</v>
      </c>
      <c r="K147" s="507">
        <v>12500000</v>
      </c>
      <c r="L147" s="116" t="str">
        <f>IF($H$8="(Select…)","-",IF('Project Description'!$C$96="10 Years",J147*K147,"---"))</f>
        <v>-</v>
      </c>
      <c r="M147" s="112" t="str">
        <f>IF('Project Description'!$C$96="20 Years",-'Travel Forecasts'!N37,"---")</f>
        <v>---</v>
      </c>
      <c r="N147" s="506">
        <v>1.2999999999999999E-8</v>
      </c>
      <c r="O147" s="474" t="str">
        <f>IF('Project Description'!$C$96="20 Years",M147*N147,"---")</f>
        <v>---</v>
      </c>
      <c r="P147" s="507">
        <v>12500000</v>
      </c>
      <c r="Q147" s="120" t="str">
        <f>IF($H$8="(Select…)","-",IF('Project Description'!$C$96="20 Years",O147*P147,"---"))</f>
        <v>-</v>
      </c>
      <c r="R147" s="285"/>
    </row>
    <row r="148" spans="1:18" s="368" customFormat="1" ht="25.5" x14ac:dyDescent="0.2">
      <c r="A148" s="110">
        <f t="shared" si="26"/>
        <v>82</v>
      </c>
      <c r="B148" s="111" t="s">
        <v>291</v>
      </c>
      <c r="C148" s="112">
        <f>-'Travel Forecasts'!M38</f>
        <v>0</v>
      </c>
      <c r="D148" s="506">
        <v>1.5399999999999999E-8</v>
      </c>
      <c r="E148" s="474">
        <f t="shared" si="25"/>
        <v>0</v>
      </c>
      <c r="F148" s="507">
        <v>12500000</v>
      </c>
      <c r="G148" s="116" t="str">
        <f t="shared" si="24"/>
        <v>-</v>
      </c>
      <c r="H148" s="117" t="str">
        <f>IF('Project Description'!$C$96="10 Years",-'Travel Forecasts'!N38,"---")</f>
        <v>---</v>
      </c>
      <c r="I148" s="506">
        <v>1.5399999999999999E-8</v>
      </c>
      <c r="J148" s="474" t="str">
        <f>IF('Project Description'!$C$96="10 Years",H148*I148,"---")</f>
        <v>---</v>
      </c>
      <c r="K148" s="507">
        <v>12500000</v>
      </c>
      <c r="L148" s="116" t="str">
        <f>IF($H$8="(Select…)","-",IF('Project Description'!$C$96="10 Years",J148*K148,"---"))</f>
        <v>-</v>
      </c>
      <c r="M148" s="112" t="str">
        <f>IF('Project Description'!$C$96="20 Years",-'Travel Forecasts'!N38,"---")</f>
        <v>---</v>
      </c>
      <c r="N148" s="506">
        <v>1.5399999999999999E-8</v>
      </c>
      <c r="O148" s="474" t="str">
        <f>IF('Project Description'!$C$96="20 Years",M148*N148,"---")</f>
        <v>---</v>
      </c>
      <c r="P148" s="507">
        <v>12500000</v>
      </c>
      <c r="Q148" s="120" t="str">
        <f>IF($H$8="(Select…)","-",IF('Project Description'!$C$96="20 Years",O148*P148,"---"))</f>
        <v>-</v>
      </c>
      <c r="R148" s="285"/>
    </row>
    <row r="149" spans="1:18" s="368" customFormat="1" ht="12.75" x14ac:dyDescent="0.2">
      <c r="A149" s="110">
        <f t="shared" si="26"/>
        <v>83</v>
      </c>
      <c r="B149" s="111" t="s">
        <v>292</v>
      </c>
      <c r="C149" s="112">
        <f>-'Travel Forecasts'!M39</f>
        <v>0</v>
      </c>
      <c r="D149" s="506">
        <v>1.5399999999999999E-8</v>
      </c>
      <c r="E149" s="474">
        <f t="shared" si="25"/>
        <v>0</v>
      </c>
      <c r="F149" s="507">
        <v>12500000</v>
      </c>
      <c r="G149" s="116" t="str">
        <f t="shared" si="24"/>
        <v>-</v>
      </c>
      <c r="H149" s="117" t="str">
        <f>IF('Project Description'!$C$96="10 Years",-'Travel Forecasts'!N39,"---")</f>
        <v>---</v>
      </c>
      <c r="I149" s="506">
        <v>1.5399999999999999E-8</v>
      </c>
      <c r="J149" s="474" t="str">
        <f>IF('Project Description'!$C$96="10 Years",H149*I149,"---")</f>
        <v>---</v>
      </c>
      <c r="K149" s="507">
        <v>12500000</v>
      </c>
      <c r="L149" s="116" t="str">
        <f>IF($H$8="(Select…)","-",IF('Project Description'!$C$96="10 Years",J149*K149,"---"))</f>
        <v>-</v>
      </c>
      <c r="M149" s="112" t="str">
        <f>IF('Project Description'!$C$96="20 Years",-'Travel Forecasts'!N39,"---")</f>
        <v>---</v>
      </c>
      <c r="N149" s="506">
        <v>1.5399999999999999E-8</v>
      </c>
      <c r="O149" s="474" t="str">
        <f>IF('Project Description'!$C$96="20 Years",M149*N149,"---")</f>
        <v>---</v>
      </c>
      <c r="P149" s="507">
        <v>12500000</v>
      </c>
      <c r="Q149" s="120" t="str">
        <f>IF($H$8="(Select…)","-",IF('Project Description'!$C$96="20 Years",O149*P149,"---"))</f>
        <v>-</v>
      </c>
      <c r="R149" s="285"/>
    </row>
    <row r="150" spans="1:18" s="368" customFormat="1" ht="18" customHeight="1" x14ac:dyDescent="0.2">
      <c r="A150" s="121">
        <f t="shared" si="26"/>
        <v>84</v>
      </c>
      <c r="B150" s="122" t="s">
        <v>293</v>
      </c>
      <c r="C150" s="112">
        <f>-'Travel Forecasts'!M40</f>
        <v>0</v>
      </c>
      <c r="D150" s="506">
        <v>1.5399999999999999E-8</v>
      </c>
      <c r="E150" s="475">
        <f t="shared" si="25"/>
        <v>0</v>
      </c>
      <c r="F150" s="507">
        <v>12500000</v>
      </c>
      <c r="G150" s="126" t="str">
        <f t="shared" si="24"/>
        <v>-</v>
      </c>
      <c r="H150" s="117" t="str">
        <f>IF('Project Description'!$C$96="10 Years",-'Travel Forecasts'!N40,"---")</f>
        <v>---</v>
      </c>
      <c r="I150" s="506">
        <v>1.5399999999999999E-8</v>
      </c>
      <c r="J150" s="474" t="str">
        <f>IF('Project Description'!$C$96="10 Years",H150*I150,"---")</f>
        <v>---</v>
      </c>
      <c r="K150" s="507">
        <v>12500000</v>
      </c>
      <c r="L150" s="126" t="str">
        <f>IF($H$8="(Select…)","-",IF('Project Description'!$C$96="10 Years",J150*K150,"---"))</f>
        <v>-</v>
      </c>
      <c r="M150" s="112" t="str">
        <f>IF('Project Description'!$C$96="20 Years",-'Travel Forecasts'!N40,"---")</f>
        <v>---</v>
      </c>
      <c r="N150" s="506">
        <v>1.5399999999999999E-8</v>
      </c>
      <c r="O150" s="474" t="str">
        <f>IF('Project Description'!$C$96="20 Years",M150*N150,"---")</f>
        <v>---</v>
      </c>
      <c r="P150" s="507">
        <v>12500000</v>
      </c>
      <c r="Q150" s="129" t="str">
        <f>IF($H$8="(Select…)","-",IF('Project Description'!$C$96="20 Years",O150*P150,"---"))</f>
        <v>-</v>
      </c>
      <c r="R150" s="285"/>
    </row>
    <row r="151" spans="1:18" ht="16.5" thickBot="1" x14ac:dyDescent="0.25">
      <c r="A151" s="130">
        <f t="shared" si="26"/>
        <v>85</v>
      </c>
      <c r="B151" s="131" t="s">
        <v>294</v>
      </c>
      <c r="C151" s="132">
        <f>SUM(C141:C150)</f>
        <v>0</v>
      </c>
      <c r="D151" s="133" t="s">
        <v>112</v>
      </c>
      <c r="E151" s="134">
        <f>SUM(E141:E150)</f>
        <v>0</v>
      </c>
      <c r="F151" s="135" t="s">
        <v>112</v>
      </c>
      <c r="G151" s="136">
        <f>SUM(G141:G150)</f>
        <v>0</v>
      </c>
      <c r="H151" s="137" t="str">
        <f>IF('Project Description'!$C$96="10 Years",SUM(H141:H150),"---")</f>
        <v>---</v>
      </c>
      <c r="I151" s="138" t="s">
        <v>112</v>
      </c>
      <c r="J151" s="134" t="str">
        <f>IF('Project Description'!$C$96="10 Years",SUM(J141:J150),"---")</f>
        <v>---</v>
      </c>
      <c r="K151" s="139" t="s">
        <v>112</v>
      </c>
      <c r="L151" s="136" t="str">
        <f>IF('Project Description'!$C$96="10 Years",SUM(L141:L150),"---")</f>
        <v>---</v>
      </c>
      <c r="M151" s="132" t="str">
        <f>IF('Project Description'!$C$96="20 Years",SUM(M141:M150),"---")</f>
        <v>---</v>
      </c>
      <c r="N151" s="138" t="s">
        <v>112</v>
      </c>
      <c r="O151" s="134" t="str">
        <f>IF('Project Description'!$C$96="20 Years",SUM(O141:O150),"---")</f>
        <v>---</v>
      </c>
      <c r="P151" s="139" t="s">
        <v>112</v>
      </c>
      <c r="Q151" s="136" t="str">
        <f>IF('Project Description'!$C$96="20 Years",SUM(Q141:Q150),"---")</f>
        <v>---</v>
      </c>
    </row>
    <row r="152" spans="1:18" s="180" customFormat="1" ht="13.5" thickBot="1" x14ac:dyDescent="0.25">
      <c r="C152" s="181"/>
      <c r="D152" s="181"/>
      <c r="E152" s="182"/>
      <c r="F152" s="182"/>
      <c r="G152" s="182"/>
      <c r="H152" s="182"/>
    </row>
    <row r="153" spans="1:18" ht="19.5" customHeight="1" thickBot="1" x14ac:dyDescent="0.3">
      <c r="A153" s="1017" t="s">
        <v>313</v>
      </c>
      <c r="B153" s="1018"/>
      <c r="C153" s="1018"/>
      <c r="D153" s="1018"/>
      <c r="E153" s="1018"/>
      <c r="F153" s="1018"/>
      <c r="G153" s="1018"/>
      <c r="H153" s="1018"/>
      <c r="I153" s="1018"/>
      <c r="J153" s="1018"/>
      <c r="K153" s="1018"/>
      <c r="L153" s="1018"/>
      <c r="M153" s="1018"/>
      <c r="N153" s="1018"/>
      <c r="O153" s="1018"/>
      <c r="P153" s="1018"/>
      <c r="Q153" s="1019"/>
      <c r="R153" s="183"/>
    </row>
    <row r="154" spans="1:18" s="368" customFormat="1" ht="15.75" x14ac:dyDescent="0.25">
      <c r="A154" s="1020" t="s">
        <v>83</v>
      </c>
      <c r="B154" s="1022" t="s">
        <v>277</v>
      </c>
      <c r="C154" s="1024" t="s">
        <v>33</v>
      </c>
      <c r="D154" s="1025"/>
      <c r="E154" s="1025"/>
      <c r="F154" s="1025"/>
      <c r="G154" s="1026"/>
      <c r="H154" s="1025" t="s">
        <v>278</v>
      </c>
      <c r="I154" s="1025"/>
      <c r="J154" s="1025"/>
      <c r="K154" s="1025"/>
      <c r="L154" s="1025"/>
      <c r="M154" s="1024" t="s">
        <v>279</v>
      </c>
      <c r="N154" s="1025"/>
      <c r="O154" s="1025"/>
      <c r="P154" s="1025"/>
      <c r="Q154" s="1026"/>
      <c r="R154" s="285"/>
    </row>
    <row r="155" spans="1:18" s="368" customFormat="1" ht="60" customHeight="1" x14ac:dyDescent="0.2">
      <c r="A155" s="1021"/>
      <c r="B155" s="1023"/>
      <c r="C155" s="95" t="s">
        <v>280</v>
      </c>
      <c r="D155" s="96" t="s">
        <v>314</v>
      </c>
      <c r="E155" s="96" t="s">
        <v>315</v>
      </c>
      <c r="F155" s="97" t="s">
        <v>316</v>
      </c>
      <c r="G155" s="98" t="s">
        <v>284</v>
      </c>
      <c r="H155" s="99" t="s">
        <v>280</v>
      </c>
      <c r="I155" s="96" t="s">
        <v>314</v>
      </c>
      <c r="J155" s="96" t="s">
        <v>315</v>
      </c>
      <c r="K155" s="97" t="s">
        <v>316</v>
      </c>
      <c r="L155" s="98" t="s">
        <v>284</v>
      </c>
      <c r="M155" s="95" t="s">
        <v>280</v>
      </c>
      <c r="N155" s="96" t="s">
        <v>314</v>
      </c>
      <c r="O155" s="96" t="s">
        <v>315</v>
      </c>
      <c r="P155" s="97" t="s">
        <v>316</v>
      </c>
      <c r="Q155" s="98" t="s">
        <v>284</v>
      </c>
      <c r="R155" s="285"/>
    </row>
    <row r="156" spans="1:18" s="368" customFormat="1" ht="18" customHeight="1" x14ac:dyDescent="0.2">
      <c r="A156" s="100">
        <f>A151+1</f>
        <v>86</v>
      </c>
      <c r="B156" s="101" t="s">
        <v>126</v>
      </c>
      <c r="C156" s="102">
        <f>IF('Project Description'!$C$92="Yes",H25,-'Travel Forecasts'!M31)</f>
        <v>0</v>
      </c>
      <c r="D156" s="504">
        <v>8.2143009600079589E-7</v>
      </c>
      <c r="E156" s="473">
        <f>C156*D156</f>
        <v>0</v>
      </c>
      <c r="F156" s="505">
        <v>554800</v>
      </c>
      <c r="G156" s="106" t="str">
        <f t="shared" ref="G156:G165" si="27">IF($H$8="(Select…)","-",E156*F156)</f>
        <v>-</v>
      </c>
      <c r="H156" s="107" t="str">
        <f>IF('Project Description'!$C$96="10 Years",-'Travel Forecasts'!N31,"---")</f>
        <v>---</v>
      </c>
      <c r="I156" s="504">
        <v>8.2143009600079589E-7</v>
      </c>
      <c r="J156" s="473" t="str">
        <f>IF('Project Description'!$C$96="10 Years",H156*I156,"---")</f>
        <v>---</v>
      </c>
      <c r="K156" s="505">
        <v>554800</v>
      </c>
      <c r="L156" s="106" t="str">
        <f>IF($H$8="(Select…)","-",IF('Project Description'!$C$96="10 Years",J156*K156,"---"))</f>
        <v>-</v>
      </c>
      <c r="M156" s="102" t="str">
        <f>IF('Project Description'!$C$96="20 Years",-'Travel Forecasts'!N31,"---")</f>
        <v>---</v>
      </c>
      <c r="N156" s="504">
        <v>8.2143009600079589E-7</v>
      </c>
      <c r="O156" s="473" t="str">
        <f>IF('Project Description'!$C$96="20 Years",M156*N156,"---")</f>
        <v>---</v>
      </c>
      <c r="P156" s="505">
        <v>554800</v>
      </c>
      <c r="Q156" s="106" t="str">
        <f>IF($H$8="(Select…)","-",IF('Project Description'!$C$96="20 Years",O156*P156,"---"))</f>
        <v>-</v>
      </c>
      <c r="R156" s="285"/>
    </row>
    <row r="157" spans="1:18" s="368" customFormat="1" ht="18" customHeight="1" x14ac:dyDescent="0.2">
      <c r="A157" s="110">
        <f>A156+1</f>
        <v>87</v>
      </c>
      <c r="B157" s="111" t="s">
        <v>285</v>
      </c>
      <c r="C157" s="112">
        <f>-'Travel Forecasts'!M32</f>
        <v>0</v>
      </c>
      <c r="D157" s="506">
        <v>7.1597963007870621E-7</v>
      </c>
      <c r="E157" s="474">
        <f t="shared" ref="E157:E165" si="28">C157*D157</f>
        <v>0</v>
      </c>
      <c r="F157" s="507">
        <v>554800</v>
      </c>
      <c r="G157" s="116" t="str">
        <f t="shared" si="27"/>
        <v>-</v>
      </c>
      <c r="H157" s="117" t="str">
        <f>IF('Project Description'!$C$96="10 Years",-'Travel Forecasts'!N32,"---")</f>
        <v>---</v>
      </c>
      <c r="I157" s="506">
        <v>7.1597963007870621E-7</v>
      </c>
      <c r="J157" s="474" t="str">
        <f>IF('Project Description'!$C$96="10 Years",H157*I157,"---")</f>
        <v>---</v>
      </c>
      <c r="K157" s="507">
        <v>554800</v>
      </c>
      <c r="L157" s="116" t="str">
        <f>IF($H$8="(Select…)","-",IF('Project Description'!$C$96="10 Years",J157*K157,"---"))</f>
        <v>-</v>
      </c>
      <c r="M157" s="112" t="str">
        <f>IF('Project Description'!$C$96="20 Years",-'Travel Forecasts'!N32,"---")</f>
        <v>---</v>
      </c>
      <c r="N157" s="506">
        <v>7.1597963007870621E-7</v>
      </c>
      <c r="O157" s="474" t="str">
        <f>IF('Project Description'!$C$96="20 Years",M157*N157,"---")</f>
        <v>---</v>
      </c>
      <c r="P157" s="507">
        <v>554800</v>
      </c>
      <c r="Q157" s="120" t="str">
        <f>IF($H$8="(Select…)","-",IF('Project Description'!$C$96="20 Years",O157*P157,"---"))</f>
        <v>-</v>
      </c>
      <c r="R157" s="285"/>
    </row>
    <row r="158" spans="1:18" s="368" customFormat="1" ht="18" customHeight="1" x14ac:dyDescent="0.2">
      <c r="A158" s="110">
        <f t="shared" ref="A158:A166" si="29">A157+1</f>
        <v>88</v>
      </c>
      <c r="B158" s="111" t="s">
        <v>286</v>
      </c>
      <c r="C158" s="112">
        <f>-'Travel Forecasts'!M33</f>
        <v>0</v>
      </c>
      <c r="D158" s="506">
        <v>7.1597963007870621E-7</v>
      </c>
      <c r="E158" s="474">
        <f t="shared" si="28"/>
        <v>0</v>
      </c>
      <c r="F158" s="507">
        <v>554800</v>
      </c>
      <c r="G158" s="116" t="str">
        <f t="shared" si="27"/>
        <v>-</v>
      </c>
      <c r="H158" s="117" t="str">
        <f>IF('Project Description'!$C$96="10 Years",-'Travel Forecasts'!N33,"---")</f>
        <v>---</v>
      </c>
      <c r="I158" s="506">
        <v>7.1597963007870621E-7</v>
      </c>
      <c r="J158" s="474" t="str">
        <f>IF('Project Description'!$C$96="10 Years",H158*I158,"---")</f>
        <v>---</v>
      </c>
      <c r="K158" s="507">
        <v>554800</v>
      </c>
      <c r="L158" s="116" t="str">
        <f>IF($H$8="(Select…)","-",IF('Project Description'!$C$96="10 Years",J158*K158,"---"))</f>
        <v>-</v>
      </c>
      <c r="M158" s="112" t="str">
        <f>IF('Project Description'!$C$96="20 Years",-'Travel Forecasts'!N33,"---")</f>
        <v>---</v>
      </c>
      <c r="N158" s="506">
        <v>7.1597963007870621E-7</v>
      </c>
      <c r="O158" s="474" t="str">
        <f>IF('Project Description'!$C$96="20 Years",M158*N158,"---")</f>
        <v>---</v>
      </c>
      <c r="P158" s="507">
        <v>554800</v>
      </c>
      <c r="Q158" s="120" t="str">
        <f>IF($H$8="(Select…)","-",IF('Project Description'!$C$96="20 Years",O158*P158,"---"))</f>
        <v>-</v>
      </c>
      <c r="R158" s="285"/>
    </row>
    <row r="159" spans="1:18" s="368" customFormat="1" ht="18" customHeight="1" x14ac:dyDescent="0.2">
      <c r="A159" s="110">
        <f t="shared" si="29"/>
        <v>89</v>
      </c>
      <c r="B159" s="111" t="s">
        <v>287</v>
      </c>
      <c r="C159" s="112">
        <f>-'Travel Forecasts'!M34</f>
        <v>0</v>
      </c>
      <c r="D159" s="506">
        <v>7.1597963007870621E-7</v>
      </c>
      <c r="E159" s="474">
        <f t="shared" si="28"/>
        <v>0</v>
      </c>
      <c r="F159" s="507">
        <v>554800</v>
      </c>
      <c r="G159" s="116" t="str">
        <f t="shared" si="27"/>
        <v>-</v>
      </c>
      <c r="H159" s="117" t="str">
        <f>IF('Project Description'!$C$96="10 Years",-'Travel Forecasts'!N34,"---")</f>
        <v>---</v>
      </c>
      <c r="I159" s="506">
        <v>7.1597963007870621E-7</v>
      </c>
      <c r="J159" s="474" t="str">
        <f>IF('Project Description'!$C$96="10 Years",H159*I159,"---")</f>
        <v>---</v>
      </c>
      <c r="K159" s="507">
        <v>554800</v>
      </c>
      <c r="L159" s="116" t="str">
        <f>IF($H$8="(Select…)","-",IF('Project Description'!$C$96="10 Years",J159*K159,"---"))</f>
        <v>-</v>
      </c>
      <c r="M159" s="112" t="str">
        <f>IF('Project Description'!$C$96="20 Years",-'Travel Forecasts'!N34,"---")</f>
        <v>---</v>
      </c>
      <c r="N159" s="506">
        <v>7.1597963007870621E-7</v>
      </c>
      <c r="O159" s="474" t="str">
        <f>IF('Project Description'!$C$96="20 Years",M159*N159,"---")</f>
        <v>---</v>
      </c>
      <c r="P159" s="507">
        <v>554800</v>
      </c>
      <c r="Q159" s="120" t="str">
        <f>IF($H$8="(Select…)","-",IF('Project Description'!$C$96="20 Years",O159*P159,"---"))</f>
        <v>-</v>
      </c>
      <c r="R159" s="285"/>
    </row>
    <row r="160" spans="1:18" s="368" customFormat="1" ht="18" customHeight="1" x14ac:dyDescent="0.2">
      <c r="A160" s="110">
        <f t="shared" si="29"/>
        <v>90</v>
      </c>
      <c r="B160" s="111" t="s">
        <v>288</v>
      </c>
      <c r="C160" s="112">
        <f>-'Travel Forecasts'!M35</f>
        <v>0</v>
      </c>
      <c r="D160" s="506">
        <v>7.1597963007870621E-7</v>
      </c>
      <c r="E160" s="474">
        <f t="shared" si="28"/>
        <v>0</v>
      </c>
      <c r="F160" s="507">
        <v>554800</v>
      </c>
      <c r="G160" s="116" t="str">
        <f t="shared" si="27"/>
        <v>-</v>
      </c>
      <c r="H160" s="117" t="str">
        <f>IF('Project Description'!$C$96="10 Years",-'Travel Forecasts'!N35,"---")</f>
        <v>---</v>
      </c>
      <c r="I160" s="506">
        <v>7.1597963007870621E-7</v>
      </c>
      <c r="J160" s="474" t="str">
        <f>IF('Project Description'!$C$96="10 Years",H160*I160,"---")</f>
        <v>---</v>
      </c>
      <c r="K160" s="507">
        <v>554800</v>
      </c>
      <c r="L160" s="116" t="str">
        <f>IF($H$8="(Select…)","-",IF('Project Description'!$C$96="10 Years",J160*K160,"---"))</f>
        <v>-</v>
      </c>
      <c r="M160" s="112" t="str">
        <f>IF('Project Description'!$C$96="20 Years",-'Travel Forecasts'!N35,"---")</f>
        <v>---</v>
      </c>
      <c r="N160" s="506">
        <v>7.1597963007870621E-7</v>
      </c>
      <c r="O160" s="474" t="str">
        <f>IF('Project Description'!$C$96="20 Years",M160*N160,"---")</f>
        <v>---</v>
      </c>
      <c r="P160" s="507">
        <v>554800</v>
      </c>
      <c r="Q160" s="120" t="str">
        <f>IF($H$8="(Select…)","-",IF('Project Description'!$C$96="20 Years",O160*P160,"---"))</f>
        <v>-</v>
      </c>
      <c r="R160" s="285"/>
    </row>
    <row r="161" spans="1:17" s="368" customFormat="1" ht="18" customHeight="1" x14ac:dyDescent="0.2">
      <c r="A161" s="110">
        <f t="shared" si="29"/>
        <v>91</v>
      </c>
      <c r="B161" s="111" t="s">
        <v>289</v>
      </c>
      <c r="C161" s="112">
        <f>-'Travel Forecasts'!M36</f>
        <v>0</v>
      </c>
      <c r="D161" s="506">
        <v>3.4999999999999998E-7</v>
      </c>
      <c r="E161" s="474">
        <f t="shared" si="28"/>
        <v>0</v>
      </c>
      <c r="F161" s="507">
        <v>554800</v>
      </c>
      <c r="G161" s="116" t="str">
        <f t="shared" si="27"/>
        <v>-</v>
      </c>
      <c r="H161" s="117" t="str">
        <f>IF('Project Description'!$C$96="10 Years",-'Travel Forecasts'!N36,"---")</f>
        <v>---</v>
      </c>
      <c r="I161" s="506">
        <v>3.4999999999999998E-7</v>
      </c>
      <c r="J161" s="474" t="str">
        <f>IF('Project Description'!$C$96="10 Years",H161*I161,"---")</f>
        <v>---</v>
      </c>
      <c r="K161" s="507">
        <v>554800</v>
      </c>
      <c r="L161" s="116" t="str">
        <f>IF($H$8="(Select…)","-",IF('Project Description'!$C$96="10 Years",J161*K161,"---"))</f>
        <v>-</v>
      </c>
      <c r="M161" s="112" t="str">
        <f>IF('Project Description'!$C$96="20 Years",-'Travel Forecasts'!N36,"---")</f>
        <v>---</v>
      </c>
      <c r="N161" s="506">
        <v>3.4999999999999998E-7</v>
      </c>
      <c r="O161" s="474" t="str">
        <f>IF('Project Description'!$C$96="20 Years",M161*N161,"---")</f>
        <v>---</v>
      </c>
      <c r="P161" s="507">
        <v>554800</v>
      </c>
      <c r="Q161" s="120" t="str">
        <f>IF($H$8="(Select…)","-",IF('Project Description'!$C$96="20 Years",O161*P161,"---"))</f>
        <v>-</v>
      </c>
    </row>
    <row r="162" spans="1:17" s="368" customFormat="1" ht="18" customHeight="1" x14ac:dyDescent="0.2">
      <c r="A162" s="110">
        <f t="shared" si="29"/>
        <v>92</v>
      </c>
      <c r="B162" s="111" t="s">
        <v>290</v>
      </c>
      <c r="C162" s="112">
        <f>-'Travel Forecasts'!M37</f>
        <v>0</v>
      </c>
      <c r="D162" s="506">
        <v>4.4099999999999999E-7</v>
      </c>
      <c r="E162" s="474">
        <f t="shared" si="28"/>
        <v>0</v>
      </c>
      <c r="F162" s="507">
        <v>554800</v>
      </c>
      <c r="G162" s="116" t="str">
        <f t="shared" si="27"/>
        <v>-</v>
      </c>
      <c r="H162" s="117" t="str">
        <f>IF('Project Description'!$C$96="10 Years",-'Travel Forecasts'!N37,"---")</f>
        <v>---</v>
      </c>
      <c r="I162" s="506">
        <v>4.4099999999999999E-7</v>
      </c>
      <c r="J162" s="474" t="str">
        <f>IF('Project Description'!$C$96="10 Years",H162*I162,"---")</f>
        <v>---</v>
      </c>
      <c r="K162" s="507">
        <v>554800</v>
      </c>
      <c r="L162" s="116" t="str">
        <f>IF($H$8="(Select…)","-",IF('Project Description'!$C$96="10 Years",J162*K162,"---"))</f>
        <v>-</v>
      </c>
      <c r="M162" s="112" t="str">
        <f>IF('Project Description'!$C$96="20 Years",-'Travel Forecasts'!N37,"---")</f>
        <v>---</v>
      </c>
      <c r="N162" s="506">
        <v>4.4099999999999999E-7</v>
      </c>
      <c r="O162" s="474" t="str">
        <f>IF('Project Description'!$C$96="20 Years",M162*N162,"---")</f>
        <v>---</v>
      </c>
      <c r="P162" s="507">
        <v>554800</v>
      </c>
      <c r="Q162" s="120" t="str">
        <f>IF($H$8="(Select…)","-",IF('Project Description'!$C$96="20 Years",O162*P162,"---"))</f>
        <v>-</v>
      </c>
    </row>
    <row r="163" spans="1:17" s="368" customFormat="1" ht="25.5" x14ac:dyDescent="0.2">
      <c r="A163" s="110">
        <f t="shared" si="29"/>
        <v>93</v>
      </c>
      <c r="B163" s="111" t="s">
        <v>291</v>
      </c>
      <c r="C163" s="112">
        <f>-'Travel Forecasts'!M38</f>
        <v>0</v>
      </c>
      <c r="D163" s="506">
        <v>6.909999999999999E-8</v>
      </c>
      <c r="E163" s="474">
        <f t="shared" si="28"/>
        <v>0</v>
      </c>
      <c r="F163" s="507">
        <v>554800</v>
      </c>
      <c r="G163" s="116" t="str">
        <f t="shared" si="27"/>
        <v>-</v>
      </c>
      <c r="H163" s="117" t="str">
        <f>IF('Project Description'!$C$96="10 Years",-'Travel Forecasts'!N38,"---")</f>
        <v>---</v>
      </c>
      <c r="I163" s="506">
        <v>6.909999999999999E-8</v>
      </c>
      <c r="J163" s="474" t="str">
        <f>IF('Project Description'!$C$96="10 Years",H163*I163,"---")</f>
        <v>---</v>
      </c>
      <c r="K163" s="507">
        <v>554800</v>
      </c>
      <c r="L163" s="116" t="str">
        <f>IF($H$8="(Select…)","-",IF('Project Description'!$C$96="10 Years",J163*K163,"---"))</f>
        <v>-</v>
      </c>
      <c r="M163" s="112" t="str">
        <f>IF('Project Description'!$C$96="20 Years",-'Travel Forecasts'!N38,"---")</f>
        <v>---</v>
      </c>
      <c r="N163" s="506">
        <v>6.909999999999999E-8</v>
      </c>
      <c r="O163" s="474" t="str">
        <f>IF('Project Description'!$C$96="20 Years",M163*N163,"---")</f>
        <v>---</v>
      </c>
      <c r="P163" s="507">
        <v>554800</v>
      </c>
      <c r="Q163" s="120" t="str">
        <f>IF($H$8="(Select…)","-",IF('Project Description'!$C$96="20 Years",O163*P163,"---"))</f>
        <v>-</v>
      </c>
    </row>
    <row r="164" spans="1:17" s="368" customFormat="1" ht="12.75" x14ac:dyDescent="0.2">
      <c r="A164" s="110">
        <f t="shared" si="29"/>
        <v>94</v>
      </c>
      <c r="B164" s="111" t="s">
        <v>292</v>
      </c>
      <c r="C164" s="112">
        <f>-'Travel Forecasts'!M39</f>
        <v>0</v>
      </c>
      <c r="D164" s="506">
        <v>6.909999999999999E-8</v>
      </c>
      <c r="E164" s="474">
        <f t="shared" si="28"/>
        <v>0</v>
      </c>
      <c r="F164" s="507">
        <v>554800</v>
      </c>
      <c r="G164" s="116" t="str">
        <f t="shared" si="27"/>
        <v>-</v>
      </c>
      <c r="H164" s="117" t="str">
        <f>IF('Project Description'!$C$96="10 Years",-'Travel Forecasts'!N39,"---")</f>
        <v>---</v>
      </c>
      <c r="I164" s="506">
        <v>6.909999999999999E-8</v>
      </c>
      <c r="J164" s="474" t="str">
        <f>IF('Project Description'!$C$96="10 Years",H164*I164,"---")</f>
        <v>---</v>
      </c>
      <c r="K164" s="507">
        <v>554800</v>
      </c>
      <c r="L164" s="116" t="str">
        <f>IF($H$8="(Select…)","-",IF('Project Description'!$C$96="10 Years",J164*K164,"---"))</f>
        <v>-</v>
      </c>
      <c r="M164" s="112" t="str">
        <f>IF('Project Description'!$C$96="20 Years",-'Travel Forecasts'!N39,"---")</f>
        <v>---</v>
      </c>
      <c r="N164" s="506">
        <v>6.909999999999999E-8</v>
      </c>
      <c r="O164" s="474" t="str">
        <f>IF('Project Description'!$C$96="20 Years",M164*N164,"---")</f>
        <v>---</v>
      </c>
      <c r="P164" s="507">
        <v>554800</v>
      </c>
      <c r="Q164" s="120" t="str">
        <f>IF($H$8="(Select…)","-",IF('Project Description'!$C$96="20 Years",O164*P164,"---"))</f>
        <v>-</v>
      </c>
    </row>
    <row r="165" spans="1:17" s="368" customFormat="1" ht="18" customHeight="1" x14ac:dyDescent="0.2">
      <c r="A165" s="121">
        <f t="shared" si="29"/>
        <v>95</v>
      </c>
      <c r="B165" s="122" t="s">
        <v>293</v>
      </c>
      <c r="C165" s="112">
        <f>-'Travel Forecasts'!M40</f>
        <v>0</v>
      </c>
      <c r="D165" s="506">
        <v>6.909999999999999E-8</v>
      </c>
      <c r="E165" s="475">
        <f t="shared" si="28"/>
        <v>0</v>
      </c>
      <c r="F165" s="507">
        <v>554800</v>
      </c>
      <c r="G165" s="126" t="str">
        <f t="shared" si="27"/>
        <v>-</v>
      </c>
      <c r="H165" s="117" t="str">
        <f>IF('Project Description'!$C$96="10 Years",-'Travel Forecasts'!N40,"---")</f>
        <v>---</v>
      </c>
      <c r="I165" s="506">
        <v>6.909999999999999E-8</v>
      </c>
      <c r="J165" s="474" t="str">
        <f>IF('Project Description'!$C$96="10 Years",H165*I165,"---")</f>
        <v>---</v>
      </c>
      <c r="K165" s="507">
        <v>554800</v>
      </c>
      <c r="L165" s="126" t="str">
        <f>IF($H$8="(Select…)","-",IF('Project Description'!$C$96="10 Years",J165*K165,"---"))</f>
        <v>-</v>
      </c>
      <c r="M165" s="112" t="str">
        <f>IF('Project Description'!$C$96="20 Years",-'Travel Forecasts'!N40,"---")</f>
        <v>---</v>
      </c>
      <c r="N165" s="506">
        <v>6.909999999999999E-8</v>
      </c>
      <c r="O165" s="474" t="str">
        <f>IF('Project Description'!$C$96="20 Years",M165*N165,"---")</f>
        <v>---</v>
      </c>
      <c r="P165" s="507">
        <v>554800</v>
      </c>
      <c r="Q165" s="129" t="str">
        <f>IF($H$8="(Select…)","-",IF('Project Description'!$C$96="20 Years",O165*P165,"---"))</f>
        <v>-</v>
      </c>
    </row>
    <row r="166" spans="1:17" ht="16.5" thickBot="1" x14ac:dyDescent="0.25">
      <c r="A166" s="130">
        <f t="shared" si="29"/>
        <v>96</v>
      </c>
      <c r="B166" s="131" t="s">
        <v>294</v>
      </c>
      <c r="C166" s="132">
        <f>SUM(C156:C165)</f>
        <v>0</v>
      </c>
      <c r="D166" s="133" t="s">
        <v>112</v>
      </c>
      <c r="E166" s="134">
        <f>SUM(E156:E165)</f>
        <v>0</v>
      </c>
      <c r="F166" s="135" t="s">
        <v>112</v>
      </c>
      <c r="G166" s="136">
        <f>SUM(G156:G165)</f>
        <v>0</v>
      </c>
      <c r="H166" s="137" t="str">
        <f>IF('Project Description'!$C$96="10 Years",SUM(H156:H165),"---")</f>
        <v>---</v>
      </c>
      <c r="I166" s="138" t="s">
        <v>112</v>
      </c>
      <c r="J166" s="134" t="str">
        <f>IF('Project Description'!$C$96="10 Years",SUM(J156:J165),"---")</f>
        <v>---</v>
      </c>
      <c r="K166" s="139" t="s">
        <v>112</v>
      </c>
      <c r="L166" s="136" t="str">
        <f>IF('Project Description'!$C$96="10 Years",SUM(L156:L165),"---")</f>
        <v>---</v>
      </c>
      <c r="M166" s="132" t="str">
        <f>IF('Project Description'!$C$96="20 Years",SUM(M156:M165),"---")</f>
        <v>---</v>
      </c>
      <c r="N166" s="138" t="s">
        <v>112</v>
      </c>
      <c r="O166" s="134" t="str">
        <f>IF('Project Description'!$C$96="20 Years",SUM(O156:O165),"---")</f>
        <v>---</v>
      </c>
      <c r="P166" s="139" t="s">
        <v>112</v>
      </c>
      <c r="Q166" s="136" t="str">
        <f>IF('Project Description'!$C$96="20 Years",SUM(Q156:Q165),"---")</f>
        <v>---</v>
      </c>
    </row>
    <row r="167" spans="1:17" ht="15" x14ac:dyDescent="0.2">
      <c r="A167" s="184"/>
      <c r="C167" s="270"/>
      <c r="D167" s="270"/>
      <c r="E167" s="284"/>
      <c r="F167" s="284"/>
      <c r="G167" s="284"/>
      <c r="H167" s="284"/>
      <c r="I167" s="285"/>
      <c r="J167" s="285"/>
    </row>
    <row r="168" spans="1:17" x14ac:dyDescent="0.2">
      <c r="A168" s="143" t="s">
        <v>317</v>
      </c>
      <c r="C168" s="270"/>
      <c r="D168" s="270"/>
      <c r="E168" s="284"/>
      <c r="F168" s="284"/>
      <c r="G168" s="284"/>
      <c r="H168" s="284"/>
      <c r="I168" s="285"/>
      <c r="J168" s="285"/>
    </row>
  </sheetData>
  <sheetProtection algorithmName="SHA-512" hashValue="4+e9xYv/EC/rljvcFM7Wus1zellH/Z6HGcswNArj8nQ5dOTJeKAFA7tIT9KU25HEZyJAZGaSDmsmaWgNNF5snA==" saltValue="YRK539YpEccsbkcp/MjGcw==" spinCount="100000" sheet="1" formatCells="0" formatColumns="0" formatRows="0" insertColumns="0" insertRows="0" insertHyperlinks="0" selectLockedCells="1"/>
  <mergeCells count="123">
    <mergeCell ref="A27:Q27"/>
    <mergeCell ref="H33:K33"/>
    <mergeCell ref="A136:Q136"/>
    <mergeCell ref="L29:Q29"/>
    <mergeCell ref="A55:A56"/>
    <mergeCell ref="B55:B56"/>
    <mergeCell ref="C55:G55"/>
    <mergeCell ref="H55:L55"/>
    <mergeCell ref="M55:Q55"/>
    <mergeCell ref="M89:Q89"/>
    <mergeCell ref="H30:I30"/>
    <mergeCell ref="H31:I31"/>
    <mergeCell ref="J30:K30"/>
    <mergeCell ref="J31:K31"/>
    <mergeCell ref="A54:Q54"/>
    <mergeCell ref="A36:Q36"/>
    <mergeCell ref="A37:L37"/>
    <mergeCell ref="A121:Q121"/>
    <mergeCell ref="A122:A123"/>
    <mergeCell ref="H32:K32"/>
    <mergeCell ref="L32:Q32"/>
    <mergeCell ref="A72:Q72"/>
    <mergeCell ref="A73:A74"/>
    <mergeCell ref="J28:K28"/>
    <mergeCell ref="J29:K29"/>
    <mergeCell ref="H73:L73"/>
    <mergeCell ref="M73:Q73"/>
    <mergeCell ref="A35:Q35"/>
    <mergeCell ref="A38:Q38"/>
    <mergeCell ref="C39:G39"/>
    <mergeCell ref="H39:L39"/>
    <mergeCell ref="M39:Q39"/>
    <mergeCell ref="B122:B123"/>
    <mergeCell ref="C122:G122"/>
    <mergeCell ref="H122:L122"/>
    <mergeCell ref="M122:Q122"/>
    <mergeCell ref="A89:A90"/>
    <mergeCell ref="B89:B90"/>
    <mergeCell ref="C89:G89"/>
    <mergeCell ref="H89:L89"/>
    <mergeCell ref="A70:Q70"/>
    <mergeCell ref="A103:Q103"/>
    <mergeCell ref="B73:B74"/>
    <mergeCell ref="C73:G73"/>
    <mergeCell ref="A153:Q153"/>
    <mergeCell ref="A154:A155"/>
    <mergeCell ref="B154:B155"/>
    <mergeCell ref="C154:G154"/>
    <mergeCell ref="H154:L154"/>
    <mergeCell ref="M154:Q154"/>
    <mergeCell ref="A138:Q138"/>
    <mergeCell ref="A139:A140"/>
    <mergeCell ref="B139:B140"/>
    <mergeCell ref="C139:G139"/>
    <mergeCell ref="H139:L139"/>
    <mergeCell ref="M139:Q139"/>
    <mergeCell ref="A1:Q1"/>
    <mergeCell ref="A105:Q105"/>
    <mergeCell ref="A106:A107"/>
    <mergeCell ref="B106:B107"/>
    <mergeCell ref="C106:G106"/>
    <mergeCell ref="H106:L106"/>
    <mergeCell ref="M106:Q106"/>
    <mergeCell ref="A88:Q88"/>
    <mergeCell ref="B7:G7"/>
    <mergeCell ref="B8:G8"/>
    <mergeCell ref="B29:G29"/>
    <mergeCell ref="B30:G30"/>
    <mergeCell ref="B31:G31"/>
    <mergeCell ref="B32:G32"/>
    <mergeCell ref="A39:A40"/>
    <mergeCell ref="B39:B40"/>
    <mergeCell ref="A6:Q6"/>
    <mergeCell ref="H7:K7"/>
    <mergeCell ref="H8:K8"/>
    <mergeCell ref="H28:I28"/>
    <mergeCell ref="H29:I29"/>
    <mergeCell ref="B17:G17"/>
    <mergeCell ref="B9:G9"/>
    <mergeCell ref="H9:K9"/>
    <mergeCell ref="B14:G14"/>
    <mergeCell ref="H14:K14"/>
    <mergeCell ref="H15:K15"/>
    <mergeCell ref="H16:K16"/>
    <mergeCell ref="H17:K17"/>
    <mergeCell ref="H18:K18"/>
    <mergeCell ref="B22:G22"/>
    <mergeCell ref="B23:G23"/>
    <mergeCell ref="A2:E2"/>
    <mergeCell ref="F2:Q2"/>
    <mergeCell ref="B10:G10"/>
    <mergeCell ref="H10:K10"/>
    <mergeCell ref="B11:G11"/>
    <mergeCell ref="H11:K11"/>
    <mergeCell ref="L8:Q11"/>
    <mergeCell ref="A13:Q13"/>
    <mergeCell ref="B18:G18"/>
    <mergeCell ref="B19:G19"/>
    <mergeCell ref="B20:G20"/>
    <mergeCell ref="B21:G21"/>
    <mergeCell ref="B15:G15"/>
    <mergeCell ref="A4:Q4"/>
    <mergeCell ref="B24:G24"/>
    <mergeCell ref="B25:G25"/>
    <mergeCell ref="H24:K24"/>
    <mergeCell ref="H25:K25"/>
    <mergeCell ref="L15:Q15"/>
    <mergeCell ref="L16:Q16"/>
    <mergeCell ref="L17:Q17"/>
    <mergeCell ref="L18:Q18"/>
    <mergeCell ref="L19:Q19"/>
    <mergeCell ref="L20:Q20"/>
    <mergeCell ref="L21:Q21"/>
    <mergeCell ref="L22:Q22"/>
    <mergeCell ref="L23:Q23"/>
    <mergeCell ref="L24:Q24"/>
    <mergeCell ref="L25:Q25"/>
    <mergeCell ref="H19:K19"/>
    <mergeCell ref="H20:K20"/>
    <mergeCell ref="H21:K21"/>
    <mergeCell ref="H22:K22"/>
    <mergeCell ref="H23:K23"/>
    <mergeCell ref="B16:G16"/>
  </mergeCells>
  <conditionalFormatting sqref="A4">
    <cfRule type="expression" dxfId="3" priority="83">
      <formula>AND($A4&lt;&gt;"")</formula>
    </cfRule>
  </conditionalFormatting>
  <conditionalFormatting sqref="H23:K23">
    <cfRule type="expression" dxfId="2" priority="1">
      <formula>AND(NOT(ISNUMBER(H23)))</formula>
    </cfRule>
  </conditionalFormatting>
  <dataValidations count="1">
    <dataValidation type="list" allowBlank="1" showInputMessage="1" showErrorMessage="1" error="Please select a value from the drop-down list.  (Do not change the list -- otherwise formulas in this workbook will not work correctly.)" sqref="H8:K12 H26:K26" xr:uid="{00000000-0002-0000-0400-000000000000}">
      <formula1>"(Select…),Attainment,Maintenance,Nonattainment"</formula1>
    </dataValidation>
  </dataValidations>
  <hyperlinks>
    <hyperlink ref="L8" r:id="rId1" display="EPA Green Book" xr:uid="{00000000-0004-0000-0400-000000000000}"/>
    <hyperlink ref="L8:Q11" r:id="rId2" display="Source: EPA Green Book" xr:uid="{00000000-0004-0000-0400-000001000000}"/>
  </hyperlinks>
  <pageMargins left="0.25" right="0.25" top="0.75" bottom="0.75" header="0.3" footer="0.3"/>
  <pageSetup scale="46" fitToHeight="0" orientation="landscape" horizontalDpi="4294967293" verticalDpi="4294967293" r:id="rId3"/>
  <rowBreaks count="4" manualBreakCount="4">
    <brk id="33" max="16383" man="1"/>
    <brk id="69" max="16" man="1"/>
    <brk id="102" max="16" man="1"/>
    <brk id="135" max="16" man="1"/>
  </rowBreaks>
  <legacyDrawing r:id="rId4"/>
  <extLst>
    <ext xmlns:x14="http://schemas.microsoft.com/office/spreadsheetml/2009/9/main" uri="{78C0D931-6437-407d-A8EE-F0AAD7539E65}">
      <x14:conditionalFormattings>
        <x14:conditionalFormatting xmlns:xm="http://schemas.microsoft.com/office/excel/2006/main">
          <x14:cfRule type="expression" priority="2" id="{5BA4F937-AE28-4AA6-BB00-8B81B7861316}">
            <xm:f>OR('Project Description'!$C$92="No",'Project Description'!$C$92="(Select…)")</xm:f>
            <x14:dxf>
              <fill>
                <patternFill patternType="solid">
                  <bgColor theme="1"/>
                </patternFill>
              </fill>
            </x14:dxf>
          </x14:cfRule>
          <xm:sqref>H15:K25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I165"/>
  <sheetViews>
    <sheetView showGridLines="0" showWhiteSpace="0" view="pageBreakPreview" zoomScaleNormal="100" zoomScaleSheetLayoutView="100" workbookViewId="0">
      <selection activeCell="B4" sqref="B4"/>
    </sheetView>
  </sheetViews>
  <sheetFormatPr defaultColWidth="9.25" defaultRowHeight="15" x14ac:dyDescent="0.2"/>
  <cols>
    <col min="1" max="1" width="74.25" style="390" customWidth="1"/>
    <col min="2" max="2" width="29.25" style="390" customWidth="1"/>
    <col min="3" max="3" width="33.5" style="390" customWidth="1"/>
    <col min="4" max="4" width="20.5" style="390" customWidth="1"/>
    <col min="5" max="5" width="14.25" style="390" customWidth="1"/>
    <col min="6" max="6" width="36.5" style="390" customWidth="1"/>
    <col min="7" max="16384" width="9.25" style="390"/>
  </cols>
  <sheetData>
    <row r="1" spans="1:6" s="365" customFormat="1" ht="18.75" thickBot="1" x14ac:dyDescent="0.25">
      <c r="A1" s="1014" t="s">
        <v>318</v>
      </c>
      <c r="B1" s="1015"/>
      <c r="C1" s="1015"/>
      <c r="D1" s="1015"/>
      <c r="E1" s="1015"/>
      <c r="F1" s="1016"/>
    </row>
    <row r="2" spans="1:6" s="367" customFormat="1" ht="16.5" thickBot="1" x14ac:dyDescent="0.3">
      <c r="A2" s="80" t="s">
        <v>0</v>
      </c>
      <c r="B2" s="992" t="str">
        <f>IF('Project Description'!B2&lt;&gt;"",'Project Description'!B2,"")</f>
        <v/>
      </c>
      <c r="C2" s="993"/>
      <c r="D2" s="993"/>
      <c r="E2" s="993"/>
      <c r="F2" s="994"/>
    </row>
    <row r="3" spans="1:6" ht="22.5" customHeight="1" thickBot="1" x14ac:dyDescent="0.4">
      <c r="A3" s="1168"/>
      <c r="B3" s="1169"/>
      <c r="C3" s="1169"/>
      <c r="D3" s="1169"/>
      <c r="E3" s="1169"/>
      <c r="F3" s="1170"/>
    </row>
    <row r="4" spans="1:6" ht="64.5" customHeight="1" thickBot="1" x14ac:dyDescent="0.25">
      <c r="A4" s="195" t="s">
        <v>461</v>
      </c>
      <c r="B4" s="4"/>
      <c r="C4" s="1165" t="s">
        <v>319</v>
      </c>
      <c r="D4" s="1139"/>
      <c r="E4" s="1166"/>
      <c r="F4" s="1167"/>
    </row>
    <row r="5" spans="1:6" ht="23.25" customHeight="1" thickBot="1" x14ac:dyDescent="0.25">
      <c r="A5" s="81" t="s">
        <v>320</v>
      </c>
      <c r="B5" s="225"/>
      <c r="C5" s="1128" t="s">
        <v>321</v>
      </c>
      <c r="D5" s="1139"/>
      <c r="E5" s="1140">
        <f>IF(E4&gt;0,B5/E4,0)</f>
        <v>0</v>
      </c>
      <c r="F5" s="1141"/>
    </row>
    <row r="6" spans="1:6" ht="23.25" customHeight="1" thickBot="1" x14ac:dyDescent="0.25">
      <c r="A6" s="81" t="s">
        <v>322</v>
      </c>
      <c r="B6" s="353"/>
      <c r="C6" s="1165" t="s">
        <v>323</v>
      </c>
      <c r="D6" s="1139"/>
      <c r="E6" s="1171"/>
      <c r="F6" s="1172"/>
    </row>
    <row r="7" spans="1:6" ht="48.75" customHeight="1" thickBot="1" x14ac:dyDescent="0.25">
      <c r="A7" s="1173" t="s">
        <v>324</v>
      </c>
      <c r="B7" s="1174"/>
      <c r="C7" s="1174"/>
      <c r="D7" s="1175"/>
      <c r="E7" s="1176"/>
      <c r="F7" s="1177"/>
    </row>
    <row r="8" spans="1:6" ht="20.25" customHeight="1" thickBot="1" x14ac:dyDescent="0.4">
      <c r="A8" s="1168"/>
      <c r="B8" s="1169"/>
      <c r="C8" s="1169"/>
      <c r="D8" s="1169"/>
      <c r="E8" s="1169"/>
      <c r="F8" s="1170"/>
    </row>
    <row r="9" spans="1:6" x14ac:dyDescent="0.2">
      <c r="A9" s="1130" t="s">
        <v>325</v>
      </c>
      <c r="B9" s="1131"/>
      <c r="C9" s="1088" t="s">
        <v>326</v>
      </c>
      <c r="D9" s="1079" t="s">
        <v>327</v>
      </c>
      <c r="E9" s="1072"/>
      <c r="F9" s="1072" t="s">
        <v>328</v>
      </c>
    </row>
    <row r="10" spans="1:6" ht="31.5" customHeight="1" thickBot="1" x14ac:dyDescent="0.25">
      <c r="A10" s="1142" t="s">
        <v>329</v>
      </c>
      <c r="B10" s="1143"/>
      <c r="C10" s="1089"/>
      <c r="D10" s="1073"/>
      <c r="E10" s="1074"/>
      <c r="F10" s="1074"/>
    </row>
    <row r="11" spans="1:6" ht="21" customHeight="1" x14ac:dyDescent="0.2">
      <c r="A11" s="1180" t="s">
        <v>330</v>
      </c>
      <c r="B11" s="1181"/>
      <c r="C11" s="248"/>
      <c r="D11" s="1150"/>
      <c r="E11" s="1151"/>
      <c r="F11" s="286">
        <f>IF($E$4&gt;0,D11/$E$4,0)</f>
        <v>0</v>
      </c>
    </row>
    <row r="12" spans="1:6" ht="21" customHeight="1" x14ac:dyDescent="0.2">
      <c r="A12" s="1144" t="s">
        <v>331</v>
      </c>
      <c r="B12" s="1145"/>
      <c r="C12" s="237"/>
      <c r="D12" s="1146"/>
      <c r="E12" s="1147"/>
      <c r="F12" s="287">
        <f>IF($E$4&gt;0,D12/$E$4,0)</f>
        <v>0</v>
      </c>
    </row>
    <row r="13" spans="1:6" ht="21" customHeight="1" x14ac:dyDescent="0.2">
      <c r="A13" s="1144" t="s">
        <v>332</v>
      </c>
      <c r="B13" s="1145"/>
      <c r="C13" s="237"/>
      <c r="D13" s="1146"/>
      <c r="E13" s="1147"/>
      <c r="F13" s="287">
        <f>IF($E$4&gt;0,D13/$E$4,0)</f>
        <v>0</v>
      </c>
    </row>
    <row r="14" spans="1:6" ht="21" customHeight="1" thickBot="1" x14ac:dyDescent="0.25">
      <c r="A14" s="1178" t="s">
        <v>333</v>
      </c>
      <c r="B14" s="1179"/>
      <c r="C14" s="288"/>
      <c r="D14" s="1153"/>
      <c r="E14" s="1154"/>
      <c r="F14" s="289">
        <f>IF($E$4&gt;0,D14/$E$4,0)</f>
        <v>0</v>
      </c>
    </row>
    <row r="15" spans="1:6" s="16" customFormat="1" ht="15" customHeight="1" x14ac:dyDescent="0.2">
      <c r="A15" s="1130" t="s">
        <v>334</v>
      </c>
      <c r="B15" s="1131"/>
      <c r="C15" s="1088" t="s">
        <v>326</v>
      </c>
      <c r="D15" s="1079" t="s">
        <v>327</v>
      </c>
      <c r="E15" s="1072"/>
      <c r="F15" s="1072" t="s">
        <v>328</v>
      </c>
    </row>
    <row r="16" spans="1:6" s="16" customFormat="1" ht="31.5" customHeight="1" thickBot="1" x14ac:dyDescent="0.25">
      <c r="A16" s="1152" t="s">
        <v>335</v>
      </c>
      <c r="B16" s="1143"/>
      <c r="C16" s="1089"/>
      <c r="D16" s="1073"/>
      <c r="E16" s="1074"/>
      <c r="F16" s="1074"/>
    </row>
    <row r="17" spans="1:6" ht="18" customHeight="1" x14ac:dyDescent="0.2">
      <c r="A17" s="1148" t="s">
        <v>336</v>
      </c>
      <c r="B17" s="1149"/>
      <c r="C17" s="248"/>
      <c r="D17" s="1150"/>
      <c r="E17" s="1151"/>
      <c r="F17" s="286">
        <f>IF($E$4&gt;0,D17/$E$4,0)</f>
        <v>0</v>
      </c>
    </row>
    <row r="18" spans="1:6" ht="18" customHeight="1" x14ac:dyDescent="0.2">
      <c r="A18" s="1144" t="s">
        <v>331</v>
      </c>
      <c r="B18" s="1145"/>
      <c r="C18" s="237"/>
      <c r="D18" s="1146"/>
      <c r="E18" s="1147"/>
      <c r="F18" s="287">
        <f>IF($E$4&gt;0,D18/$E$4,0)</f>
        <v>0</v>
      </c>
    </row>
    <row r="19" spans="1:6" ht="18" customHeight="1" x14ac:dyDescent="0.2">
      <c r="A19" s="1144" t="s">
        <v>332</v>
      </c>
      <c r="B19" s="1145"/>
      <c r="C19" s="237"/>
      <c r="D19" s="1146"/>
      <c r="E19" s="1147"/>
      <c r="F19" s="287">
        <f t="shared" ref="F19:F20" si="0">IF($E$4&gt;0,D19/$E$4,0)</f>
        <v>0</v>
      </c>
    </row>
    <row r="20" spans="1:6" ht="18" customHeight="1" x14ac:dyDescent="0.2">
      <c r="A20" s="1144" t="s">
        <v>333</v>
      </c>
      <c r="B20" s="1145"/>
      <c r="C20" s="237"/>
      <c r="D20" s="1146"/>
      <c r="E20" s="1147"/>
      <c r="F20" s="287">
        <f t="shared" si="0"/>
        <v>0</v>
      </c>
    </row>
    <row r="21" spans="1:6" ht="18" customHeight="1" x14ac:dyDescent="0.2">
      <c r="A21" s="1144" t="s">
        <v>337</v>
      </c>
      <c r="B21" s="1145"/>
      <c r="C21" s="237"/>
      <c r="D21" s="1146"/>
      <c r="E21" s="1147"/>
      <c r="F21" s="287">
        <f>IF($E$4&gt;0,D21/$E$4,0)</f>
        <v>0</v>
      </c>
    </row>
    <row r="22" spans="1:6" ht="18" customHeight="1" thickBot="1" x14ac:dyDescent="0.25">
      <c r="A22" s="1144" t="s">
        <v>338</v>
      </c>
      <c r="B22" s="1145"/>
      <c r="C22" s="290"/>
      <c r="D22" s="1153"/>
      <c r="E22" s="1154"/>
      <c r="F22" s="289">
        <f>IF($E$4&gt;0,D22/$E$4,0)</f>
        <v>0</v>
      </c>
    </row>
    <row r="23" spans="1:6" ht="15" customHeight="1" x14ac:dyDescent="0.2">
      <c r="A23" s="1109" t="s">
        <v>339</v>
      </c>
      <c r="B23" s="1163"/>
      <c r="C23" s="1088" t="s">
        <v>326</v>
      </c>
      <c r="D23" s="1079" t="s">
        <v>327</v>
      </c>
      <c r="E23" s="1072"/>
      <c r="F23" s="1072" t="s">
        <v>328</v>
      </c>
    </row>
    <row r="24" spans="1:6" ht="31.5" customHeight="1" thickBot="1" x14ac:dyDescent="0.25">
      <c r="A24" s="1152" t="s">
        <v>340</v>
      </c>
      <c r="B24" s="1164"/>
      <c r="C24" s="1089"/>
      <c r="D24" s="1073"/>
      <c r="E24" s="1074"/>
      <c r="F24" s="1074"/>
    </row>
    <row r="25" spans="1:6" ht="19.5" customHeight="1" x14ac:dyDescent="0.2">
      <c r="A25" s="1182" t="s">
        <v>341</v>
      </c>
      <c r="B25" s="1183"/>
      <c r="C25" s="248"/>
      <c r="D25" s="1150"/>
      <c r="E25" s="1151"/>
      <c r="F25" s="286">
        <f>IF($E$4&gt;0,D25/$E$4,0)</f>
        <v>0</v>
      </c>
    </row>
    <row r="26" spans="1:6" ht="19.5" customHeight="1" x14ac:dyDescent="0.2">
      <c r="A26" s="1144" t="s">
        <v>331</v>
      </c>
      <c r="B26" s="1145"/>
      <c r="C26" s="237"/>
      <c r="D26" s="1146"/>
      <c r="E26" s="1147"/>
      <c r="F26" s="291">
        <f>IF($E$4&gt;0,D26/$E$4,0)</f>
        <v>0</v>
      </c>
    </row>
    <row r="27" spans="1:6" ht="19.5" customHeight="1" x14ac:dyDescent="0.2">
      <c r="A27" s="1144" t="s">
        <v>332</v>
      </c>
      <c r="B27" s="1145"/>
      <c r="C27" s="237"/>
      <c r="D27" s="1146"/>
      <c r="E27" s="1147"/>
      <c r="F27" s="291">
        <f t="shared" ref="F27:F36" si="1">IF($E$4&gt;0,D27/$E$4,0)</f>
        <v>0</v>
      </c>
    </row>
    <row r="28" spans="1:6" ht="19.5" customHeight="1" x14ac:dyDescent="0.2">
      <c r="A28" s="1144" t="s">
        <v>333</v>
      </c>
      <c r="B28" s="1145"/>
      <c r="C28" s="237"/>
      <c r="D28" s="1146"/>
      <c r="E28" s="1147"/>
      <c r="F28" s="291">
        <f t="shared" si="1"/>
        <v>0</v>
      </c>
    </row>
    <row r="29" spans="1:6" ht="19.5" customHeight="1" x14ac:dyDescent="0.2">
      <c r="A29" s="1144" t="s">
        <v>337</v>
      </c>
      <c r="B29" s="1145"/>
      <c r="C29" s="237"/>
      <c r="D29" s="1146"/>
      <c r="E29" s="1147"/>
      <c r="F29" s="291">
        <f t="shared" si="1"/>
        <v>0</v>
      </c>
    </row>
    <row r="30" spans="1:6" ht="19.5" customHeight="1" x14ac:dyDescent="0.2">
      <c r="A30" s="1144" t="s">
        <v>338</v>
      </c>
      <c r="B30" s="1145"/>
      <c r="C30" s="237"/>
      <c r="D30" s="1146"/>
      <c r="E30" s="1147"/>
      <c r="F30" s="291">
        <f t="shared" si="1"/>
        <v>0</v>
      </c>
    </row>
    <row r="31" spans="1:6" ht="19.5" customHeight="1" x14ac:dyDescent="0.2">
      <c r="A31" s="1144" t="s">
        <v>342</v>
      </c>
      <c r="B31" s="1145"/>
      <c r="C31" s="237"/>
      <c r="D31" s="1146"/>
      <c r="E31" s="1147"/>
      <c r="F31" s="291">
        <f t="shared" si="1"/>
        <v>0</v>
      </c>
    </row>
    <row r="32" spans="1:6" ht="19.5" customHeight="1" x14ac:dyDescent="0.2">
      <c r="A32" s="1144" t="s">
        <v>343</v>
      </c>
      <c r="B32" s="1145"/>
      <c r="C32" s="237"/>
      <c r="D32" s="1146"/>
      <c r="E32" s="1147"/>
      <c r="F32" s="291">
        <f t="shared" si="1"/>
        <v>0</v>
      </c>
    </row>
    <row r="33" spans="1:6" ht="19.5" customHeight="1" x14ac:dyDescent="0.2">
      <c r="A33" s="1144" t="s">
        <v>344</v>
      </c>
      <c r="B33" s="1145"/>
      <c r="C33" s="237"/>
      <c r="D33" s="1146"/>
      <c r="E33" s="1147"/>
      <c r="F33" s="291">
        <f t="shared" si="1"/>
        <v>0</v>
      </c>
    </row>
    <row r="34" spans="1:6" ht="19.5" customHeight="1" x14ac:dyDescent="0.2">
      <c r="A34" s="1144" t="s">
        <v>345</v>
      </c>
      <c r="B34" s="1145"/>
      <c r="C34" s="237"/>
      <c r="D34" s="1146"/>
      <c r="E34" s="1147"/>
      <c r="F34" s="291">
        <f t="shared" si="1"/>
        <v>0</v>
      </c>
    </row>
    <row r="35" spans="1:6" ht="19.5" customHeight="1" x14ac:dyDescent="0.2">
      <c r="A35" s="1144" t="s">
        <v>346</v>
      </c>
      <c r="B35" s="1145"/>
      <c r="C35" s="237"/>
      <c r="D35" s="1146"/>
      <c r="E35" s="1147"/>
      <c r="F35" s="283">
        <f t="shared" si="1"/>
        <v>0</v>
      </c>
    </row>
    <row r="36" spans="1:6" ht="19.5" customHeight="1" thickBot="1" x14ac:dyDescent="0.25">
      <c r="A36" s="1144" t="s">
        <v>347</v>
      </c>
      <c r="B36" s="1145"/>
      <c r="C36" s="290"/>
      <c r="D36" s="1153"/>
      <c r="E36" s="1154"/>
      <c r="F36" s="287">
        <f t="shared" si="1"/>
        <v>0</v>
      </c>
    </row>
    <row r="37" spans="1:6" ht="15" customHeight="1" x14ac:dyDescent="0.2">
      <c r="A37" s="1109" t="s">
        <v>348</v>
      </c>
      <c r="B37" s="1186"/>
      <c r="C37" s="1088" t="s">
        <v>326</v>
      </c>
      <c r="D37" s="1079" t="s">
        <v>327</v>
      </c>
      <c r="E37" s="1072"/>
      <c r="F37" s="1088" t="s">
        <v>328</v>
      </c>
    </row>
    <row r="38" spans="1:6" ht="31.5" customHeight="1" thickBot="1" x14ac:dyDescent="0.25">
      <c r="A38" s="1152" t="s">
        <v>349</v>
      </c>
      <c r="B38" s="1187"/>
      <c r="C38" s="1089"/>
      <c r="D38" s="1073"/>
      <c r="E38" s="1074"/>
      <c r="F38" s="1089"/>
    </row>
    <row r="39" spans="1:6" ht="18" customHeight="1" x14ac:dyDescent="0.2">
      <c r="A39" s="1214" t="s">
        <v>341</v>
      </c>
      <c r="B39" s="1215"/>
      <c r="C39" s="292"/>
      <c r="D39" s="1189"/>
      <c r="E39" s="1190"/>
      <c r="F39" s="286">
        <f>IF($E$4&gt;0,D39/$E$4,0)</f>
        <v>0</v>
      </c>
    </row>
    <row r="40" spans="1:6" ht="18" customHeight="1" x14ac:dyDescent="0.2">
      <c r="A40" s="1191" t="s">
        <v>331</v>
      </c>
      <c r="B40" s="1192"/>
      <c r="C40" s="293"/>
      <c r="D40" s="1138"/>
      <c r="E40" s="1127"/>
      <c r="F40" s="291">
        <f t="shared" ref="F40:F42" si="2">IF($E$4&gt;0,D40/$E$4,0)</f>
        <v>0</v>
      </c>
    </row>
    <row r="41" spans="1:6" ht="18" customHeight="1" x14ac:dyDescent="0.2">
      <c r="A41" s="1191" t="s">
        <v>332</v>
      </c>
      <c r="B41" s="1192"/>
      <c r="C41" s="293"/>
      <c r="D41" s="1138"/>
      <c r="E41" s="1127"/>
      <c r="F41" s="291">
        <f t="shared" si="2"/>
        <v>0</v>
      </c>
    </row>
    <row r="42" spans="1:6" ht="18" customHeight="1" x14ac:dyDescent="0.2">
      <c r="A42" s="1191" t="s">
        <v>333</v>
      </c>
      <c r="B42" s="1192"/>
      <c r="C42" s="293"/>
      <c r="D42" s="1138"/>
      <c r="E42" s="1127"/>
      <c r="F42" s="291">
        <f t="shared" si="2"/>
        <v>0</v>
      </c>
    </row>
    <row r="43" spans="1:6" ht="18" customHeight="1" thickBot="1" x14ac:dyDescent="0.25">
      <c r="A43" s="1193" t="s">
        <v>337</v>
      </c>
      <c r="B43" s="1194"/>
      <c r="C43" s="294"/>
      <c r="D43" s="1138"/>
      <c r="E43" s="1127"/>
      <c r="F43" s="289">
        <f>IF($E$4&gt;0,D43/$E$4,0)</f>
        <v>0</v>
      </c>
    </row>
    <row r="44" spans="1:6" ht="15.75" thickBot="1" x14ac:dyDescent="0.25">
      <c r="A44" s="1200"/>
      <c r="B44" s="1201"/>
      <c r="C44" s="1201"/>
      <c r="D44" s="1201"/>
      <c r="E44" s="1201"/>
      <c r="F44" s="1202"/>
    </row>
    <row r="45" spans="1:6" ht="22.5" customHeight="1" thickBot="1" x14ac:dyDescent="0.25">
      <c r="A45" s="1195" t="s">
        <v>350</v>
      </c>
      <c r="B45" s="1196"/>
      <c r="C45" s="1197"/>
      <c r="D45" s="1155">
        <f>SUM(D11:E14)+SUM(D17:E22)+SUM(D25:E36)+SUM(D39:E43)</f>
        <v>0</v>
      </c>
      <c r="E45" s="1156"/>
      <c r="F45" s="289">
        <f>IF($E$4&gt;0,D45/$E$4,0)</f>
        <v>0</v>
      </c>
    </row>
    <row r="46" spans="1:6" ht="24.75" customHeight="1" thickBot="1" x14ac:dyDescent="0.25">
      <c r="A46" s="1195" t="s">
        <v>351</v>
      </c>
      <c r="B46" s="1196"/>
      <c r="C46" s="1197"/>
      <c r="D46" s="1155">
        <f>E4-B5-D45</f>
        <v>0</v>
      </c>
      <c r="E46" s="1156"/>
      <c r="F46" s="295" t="s">
        <v>112</v>
      </c>
    </row>
    <row r="47" spans="1:6" ht="15.75" thickBot="1" x14ac:dyDescent="0.25">
      <c r="A47" s="1188"/>
      <c r="B47" s="1188"/>
      <c r="C47" s="1188"/>
      <c r="D47" s="1188"/>
      <c r="E47" s="1188"/>
      <c r="F47" s="1188"/>
    </row>
    <row r="48" spans="1:6" s="365" customFormat="1" ht="18.75" customHeight="1" thickBot="1" x14ac:dyDescent="0.25">
      <c r="A48" s="1014" t="s">
        <v>352</v>
      </c>
      <c r="B48" s="1015"/>
      <c r="C48" s="1015"/>
      <c r="D48" s="1015"/>
      <c r="E48" s="1015"/>
      <c r="F48" s="1016"/>
    </row>
    <row r="49" spans="1:6" ht="15.75" thickBot="1" x14ac:dyDescent="0.25">
      <c r="A49" s="1195" t="s">
        <v>353</v>
      </c>
      <c r="B49" s="1196"/>
      <c r="C49" s="1196"/>
      <c r="D49" s="1196"/>
      <c r="E49" s="1196"/>
      <c r="F49" s="1197"/>
    </row>
    <row r="50" spans="1:6" ht="40.5" customHeight="1" x14ac:dyDescent="0.2">
      <c r="A50" s="82" t="s">
        <v>354</v>
      </c>
      <c r="B50" s="1216" t="s">
        <v>355</v>
      </c>
      <c r="C50" s="1088" t="s">
        <v>356</v>
      </c>
      <c r="D50" s="1184" t="s">
        <v>357</v>
      </c>
      <c r="E50" s="1184"/>
      <c r="F50" s="1184" t="s">
        <v>358</v>
      </c>
    </row>
    <row r="51" spans="1:6" ht="40.5" customHeight="1" thickBot="1" x14ac:dyDescent="0.25">
      <c r="A51" s="240" t="s">
        <v>359</v>
      </c>
      <c r="B51" s="1089"/>
      <c r="C51" s="1089"/>
      <c r="D51" s="1185"/>
      <c r="E51" s="1185"/>
      <c r="F51" s="1185"/>
    </row>
    <row r="52" spans="1:6" ht="25.5" customHeight="1" x14ac:dyDescent="0.2">
      <c r="A52" s="296" t="str">
        <f>+A11</f>
        <v>1. (Example: CMAQ)</v>
      </c>
      <c r="B52" s="350" t="s">
        <v>52</v>
      </c>
      <c r="C52" s="241" t="s">
        <v>52</v>
      </c>
      <c r="D52" s="1161" t="s">
        <v>52</v>
      </c>
      <c r="E52" s="1161"/>
      <c r="F52" s="351" t="s">
        <v>52</v>
      </c>
    </row>
    <row r="53" spans="1:6" ht="25.5" customHeight="1" x14ac:dyDescent="0.2">
      <c r="A53" s="297" t="str">
        <f>+A12</f>
        <v>2.</v>
      </c>
      <c r="B53" s="346" t="s">
        <v>52</v>
      </c>
      <c r="C53" s="242" t="s">
        <v>52</v>
      </c>
      <c r="D53" s="1162" t="s">
        <v>52</v>
      </c>
      <c r="E53" s="1162"/>
      <c r="F53" s="352" t="s">
        <v>52</v>
      </c>
    </row>
    <row r="54" spans="1:6" ht="25.5" customHeight="1" x14ac:dyDescent="0.2">
      <c r="A54" s="297" t="str">
        <f>+A13</f>
        <v>3.</v>
      </c>
      <c r="B54" s="346" t="s">
        <v>52</v>
      </c>
      <c r="C54" s="242" t="s">
        <v>52</v>
      </c>
      <c r="D54" s="1162" t="s">
        <v>52</v>
      </c>
      <c r="E54" s="1162"/>
      <c r="F54" s="352" t="s">
        <v>52</v>
      </c>
    </row>
    <row r="55" spans="1:6" ht="25.5" customHeight="1" thickBot="1" x14ac:dyDescent="0.25">
      <c r="A55" s="298" t="str">
        <f>+A14</f>
        <v>4.</v>
      </c>
      <c r="B55" s="354" t="s">
        <v>52</v>
      </c>
      <c r="C55" s="243" t="s">
        <v>52</v>
      </c>
      <c r="D55" s="1087" t="s">
        <v>52</v>
      </c>
      <c r="E55" s="1087"/>
      <c r="F55" s="345" t="s">
        <v>52</v>
      </c>
    </row>
    <row r="56" spans="1:6" ht="21" customHeight="1" x14ac:dyDescent="0.2">
      <c r="A56" s="82" t="s">
        <v>360</v>
      </c>
      <c r="B56" s="1203" t="s">
        <v>361</v>
      </c>
      <c r="C56" s="1157" t="s">
        <v>362</v>
      </c>
      <c r="D56" s="1157" t="s">
        <v>363</v>
      </c>
      <c r="E56" s="1158"/>
      <c r="F56" s="1158" t="s">
        <v>364</v>
      </c>
    </row>
    <row r="57" spans="1:6" ht="38.1" customHeight="1" thickBot="1" x14ac:dyDescent="0.25">
      <c r="A57" s="240" t="s">
        <v>359</v>
      </c>
      <c r="B57" s="1204"/>
      <c r="C57" s="1103"/>
      <c r="D57" s="1103"/>
      <c r="E57" s="1104"/>
      <c r="F57" s="1104"/>
    </row>
    <row r="58" spans="1:6" ht="23.25" customHeight="1" x14ac:dyDescent="0.2">
      <c r="A58" s="296" t="str">
        <f>+A17</f>
        <v>1. (Example: State Transportation Fund)</v>
      </c>
      <c r="B58" s="350" t="s">
        <v>365</v>
      </c>
      <c r="C58" s="241" t="s">
        <v>365</v>
      </c>
      <c r="D58" s="1159" t="s">
        <v>365</v>
      </c>
      <c r="E58" s="1160"/>
      <c r="F58" s="350" t="s">
        <v>365</v>
      </c>
    </row>
    <row r="59" spans="1:6" ht="23.25" customHeight="1" x14ac:dyDescent="0.2">
      <c r="A59" s="297" t="str">
        <f>+A18</f>
        <v>2.</v>
      </c>
      <c r="B59" s="346" t="s">
        <v>365</v>
      </c>
      <c r="C59" s="242" t="s">
        <v>365</v>
      </c>
      <c r="D59" s="1205" t="s">
        <v>365</v>
      </c>
      <c r="E59" s="1097"/>
      <c r="F59" s="346" t="s">
        <v>365</v>
      </c>
    </row>
    <row r="60" spans="1:6" ht="23.25" customHeight="1" x14ac:dyDescent="0.2">
      <c r="A60" s="297" t="str">
        <f t="shared" ref="A60:A61" si="3">+A19</f>
        <v>3.</v>
      </c>
      <c r="B60" s="346" t="s">
        <v>365</v>
      </c>
      <c r="C60" s="242" t="s">
        <v>365</v>
      </c>
      <c r="D60" s="1205" t="s">
        <v>365</v>
      </c>
      <c r="E60" s="1097"/>
      <c r="F60" s="346" t="s">
        <v>365</v>
      </c>
    </row>
    <row r="61" spans="1:6" ht="23.25" customHeight="1" x14ac:dyDescent="0.2">
      <c r="A61" s="297" t="str">
        <f t="shared" si="3"/>
        <v>4.</v>
      </c>
      <c r="B61" s="346" t="s">
        <v>365</v>
      </c>
      <c r="C61" s="242" t="s">
        <v>365</v>
      </c>
      <c r="D61" s="1205" t="s">
        <v>365</v>
      </c>
      <c r="E61" s="1097"/>
      <c r="F61" s="346" t="s">
        <v>365</v>
      </c>
    </row>
    <row r="62" spans="1:6" ht="23.25" customHeight="1" x14ac:dyDescent="0.2">
      <c r="A62" s="297" t="str">
        <f>+A21</f>
        <v>5.</v>
      </c>
      <c r="B62" s="346" t="s">
        <v>365</v>
      </c>
      <c r="C62" s="242" t="s">
        <v>365</v>
      </c>
      <c r="D62" s="1205" t="s">
        <v>365</v>
      </c>
      <c r="E62" s="1097"/>
      <c r="F62" s="346" t="s">
        <v>365</v>
      </c>
    </row>
    <row r="63" spans="1:6" ht="23.25" customHeight="1" thickBot="1" x14ac:dyDescent="0.25">
      <c r="A63" s="298" t="str">
        <f>+A22</f>
        <v>6.</v>
      </c>
      <c r="B63" s="346" t="s">
        <v>365</v>
      </c>
      <c r="C63" s="243" t="s">
        <v>365</v>
      </c>
      <c r="D63" s="1212" t="s">
        <v>365</v>
      </c>
      <c r="E63" s="1213"/>
      <c r="F63" s="346" t="s">
        <v>365</v>
      </c>
    </row>
    <row r="64" spans="1:6" ht="33.75" customHeight="1" x14ac:dyDescent="0.2">
      <c r="A64" s="83" t="s">
        <v>366</v>
      </c>
      <c r="B64" s="1203" t="s">
        <v>367</v>
      </c>
      <c r="C64" s="1157" t="s">
        <v>368</v>
      </c>
      <c r="D64" s="1203" t="s">
        <v>369</v>
      </c>
      <c r="E64" s="1203"/>
      <c r="F64" s="1203" t="s">
        <v>370</v>
      </c>
    </row>
    <row r="65" spans="1:6" ht="35.85" customHeight="1" thickBot="1" x14ac:dyDescent="0.25">
      <c r="A65" s="240" t="s">
        <v>359</v>
      </c>
      <c r="B65" s="1204"/>
      <c r="C65" s="1103"/>
      <c r="D65" s="1204"/>
      <c r="E65" s="1204"/>
      <c r="F65" s="1204"/>
    </row>
    <row r="66" spans="1:6" ht="26.25" customHeight="1" x14ac:dyDescent="0.2">
      <c r="A66" s="296" t="str">
        <f>+A25</f>
        <v>1.</v>
      </c>
      <c r="B66" s="350" t="s">
        <v>365</v>
      </c>
      <c r="C66" s="241" t="s">
        <v>52</v>
      </c>
      <c r="D66" s="1161" t="s">
        <v>52</v>
      </c>
      <c r="E66" s="1161"/>
      <c r="F66" s="351" t="s">
        <v>52</v>
      </c>
    </row>
    <row r="67" spans="1:6" ht="26.25" customHeight="1" x14ac:dyDescent="0.2">
      <c r="A67" s="297" t="str">
        <f>+A26</f>
        <v>2.</v>
      </c>
      <c r="B67" s="346" t="s">
        <v>365</v>
      </c>
      <c r="C67" s="242" t="s">
        <v>52</v>
      </c>
      <c r="D67" s="1162" t="s">
        <v>52</v>
      </c>
      <c r="E67" s="1162"/>
      <c r="F67" s="352" t="s">
        <v>52</v>
      </c>
    </row>
    <row r="68" spans="1:6" ht="26.25" customHeight="1" x14ac:dyDescent="0.2">
      <c r="A68" s="297" t="str">
        <f t="shared" ref="A68:A77" si="4">+A27</f>
        <v>3.</v>
      </c>
      <c r="B68" s="346" t="s">
        <v>365</v>
      </c>
      <c r="C68" s="242" t="s">
        <v>52</v>
      </c>
      <c r="D68" s="1162" t="s">
        <v>52</v>
      </c>
      <c r="E68" s="1162"/>
      <c r="F68" s="352" t="s">
        <v>52</v>
      </c>
    </row>
    <row r="69" spans="1:6" ht="26.25" customHeight="1" x14ac:dyDescent="0.2">
      <c r="A69" s="297" t="str">
        <f t="shared" si="4"/>
        <v>4.</v>
      </c>
      <c r="B69" s="346" t="s">
        <v>365</v>
      </c>
      <c r="C69" s="242" t="s">
        <v>52</v>
      </c>
      <c r="D69" s="1162" t="s">
        <v>52</v>
      </c>
      <c r="E69" s="1162"/>
      <c r="F69" s="352" t="s">
        <v>52</v>
      </c>
    </row>
    <row r="70" spans="1:6" ht="26.25" customHeight="1" x14ac:dyDescent="0.2">
      <c r="A70" s="297" t="str">
        <f t="shared" si="4"/>
        <v>5.</v>
      </c>
      <c r="B70" s="346" t="s">
        <v>365</v>
      </c>
      <c r="C70" s="242" t="s">
        <v>52</v>
      </c>
      <c r="D70" s="1162" t="s">
        <v>52</v>
      </c>
      <c r="E70" s="1162"/>
      <c r="F70" s="352" t="s">
        <v>52</v>
      </c>
    </row>
    <row r="71" spans="1:6" ht="26.25" customHeight="1" x14ac:dyDescent="0.2">
      <c r="A71" s="297" t="str">
        <f t="shared" si="4"/>
        <v>6.</v>
      </c>
      <c r="B71" s="346" t="s">
        <v>365</v>
      </c>
      <c r="C71" s="242" t="s">
        <v>52</v>
      </c>
      <c r="D71" s="1162" t="s">
        <v>52</v>
      </c>
      <c r="E71" s="1162"/>
      <c r="F71" s="352" t="s">
        <v>52</v>
      </c>
    </row>
    <row r="72" spans="1:6" ht="26.25" customHeight="1" x14ac:dyDescent="0.2">
      <c r="A72" s="297" t="str">
        <f t="shared" si="4"/>
        <v>7.</v>
      </c>
      <c r="B72" s="346" t="s">
        <v>365</v>
      </c>
      <c r="C72" s="242" t="s">
        <v>52</v>
      </c>
      <c r="D72" s="1162" t="s">
        <v>52</v>
      </c>
      <c r="E72" s="1162"/>
      <c r="F72" s="352" t="s">
        <v>52</v>
      </c>
    </row>
    <row r="73" spans="1:6" ht="26.25" customHeight="1" x14ac:dyDescent="0.2">
      <c r="A73" s="297" t="str">
        <f t="shared" si="4"/>
        <v>8.</v>
      </c>
      <c r="B73" s="346" t="s">
        <v>365</v>
      </c>
      <c r="C73" s="242" t="s">
        <v>52</v>
      </c>
      <c r="D73" s="1162" t="s">
        <v>52</v>
      </c>
      <c r="E73" s="1162"/>
      <c r="F73" s="352" t="s">
        <v>52</v>
      </c>
    </row>
    <row r="74" spans="1:6" ht="26.25" customHeight="1" x14ac:dyDescent="0.2">
      <c r="A74" s="297" t="str">
        <f t="shared" si="4"/>
        <v>9.</v>
      </c>
      <c r="B74" s="346" t="s">
        <v>365</v>
      </c>
      <c r="C74" s="242" t="s">
        <v>52</v>
      </c>
      <c r="D74" s="1162" t="s">
        <v>52</v>
      </c>
      <c r="E74" s="1162"/>
      <c r="F74" s="352" t="s">
        <v>52</v>
      </c>
    </row>
    <row r="75" spans="1:6" ht="26.25" customHeight="1" x14ac:dyDescent="0.2">
      <c r="A75" s="297" t="str">
        <f t="shared" si="4"/>
        <v>10.</v>
      </c>
      <c r="B75" s="346" t="s">
        <v>365</v>
      </c>
      <c r="C75" s="242" t="s">
        <v>52</v>
      </c>
      <c r="D75" s="1162" t="s">
        <v>52</v>
      </c>
      <c r="E75" s="1162"/>
      <c r="F75" s="352" t="s">
        <v>52</v>
      </c>
    </row>
    <row r="76" spans="1:6" ht="26.25" customHeight="1" x14ac:dyDescent="0.2">
      <c r="A76" s="297" t="str">
        <f t="shared" si="4"/>
        <v>11.</v>
      </c>
      <c r="B76" s="346" t="s">
        <v>365</v>
      </c>
      <c r="C76" s="242" t="s">
        <v>52</v>
      </c>
      <c r="D76" s="1162" t="s">
        <v>52</v>
      </c>
      <c r="E76" s="1162"/>
      <c r="F76" s="352" t="s">
        <v>52</v>
      </c>
    </row>
    <row r="77" spans="1:6" ht="26.25" customHeight="1" thickBot="1" x14ac:dyDescent="0.25">
      <c r="A77" s="297" t="str">
        <f t="shared" si="4"/>
        <v>12.</v>
      </c>
      <c r="B77" s="354" t="s">
        <v>365</v>
      </c>
      <c r="C77" s="243" t="s">
        <v>52</v>
      </c>
      <c r="D77" s="1087" t="s">
        <v>52</v>
      </c>
      <c r="E77" s="1087"/>
      <c r="F77" s="345" t="s">
        <v>52</v>
      </c>
    </row>
    <row r="78" spans="1:6" ht="33.75" customHeight="1" x14ac:dyDescent="0.2">
      <c r="A78" s="83" t="s">
        <v>371</v>
      </c>
      <c r="B78" s="1088" t="s">
        <v>372</v>
      </c>
      <c r="C78" s="1088" t="s">
        <v>373</v>
      </c>
      <c r="D78" s="1088"/>
      <c r="E78" s="1088"/>
      <c r="F78" s="1088"/>
    </row>
    <row r="79" spans="1:6" ht="30.75" customHeight="1" thickBot="1" x14ac:dyDescent="0.25">
      <c r="A79" s="240" t="s">
        <v>359</v>
      </c>
      <c r="B79" s="1089"/>
      <c r="C79" s="1089"/>
      <c r="D79" s="1089"/>
      <c r="E79" s="1089"/>
      <c r="F79" s="1089"/>
    </row>
    <row r="80" spans="1:6" ht="22.5" customHeight="1" x14ac:dyDescent="0.2">
      <c r="A80" s="296" t="str">
        <f>+A39</f>
        <v>1.</v>
      </c>
      <c r="B80" s="351" t="s">
        <v>365</v>
      </c>
      <c r="C80" s="351" t="s">
        <v>365</v>
      </c>
      <c r="D80" s="1206"/>
      <c r="E80" s="1207"/>
      <c r="F80" s="244"/>
    </row>
    <row r="81" spans="1:6" ht="22.5" customHeight="1" x14ac:dyDescent="0.2">
      <c r="A81" s="297" t="str">
        <f t="shared" ref="A81:A84" si="5">+A40</f>
        <v>2.</v>
      </c>
      <c r="B81" s="352" t="s">
        <v>365</v>
      </c>
      <c r="C81" s="352" t="s">
        <v>365</v>
      </c>
      <c r="D81" s="1208"/>
      <c r="E81" s="1209"/>
      <c r="F81" s="245"/>
    </row>
    <row r="82" spans="1:6" ht="22.5" customHeight="1" x14ac:dyDescent="0.2">
      <c r="A82" s="297" t="str">
        <f t="shared" si="5"/>
        <v>3.</v>
      </c>
      <c r="B82" s="352" t="s">
        <v>365</v>
      </c>
      <c r="C82" s="352" t="s">
        <v>365</v>
      </c>
      <c r="D82" s="1208"/>
      <c r="E82" s="1209"/>
      <c r="F82" s="245"/>
    </row>
    <row r="83" spans="1:6" ht="22.5" customHeight="1" x14ac:dyDescent="0.2">
      <c r="A83" s="297" t="str">
        <f t="shared" si="5"/>
        <v>4.</v>
      </c>
      <c r="B83" s="352" t="s">
        <v>365</v>
      </c>
      <c r="C83" s="352" t="s">
        <v>365</v>
      </c>
      <c r="D83" s="1208"/>
      <c r="E83" s="1209"/>
      <c r="F83" s="245"/>
    </row>
    <row r="84" spans="1:6" ht="22.5" customHeight="1" thickBot="1" x14ac:dyDescent="0.25">
      <c r="A84" s="298" t="str">
        <f t="shared" si="5"/>
        <v>5.</v>
      </c>
      <c r="B84" s="345" t="s">
        <v>365</v>
      </c>
      <c r="C84" s="345" t="s">
        <v>365</v>
      </c>
      <c r="D84" s="1210"/>
      <c r="E84" s="1211"/>
      <c r="F84" s="246"/>
    </row>
    <row r="85" spans="1:6" ht="15.75" thickBot="1" x14ac:dyDescent="0.25">
      <c r="A85" s="299"/>
      <c r="B85" s="299"/>
      <c r="C85" s="299"/>
      <c r="D85" s="299"/>
      <c r="E85" s="299"/>
      <c r="F85" s="299"/>
    </row>
    <row r="86" spans="1:6" s="365" customFormat="1" ht="18.75" customHeight="1" thickBot="1" x14ac:dyDescent="0.25">
      <c r="A86" s="1014" t="s">
        <v>374</v>
      </c>
      <c r="B86" s="1015"/>
      <c r="C86" s="1015"/>
      <c r="D86" s="1015"/>
      <c r="E86" s="1015"/>
      <c r="F86" s="1198"/>
    </row>
    <row r="87" spans="1:6" ht="15.75" thickBot="1" x14ac:dyDescent="0.25">
      <c r="A87" s="1195" t="s">
        <v>353</v>
      </c>
      <c r="B87" s="1196"/>
      <c r="C87" s="1196"/>
      <c r="D87" s="1196"/>
      <c r="E87" s="1196"/>
      <c r="F87" s="1199"/>
    </row>
    <row r="88" spans="1:6" ht="26.25" customHeight="1" x14ac:dyDescent="0.2">
      <c r="A88" s="82" t="s">
        <v>354</v>
      </c>
      <c r="B88" s="1216" t="s">
        <v>375</v>
      </c>
      <c r="C88" s="1079" t="s">
        <v>376</v>
      </c>
      <c r="D88" s="1080"/>
      <c r="E88" s="1083" t="s">
        <v>377</v>
      </c>
      <c r="F88" s="1084"/>
    </row>
    <row r="89" spans="1:6" ht="29.25" customHeight="1" thickBot="1" x14ac:dyDescent="0.25">
      <c r="A89" s="240" t="s">
        <v>359</v>
      </c>
      <c r="B89" s="1217"/>
      <c r="C89" s="1081"/>
      <c r="D89" s="1082"/>
      <c r="E89" s="1085"/>
      <c r="F89" s="1086"/>
    </row>
    <row r="90" spans="1:6" ht="24.75" customHeight="1" x14ac:dyDescent="0.2">
      <c r="A90" s="296" t="str">
        <f>+A11</f>
        <v>1. (Example: CMAQ)</v>
      </c>
      <c r="B90" s="300"/>
      <c r="C90" s="1065"/>
      <c r="D90" s="1066"/>
      <c r="E90" s="1065" t="s">
        <v>378</v>
      </c>
      <c r="F90" s="1066"/>
    </row>
    <row r="91" spans="1:6" ht="21" customHeight="1" x14ac:dyDescent="0.2">
      <c r="A91" s="297" t="str">
        <f t="shared" ref="A91:A93" si="6">+A12</f>
        <v>2.</v>
      </c>
      <c r="B91" s="301"/>
      <c r="C91" s="1067"/>
      <c r="D91" s="1068"/>
      <c r="E91" s="1067"/>
      <c r="F91" s="1068"/>
    </row>
    <row r="92" spans="1:6" ht="21" customHeight="1" x14ac:dyDescent="0.2">
      <c r="A92" s="297" t="str">
        <f t="shared" si="6"/>
        <v>3.</v>
      </c>
      <c r="B92" s="301"/>
      <c r="C92" s="1067"/>
      <c r="D92" s="1068"/>
      <c r="E92" s="1067"/>
      <c r="F92" s="1068"/>
    </row>
    <row r="93" spans="1:6" ht="21" customHeight="1" thickBot="1" x14ac:dyDescent="0.25">
      <c r="A93" s="298" t="str">
        <f t="shared" si="6"/>
        <v>4.</v>
      </c>
      <c r="B93" s="302"/>
      <c r="C93" s="1069"/>
      <c r="D93" s="1070"/>
      <c r="E93" s="1069"/>
      <c r="F93" s="1070"/>
    </row>
    <row r="94" spans="1:6" ht="28.5" customHeight="1" x14ac:dyDescent="0.2">
      <c r="A94" s="82" t="s">
        <v>360</v>
      </c>
      <c r="B94" s="1088" t="s">
        <v>375</v>
      </c>
      <c r="C94" s="1071" t="s">
        <v>376</v>
      </c>
      <c r="D94" s="1072"/>
      <c r="E94" s="1071" t="s">
        <v>377</v>
      </c>
      <c r="F94" s="1072"/>
    </row>
    <row r="95" spans="1:6" ht="29.25" customHeight="1" thickBot="1" x14ac:dyDescent="0.25">
      <c r="A95" s="240" t="s">
        <v>359</v>
      </c>
      <c r="B95" s="1089"/>
      <c r="C95" s="1073"/>
      <c r="D95" s="1074"/>
      <c r="E95" s="1073"/>
      <c r="F95" s="1074"/>
    </row>
    <row r="96" spans="1:6" ht="46.5" customHeight="1" x14ac:dyDescent="0.2">
      <c r="A96" s="296" t="str">
        <f>+A17</f>
        <v>1. (Example: State Transportation Fund)</v>
      </c>
      <c r="B96" s="300"/>
      <c r="C96" s="1065"/>
      <c r="D96" s="1066"/>
      <c r="E96" s="1065" t="s">
        <v>379</v>
      </c>
      <c r="F96" s="1066"/>
    </row>
    <row r="97" spans="1:6" ht="23.25" customHeight="1" x14ac:dyDescent="0.2">
      <c r="A97" s="297" t="str">
        <f t="shared" ref="A97:A101" si="7">+A18</f>
        <v>2.</v>
      </c>
      <c r="B97" s="301"/>
      <c r="C97" s="1067"/>
      <c r="D97" s="1068"/>
      <c r="E97" s="1067"/>
      <c r="F97" s="1068"/>
    </row>
    <row r="98" spans="1:6" ht="23.25" customHeight="1" x14ac:dyDescent="0.2">
      <c r="A98" s="297" t="str">
        <f t="shared" si="7"/>
        <v>3.</v>
      </c>
      <c r="B98" s="301"/>
      <c r="C98" s="1067"/>
      <c r="D98" s="1068"/>
      <c r="E98" s="1067"/>
      <c r="F98" s="1068"/>
    </row>
    <row r="99" spans="1:6" ht="23.25" customHeight="1" x14ac:dyDescent="0.2">
      <c r="A99" s="297" t="str">
        <f t="shared" si="7"/>
        <v>4.</v>
      </c>
      <c r="B99" s="301"/>
      <c r="C99" s="1067"/>
      <c r="D99" s="1068"/>
      <c r="E99" s="1067"/>
      <c r="F99" s="1068"/>
    </row>
    <row r="100" spans="1:6" ht="23.25" customHeight="1" x14ac:dyDescent="0.2">
      <c r="A100" s="297" t="str">
        <f t="shared" si="7"/>
        <v>5.</v>
      </c>
      <c r="B100" s="301"/>
      <c r="C100" s="1067"/>
      <c r="D100" s="1068"/>
      <c r="E100" s="1067"/>
      <c r="F100" s="1068"/>
    </row>
    <row r="101" spans="1:6" ht="23.25" customHeight="1" thickBot="1" x14ac:dyDescent="0.25">
      <c r="A101" s="298" t="str">
        <f t="shared" si="7"/>
        <v>6.</v>
      </c>
      <c r="B101" s="302"/>
      <c r="C101" s="1069"/>
      <c r="D101" s="1070"/>
      <c r="E101" s="1069"/>
      <c r="F101" s="1070"/>
    </row>
    <row r="102" spans="1:6" ht="30.75" customHeight="1" x14ac:dyDescent="0.2">
      <c r="A102" s="83" t="s">
        <v>366</v>
      </c>
      <c r="B102" s="1088" t="s">
        <v>375</v>
      </c>
      <c r="C102" s="1071" t="s">
        <v>376</v>
      </c>
      <c r="D102" s="1072"/>
      <c r="E102" s="1071" t="s">
        <v>377</v>
      </c>
      <c r="F102" s="1072"/>
    </row>
    <row r="103" spans="1:6" ht="27" customHeight="1" thickBot="1" x14ac:dyDescent="0.25">
      <c r="A103" s="240" t="s">
        <v>359</v>
      </c>
      <c r="B103" s="1089"/>
      <c r="C103" s="1073"/>
      <c r="D103" s="1074"/>
      <c r="E103" s="1073"/>
      <c r="F103" s="1074"/>
    </row>
    <row r="104" spans="1:6" ht="55.35" customHeight="1" x14ac:dyDescent="0.2">
      <c r="A104" s="303" t="str">
        <f>+A25</f>
        <v>1.</v>
      </c>
      <c r="B104" s="300"/>
      <c r="C104" s="1065"/>
      <c r="D104" s="1066"/>
      <c r="E104" s="1065" t="s">
        <v>380</v>
      </c>
      <c r="F104" s="1066"/>
    </row>
    <row r="105" spans="1:6" ht="26.25" customHeight="1" x14ac:dyDescent="0.2">
      <c r="A105" s="297" t="str">
        <f t="shared" ref="A105:A115" si="8">+A26</f>
        <v>2.</v>
      </c>
      <c r="B105" s="301"/>
      <c r="C105" s="1067"/>
      <c r="D105" s="1068"/>
      <c r="E105" s="1067"/>
      <c r="F105" s="1068"/>
    </row>
    <row r="106" spans="1:6" ht="26.25" customHeight="1" x14ac:dyDescent="0.2">
      <c r="A106" s="297" t="str">
        <f t="shared" si="8"/>
        <v>3.</v>
      </c>
      <c r="B106" s="301"/>
      <c r="C106" s="1067"/>
      <c r="D106" s="1068"/>
      <c r="E106" s="1067"/>
      <c r="F106" s="1068"/>
    </row>
    <row r="107" spans="1:6" ht="26.25" customHeight="1" x14ac:dyDescent="0.2">
      <c r="A107" s="297" t="str">
        <f t="shared" si="8"/>
        <v>4.</v>
      </c>
      <c r="B107" s="301"/>
      <c r="C107" s="1067"/>
      <c r="D107" s="1068"/>
      <c r="E107" s="1067"/>
      <c r="F107" s="1068"/>
    </row>
    <row r="108" spans="1:6" ht="26.25" customHeight="1" x14ac:dyDescent="0.2">
      <c r="A108" s="297" t="str">
        <f t="shared" si="8"/>
        <v>5.</v>
      </c>
      <c r="B108" s="301"/>
      <c r="C108" s="1067"/>
      <c r="D108" s="1068"/>
      <c r="E108" s="1067"/>
      <c r="F108" s="1068"/>
    </row>
    <row r="109" spans="1:6" ht="26.25" customHeight="1" x14ac:dyDescent="0.2">
      <c r="A109" s="297" t="str">
        <f t="shared" si="8"/>
        <v>6.</v>
      </c>
      <c r="B109" s="301"/>
      <c r="C109" s="1067"/>
      <c r="D109" s="1068"/>
      <c r="E109" s="1067"/>
      <c r="F109" s="1068"/>
    </row>
    <row r="110" spans="1:6" ht="26.25" customHeight="1" x14ac:dyDescent="0.2">
      <c r="A110" s="297" t="str">
        <f t="shared" si="8"/>
        <v>7.</v>
      </c>
      <c r="B110" s="301"/>
      <c r="C110" s="1067"/>
      <c r="D110" s="1068"/>
      <c r="E110" s="1067"/>
      <c r="F110" s="1068"/>
    </row>
    <row r="111" spans="1:6" ht="26.25" customHeight="1" x14ac:dyDescent="0.2">
      <c r="A111" s="297" t="str">
        <f t="shared" si="8"/>
        <v>8.</v>
      </c>
      <c r="B111" s="301"/>
      <c r="C111" s="1067"/>
      <c r="D111" s="1068"/>
      <c r="E111" s="1067"/>
      <c r="F111" s="1068"/>
    </row>
    <row r="112" spans="1:6" ht="26.25" customHeight="1" x14ac:dyDescent="0.2">
      <c r="A112" s="297" t="str">
        <f t="shared" si="8"/>
        <v>9.</v>
      </c>
      <c r="B112" s="301"/>
      <c r="C112" s="1067"/>
      <c r="D112" s="1068"/>
      <c r="E112" s="1067"/>
      <c r="F112" s="1068"/>
    </row>
    <row r="113" spans="1:6" ht="26.25" customHeight="1" x14ac:dyDescent="0.2">
      <c r="A113" s="297" t="str">
        <f t="shared" si="8"/>
        <v>10.</v>
      </c>
      <c r="B113" s="301"/>
      <c r="C113" s="1067"/>
      <c r="D113" s="1068"/>
      <c r="E113" s="1067"/>
      <c r="F113" s="1068"/>
    </row>
    <row r="114" spans="1:6" ht="26.25" customHeight="1" x14ac:dyDescent="0.2">
      <c r="A114" s="297" t="str">
        <f t="shared" si="8"/>
        <v>11.</v>
      </c>
      <c r="B114" s="301"/>
      <c r="C114" s="1067"/>
      <c r="D114" s="1068"/>
      <c r="E114" s="1067"/>
      <c r="F114" s="1068"/>
    </row>
    <row r="115" spans="1:6" ht="26.25" customHeight="1" thickBot="1" x14ac:dyDescent="0.25">
      <c r="A115" s="297" t="str">
        <f t="shared" si="8"/>
        <v>12.</v>
      </c>
      <c r="B115" s="302"/>
      <c r="C115" s="1069"/>
      <c r="D115" s="1070"/>
      <c r="E115" s="1069"/>
      <c r="F115" s="1070"/>
    </row>
    <row r="116" spans="1:6" ht="26.25" customHeight="1" x14ac:dyDescent="0.2">
      <c r="A116" s="83" t="s">
        <v>371</v>
      </c>
      <c r="B116" s="1088" t="s">
        <v>381</v>
      </c>
      <c r="C116" s="1071" t="s">
        <v>376</v>
      </c>
      <c r="D116" s="1072"/>
      <c r="E116" s="1071" t="s">
        <v>382</v>
      </c>
      <c r="F116" s="1072"/>
    </row>
    <row r="117" spans="1:6" ht="28.5" customHeight="1" thickBot="1" x14ac:dyDescent="0.25">
      <c r="A117" s="240" t="s">
        <v>359</v>
      </c>
      <c r="B117" s="1089"/>
      <c r="C117" s="1073"/>
      <c r="D117" s="1074"/>
      <c r="E117" s="1073"/>
      <c r="F117" s="1074"/>
    </row>
    <row r="118" spans="1:6" ht="30" customHeight="1" x14ac:dyDescent="0.2">
      <c r="A118" s="303" t="str">
        <f>+A39</f>
        <v>1.</v>
      </c>
      <c r="B118" s="300"/>
      <c r="C118" s="1065"/>
      <c r="D118" s="1066"/>
      <c r="E118" s="1065" t="s">
        <v>383</v>
      </c>
      <c r="F118" s="1066"/>
    </row>
    <row r="119" spans="1:6" ht="22.5" customHeight="1" x14ac:dyDescent="0.2">
      <c r="A119" s="297" t="str">
        <f t="shared" ref="A119:A122" si="9">+A40</f>
        <v>2.</v>
      </c>
      <c r="B119" s="301"/>
      <c r="C119" s="1067"/>
      <c r="D119" s="1068"/>
      <c r="E119" s="1067"/>
      <c r="F119" s="1068"/>
    </row>
    <row r="120" spans="1:6" ht="22.5" customHeight="1" x14ac:dyDescent="0.2">
      <c r="A120" s="297" t="str">
        <f t="shared" si="9"/>
        <v>3.</v>
      </c>
      <c r="B120" s="301"/>
      <c r="C120" s="1067"/>
      <c r="D120" s="1068"/>
      <c r="E120" s="1067"/>
      <c r="F120" s="1068"/>
    </row>
    <row r="121" spans="1:6" ht="22.5" customHeight="1" x14ac:dyDescent="0.2">
      <c r="A121" s="297" t="str">
        <f t="shared" si="9"/>
        <v>4.</v>
      </c>
      <c r="B121" s="301"/>
      <c r="C121" s="1067"/>
      <c r="D121" s="1068"/>
      <c r="E121" s="1067"/>
      <c r="F121" s="1068"/>
    </row>
    <row r="122" spans="1:6" ht="22.5" customHeight="1" thickBot="1" x14ac:dyDescent="0.25">
      <c r="A122" s="298" t="str">
        <f t="shared" si="9"/>
        <v>5.</v>
      </c>
      <c r="B122" s="302"/>
      <c r="C122" s="1069"/>
      <c r="D122" s="1070"/>
      <c r="E122" s="1069"/>
      <c r="F122" s="1070"/>
    </row>
    <row r="123" spans="1:6" ht="12" customHeight="1" x14ac:dyDescent="0.2">
      <c r="A123" s="391"/>
      <c r="B123" s="391"/>
      <c r="C123" s="391"/>
      <c r="D123" s="391"/>
      <c r="E123" s="391"/>
      <c r="F123" s="391"/>
    </row>
    <row r="124" spans="1:6" x14ac:dyDescent="0.2">
      <c r="A124" s="84" t="s">
        <v>384</v>
      </c>
      <c r="B124" s="299"/>
      <c r="C124" s="299"/>
      <c r="D124" s="299"/>
      <c r="E124" s="299"/>
      <c r="F124" s="299"/>
    </row>
    <row r="125" spans="1:6" ht="57" customHeight="1" x14ac:dyDescent="0.2">
      <c r="A125" s="1077" t="s">
        <v>385</v>
      </c>
      <c r="B125" s="1078"/>
      <c r="C125" s="1078"/>
      <c r="D125" s="1078"/>
      <c r="E125" s="1078"/>
      <c r="F125" s="1078"/>
    </row>
    <row r="126" spans="1:6" ht="53.1" customHeight="1" x14ac:dyDescent="0.2">
      <c r="A126" s="1077" t="s">
        <v>386</v>
      </c>
      <c r="B126" s="1078"/>
      <c r="C126" s="1078"/>
      <c r="D126" s="1078"/>
      <c r="E126" s="1078"/>
      <c r="F126" s="1078"/>
    </row>
    <row r="127" spans="1:6" ht="31.5" customHeight="1" x14ac:dyDescent="0.2">
      <c r="A127" s="1062" t="s">
        <v>387</v>
      </c>
      <c r="B127" s="1075"/>
      <c r="C127" s="1075"/>
      <c r="D127" s="1075"/>
      <c r="E127" s="1075"/>
      <c r="F127" s="1075"/>
    </row>
    <row r="128" spans="1:6" ht="37.5" customHeight="1" x14ac:dyDescent="0.2">
      <c r="A128" s="1061" t="s">
        <v>388</v>
      </c>
      <c r="B128" s="1062"/>
      <c r="C128" s="1062"/>
      <c r="D128" s="1062"/>
      <c r="E128" s="1062"/>
      <c r="F128" s="1062"/>
    </row>
    <row r="129" spans="1:6" ht="18" customHeight="1" x14ac:dyDescent="0.2">
      <c r="A129" s="1062" t="s">
        <v>389</v>
      </c>
      <c r="B129" s="1062"/>
      <c r="C129" s="1062"/>
      <c r="D129" s="1062"/>
      <c r="E129" s="1062"/>
      <c r="F129" s="1062"/>
    </row>
    <row r="130" spans="1:6" ht="10.5" customHeight="1" thickBot="1" x14ac:dyDescent="0.25">
      <c r="A130" s="1076"/>
      <c r="B130" s="1076"/>
      <c r="C130" s="1076"/>
      <c r="D130" s="1076"/>
      <c r="E130" s="1076"/>
      <c r="F130" s="1076"/>
    </row>
    <row r="131" spans="1:6" s="365" customFormat="1" ht="18.75" thickBot="1" x14ac:dyDescent="0.25">
      <c r="A131" s="1014" t="s">
        <v>390</v>
      </c>
      <c r="B131" s="1015"/>
      <c r="C131" s="1015"/>
      <c r="D131" s="1015"/>
      <c r="E131" s="1015"/>
      <c r="F131" s="1016"/>
    </row>
    <row r="132" spans="1:6" s="392" customFormat="1" ht="15.75" customHeight="1" x14ac:dyDescent="0.2">
      <c r="A132" s="1130" t="s">
        <v>391</v>
      </c>
      <c r="B132" s="1131"/>
      <c r="C132" s="1131"/>
      <c r="D132" s="1131"/>
      <c r="E132" s="1131"/>
      <c r="F132" s="1132"/>
    </row>
    <row r="133" spans="1:6" s="392" customFormat="1" ht="29.1" customHeight="1" thickBot="1" x14ac:dyDescent="0.25">
      <c r="A133" s="1133" t="s">
        <v>392</v>
      </c>
      <c r="B133" s="1134"/>
      <c r="C133" s="1134"/>
      <c r="D133" s="1134"/>
      <c r="E133" s="1134"/>
      <c r="F133" s="1135"/>
    </row>
    <row r="134" spans="1:6" s="392" customFormat="1" ht="45" customHeight="1" thickBot="1" x14ac:dyDescent="0.25">
      <c r="A134" s="85" t="s">
        <v>393</v>
      </c>
      <c r="B134" s="247" t="s">
        <v>394</v>
      </c>
      <c r="C134" s="341" t="s">
        <v>395</v>
      </c>
      <c r="D134" s="1063" t="s">
        <v>396</v>
      </c>
      <c r="E134" s="1064"/>
      <c r="F134" s="341" t="s">
        <v>397</v>
      </c>
    </row>
    <row r="135" spans="1:6" s="392" customFormat="1" ht="19.5" customHeight="1" x14ac:dyDescent="0.2">
      <c r="A135" s="304"/>
      <c r="B135" s="305"/>
      <c r="C135" s="342"/>
      <c r="D135" s="1065"/>
      <c r="E135" s="1066"/>
      <c r="F135" s="342"/>
    </row>
    <row r="136" spans="1:6" s="392" customFormat="1" ht="19.5" customHeight="1" x14ac:dyDescent="0.2">
      <c r="A136" s="306"/>
      <c r="B136" s="307"/>
      <c r="C136" s="343"/>
      <c r="D136" s="1067"/>
      <c r="E136" s="1068"/>
      <c r="F136" s="343"/>
    </row>
    <row r="137" spans="1:6" s="392" customFormat="1" ht="19.5" customHeight="1" thickBot="1" x14ac:dyDescent="0.25">
      <c r="A137" s="308"/>
      <c r="B137" s="309"/>
      <c r="C137" s="344"/>
      <c r="D137" s="1069"/>
      <c r="E137" s="1070"/>
      <c r="F137" s="344"/>
    </row>
    <row r="138" spans="1:6" s="392" customFormat="1" ht="18.75" customHeight="1" thickBot="1" x14ac:dyDescent="0.25">
      <c r="A138" s="1098"/>
      <c r="B138" s="1099"/>
      <c r="C138" s="1099"/>
      <c r="D138" s="1099"/>
      <c r="E138" s="1099"/>
      <c r="F138" s="1100"/>
    </row>
    <row r="139" spans="1:6" s="392" customFormat="1" ht="18.75" customHeight="1" thickBot="1" x14ac:dyDescent="0.25">
      <c r="A139" s="1063" t="s">
        <v>398</v>
      </c>
      <c r="B139" s="1113"/>
      <c r="C139" s="1113"/>
      <c r="D139" s="1113"/>
      <c r="E139" s="1113"/>
      <c r="F139" s="1064"/>
    </row>
    <row r="140" spans="1:6" s="392" customFormat="1" ht="46.35" customHeight="1" thickBot="1" x14ac:dyDescent="0.25">
      <c r="A140" s="86" t="s">
        <v>399</v>
      </c>
      <c r="B140" s="310"/>
      <c r="C140" s="1128" t="s">
        <v>400</v>
      </c>
      <c r="D140" s="1129"/>
      <c r="E140" s="1136"/>
      <c r="F140" s="1137"/>
    </row>
    <row r="141" spans="1:6" s="392" customFormat="1" ht="59.1" customHeight="1" thickBot="1" x14ac:dyDescent="0.25">
      <c r="A141" s="87" t="s">
        <v>401</v>
      </c>
      <c r="B141" s="457" t="s">
        <v>402</v>
      </c>
      <c r="C141" s="341" t="s">
        <v>403</v>
      </c>
      <c r="D141" s="341" t="s">
        <v>404</v>
      </c>
      <c r="E141" s="1103" t="s">
        <v>405</v>
      </c>
      <c r="F141" s="1104"/>
    </row>
    <row r="142" spans="1:6" s="392" customFormat="1" ht="18.75" customHeight="1" x14ac:dyDescent="0.2">
      <c r="A142" s="467" t="s">
        <v>406</v>
      </c>
      <c r="B142" s="349"/>
      <c r="C142" s="396" t="s">
        <v>112</v>
      </c>
      <c r="D142" s="396" t="s">
        <v>112</v>
      </c>
      <c r="E142" s="1105" t="s">
        <v>112</v>
      </c>
      <c r="F142" s="1106"/>
    </row>
    <row r="143" spans="1:6" s="392" customFormat="1" ht="18.75" customHeight="1" x14ac:dyDescent="0.2">
      <c r="A143" s="237" t="s">
        <v>407</v>
      </c>
      <c r="B143" s="440"/>
      <c r="C143" s="439"/>
      <c r="D143" s="439"/>
      <c r="E143" s="1107"/>
      <c r="F143" s="1108"/>
    </row>
    <row r="144" spans="1:6" s="392" customFormat="1" ht="18.75" customHeight="1" x14ac:dyDescent="0.2">
      <c r="A144" s="237" t="s">
        <v>408</v>
      </c>
      <c r="B144" s="440"/>
      <c r="C144" s="439"/>
      <c r="D144" s="439"/>
      <c r="E144" s="1107"/>
      <c r="F144" s="1108"/>
    </row>
    <row r="145" spans="1:6" s="392" customFormat="1" ht="18.75" customHeight="1" x14ac:dyDescent="0.2">
      <c r="A145" s="237" t="s">
        <v>409</v>
      </c>
      <c r="B145" s="440"/>
      <c r="C145" s="439"/>
      <c r="D145" s="439"/>
      <c r="E145" s="1107"/>
      <c r="F145" s="1108"/>
    </row>
    <row r="146" spans="1:6" s="392" customFormat="1" ht="18.75" customHeight="1" x14ac:dyDescent="0.2">
      <c r="A146" s="237" t="s">
        <v>410</v>
      </c>
      <c r="B146" s="440"/>
      <c r="C146" s="439"/>
      <c r="D146" s="439"/>
      <c r="E146" s="1107"/>
      <c r="F146" s="1108"/>
    </row>
    <row r="147" spans="1:6" s="392" customFormat="1" ht="18.75" customHeight="1" x14ac:dyDescent="0.2">
      <c r="A147" s="237" t="s">
        <v>411</v>
      </c>
      <c r="B147" s="440"/>
      <c r="C147" s="439"/>
      <c r="D147" s="439"/>
      <c r="E147" s="1107"/>
      <c r="F147" s="1108"/>
    </row>
    <row r="148" spans="1:6" s="392" customFormat="1" ht="18.75" customHeight="1" x14ac:dyDescent="0.2">
      <c r="A148" s="237" t="s">
        <v>412</v>
      </c>
      <c r="B148" s="440"/>
      <c r="C148" s="439"/>
      <c r="D148" s="439"/>
      <c r="E148" s="1107"/>
      <c r="F148" s="1108"/>
    </row>
    <row r="149" spans="1:6" s="392" customFormat="1" ht="18.75" customHeight="1" x14ac:dyDescent="0.2">
      <c r="A149" s="441" t="s">
        <v>413</v>
      </c>
      <c r="B149" s="311"/>
      <c r="C149" s="312"/>
      <c r="D149" s="439"/>
      <c r="E149" s="1107"/>
      <c r="F149" s="1108"/>
    </row>
    <row r="150" spans="1:6" s="392" customFormat="1" ht="18.75" customHeight="1" thickBot="1" x14ac:dyDescent="0.25">
      <c r="A150" s="442" t="s">
        <v>414</v>
      </c>
      <c r="B150" s="313"/>
      <c r="C150" s="314"/>
      <c r="D150" s="312"/>
      <c r="E150" s="1116"/>
      <c r="F150" s="1117"/>
    </row>
    <row r="151" spans="1:6" s="392" customFormat="1" ht="14.25" thickTop="1" thickBot="1" x14ac:dyDescent="0.25">
      <c r="A151" s="268" t="s">
        <v>415</v>
      </c>
      <c r="B151" s="315">
        <f>SUM(B142:B150)</f>
        <v>0</v>
      </c>
      <c r="C151" s="348"/>
      <c r="D151" s="397"/>
      <c r="E151" s="1114"/>
      <c r="F151" s="1115"/>
    </row>
    <row r="152" spans="1:6" s="392" customFormat="1" ht="18.75" customHeight="1" thickBot="1" x14ac:dyDescent="0.25">
      <c r="A152" s="1098"/>
      <c r="B152" s="1099"/>
      <c r="C152" s="1099"/>
      <c r="D152" s="1099"/>
      <c r="E152" s="1099"/>
      <c r="F152" s="1100"/>
    </row>
    <row r="153" spans="1:6" s="392" customFormat="1" ht="21.75" customHeight="1" thickBot="1" x14ac:dyDescent="0.25">
      <c r="A153" s="1063" t="s">
        <v>416</v>
      </c>
      <c r="B153" s="1113"/>
      <c r="C153" s="1113"/>
      <c r="D153" s="1113"/>
      <c r="E153" s="1113"/>
      <c r="F153" s="1064"/>
    </row>
    <row r="154" spans="1:6" s="392" customFormat="1" ht="12.75" customHeight="1" x14ac:dyDescent="0.2">
      <c r="A154" s="347" t="s">
        <v>417</v>
      </c>
      <c r="B154" s="1088" t="s">
        <v>418</v>
      </c>
      <c r="C154" s="1109" t="s">
        <v>419</v>
      </c>
      <c r="D154" s="1110"/>
      <c r="E154" s="1101" t="s">
        <v>420</v>
      </c>
      <c r="F154" s="1072"/>
    </row>
    <row r="155" spans="1:6" s="392" customFormat="1" ht="42" customHeight="1" thickBot="1" x14ac:dyDescent="0.25">
      <c r="A155" s="316" t="s">
        <v>421</v>
      </c>
      <c r="B155" s="1089"/>
      <c r="C155" s="1111"/>
      <c r="D155" s="1112"/>
      <c r="E155" s="1102"/>
      <c r="F155" s="1074"/>
    </row>
    <row r="156" spans="1:6" s="392" customFormat="1" ht="21" customHeight="1" x14ac:dyDescent="0.2">
      <c r="A156" s="332" t="s">
        <v>422</v>
      </c>
      <c r="B156" s="249"/>
      <c r="C156" s="1090" t="s">
        <v>422</v>
      </c>
      <c r="D156" s="1091"/>
      <c r="E156" s="1094"/>
      <c r="F156" s="1095"/>
    </row>
    <row r="157" spans="1:6" s="392" customFormat="1" ht="21" customHeight="1" x14ac:dyDescent="0.2">
      <c r="A157" s="234" t="s">
        <v>423</v>
      </c>
      <c r="B157" s="352"/>
      <c r="C157" s="1092" t="s">
        <v>423</v>
      </c>
      <c r="D157" s="1093"/>
      <c r="E157" s="1096"/>
      <c r="F157" s="1097"/>
    </row>
    <row r="158" spans="1:6" s="392" customFormat="1" ht="21" customHeight="1" x14ac:dyDescent="0.2">
      <c r="A158" s="235" t="s">
        <v>424</v>
      </c>
      <c r="B158" s="352"/>
      <c r="C158" s="1092" t="s">
        <v>425</v>
      </c>
      <c r="D158" s="1093"/>
      <c r="E158" s="1096"/>
      <c r="F158" s="1097"/>
    </row>
    <row r="159" spans="1:6" s="392" customFormat="1" ht="21" customHeight="1" x14ac:dyDescent="0.2">
      <c r="A159" s="234" t="s">
        <v>426</v>
      </c>
      <c r="B159" s="317"/>
      <c r="C159" s="1092" t="s">
        <v>426</v>
      </c>
      <c r="D159" s="1093"/>
      <c r="E159" s="1120"/>
      <c r="F159" s="1121"/>
    </row>
    <row r="160" spans="1:6" s="392" customFormat="1" ht="21" customHeight="1" x14ac:dyDescent="0.2">
      <c r="A160" s="234" t="s">
        <v>427</v>
      </c>
      <c r="B160" s="352"/>
      <c r="C160" s="1092"/>
      <c r="D160" s="1093"/>
      <c r="E160" s="1124"/>
      <c r="F160" s="1125"/>
    </row>
    <row r="161" spans="1:9" s="392" customFormat="1" ht="21" customHeight="1" x14ac:dyDescent="0.2">
      <c r="A161" s="234" t="s">
        <v>428</v>
      </c>
      <c r="B161" s="352"/>
      <c r="C161" s="1092"/>
      <c r="D161" s="1093"/>
      <c r="E161" s="1124"/>
      <c r="F161" s="1125"/>
      <c r="G161" s="299"/>
      <c r="H161" s="299"/>
      <c r="I161" s="393"/>
    </row>
    <row r="162" spans="1:9" s="392" customFormat="1" ht="21" customHeight="1" x14ac:dyDescent="0.2">
      <c r="A162" s="234" t="s">
        <v>429</v>
      </c>
      <c r="B162" s="318"/>
      <c r="C162" s="1092" t="s">
        <v>430</v>
      </c>
      <c r="D162" s="1093"/>
      <c r="E162" s="1126"/>
      <c r="F162" s="1127"/>
      <c r="G162" s="299"/>
      <c r="H162" s="299"/>
      <c r="I162" s="299"/>
    </row>
    <row r="163" spans="1:9" s="392" customFormat="1" ht="21" customHeight="1" thickBot="1" x14ac:dyDescent="0.25">
      <c r="A163" s="236" t="s">
        <v>431</v>
      </c>
      <c r="B163" s="319"/>
      <c r="C163" s="1118" t="s">
        <v>432</v>
      </c>
      <c r="D163" s="1119"/>
      <c r="E163" s="1122"/>
      <c r="F163" s="1123"/>
      <c r="G163" s="299"/>
      <c r="H163" s="299"/>
      <c r="I163" s="299"/>
    </row>
    <row r="164" spans="1:9" s="392" customFormat="1" ht="13.5" customHeight="1" x14ac:dyDescent="0.2">
      <c r="A164" s="238"/>
      <c r="B164" s="394"/>
      <c r="C164" s="239"/>
      <c r="D164" s="239"/>
      <c r="E164" s="394"/>
      <c r="F164" s="394"/>
      <c r="G164" s="299"/>
      <c r="H164" s="299"/>
      <c r="I164" s="299"/>
    </row>
    <row r="165" spans="1:9" x14ac:dyDescent="0.2">
      <c r="A165" s="395"/>
    </row>
  </sheetData>
  <sheetProtection algorithmName="SHA-512" hashValue="0ApPvOcsLZbR36t11nqQZClY1ZgD1fv+Plhv0wb/KXlOrTJ5bVJd4qi7nsibGkTpTOPY+r8frt6eXtjbzxCaNw==" saltValue="h93BSWudf9YmFx9G8ssuEQ==" spinCount="100000" sheet="1" formatCells="0" formatColumns="0" formatRows="0" insertColumns="0" insertRows="0" insertHyperlinks="0" selectLockedCells="1"/>
  <customSheetViews>
    <customSheetView guid="{AB5399CE-BEB7-40AA-A66C-46449E135DF8}" scale="93" showGridLines="0" topLeftCell="A84">
      <selection activeCell="E4" sqref="E4:F4"/>
      <rowBreaks count="2" manualBreakCount="2">
        <brk id="34" max="5" man="1"/>
        <brk id="65" max="16383" man="1"/>
      </rowBreaks>
      <pageMargins left="0" right="0" top="0" bottom="0" header="0" footer="0"/>
      <printOptions horizontalCentered="1"/>
      <pageSetup scale="77" fitToHeight="3" orientation="landscape" r:id="rId1"/>
      <headerFooter alignWithMargins="0"/>
    </customSheetView>
  </customSheetViews>
  <mergeCells count="254">
    <mergeCell ref="A138:F138"/>
    <mergeCell ref="C78:C79"/>
    <mergeCell ref="D78:E79"/>
    <mergeCell ref="F78:F79"/>
    <mergeCell ref="A42:B42"/>
    <mergeCell ref="A19:B19"/>
    <mergeCell ref="A20:B20"/>
    <mergeCell ref="A27:B27"/>
    <mergeCell ref="A28:B28"/>
    <mergeCell ref="A49:F49"/>
    <mergeCell ref="D42:E42"/>
    <mergeCell ref="A39:B39"/>
    <mergeCell ref="B56:B57"/>
    <mergeCell ref="C56:C57"/>
    <mergeCell ref="C64:C65"/>
    <mergeCell ref="A45:C45"/>
    <mergeCell ref="B50:B51"/>
    <mergeCell ref="D54:E54"/>
    <mergeCell ref="D55:E55"/>
    <mergeCell ref="B64:B65"/>
    <mergeCell ref="D60:E60"/>
    <mergeCell ref="D61:E61"/>
    <mergeCell ref="D62:E62"/>
    <mergeCell ref="B88:B89"/>
    <mergeCell ref="A86:F86"/>
    <mergeCell ref="A87:F87"/>
    <mergeCell ref="D66:E66"/>
    <mergeCell ref="D67:E67"/>
    <mergeCell ref="A44:F44"/>
    <mergeCell ref="F64:F65"/>
    <mergeCell ref="D72:E72"/>
    <mergeCell ref="D73:E73"/>
    <mergeCell ref="D74:E74"/>
    <mergeCell ref="D75:E75"/>
    <mergeCell ref="D76:E76"/>
    <mergeCell ref="D59:E59"/>
    <mergeCell ref="D68:E68"/>
    <mergeCell ref="D69:E69"/>
    <mergeCell ref="D70:E70"/>
    <mergeCell ref="D71:E71"/>
    <mergeCell ref="D80:E80"/>
    <mergeCell ref="D81:E81"/>
    <mergeCell ref="D82:E82"/>
    <mergeCell ref="D83:E83"/>
    <mergeCell ref="D84:E84"/>
    <mergeCell ref="D63:E63"/>
    <mergeCell ref="D64:E65"/>
    <mergeCell ref="D50:E51"/>
    <mergeCell ref="A25:B25"/>
    <mergeCell ref="F50:F51"/>
    <mergeCell ref="A29:B29"/>
    <mergeCell ref="A33:B33"/>
    <mergeCell ref="A37:B37"/>
    <mergeCell ref="A38:B38"/>
    <mergeCell ref="A8:F8"/>
    <mergeCell ref="A9:B9"/>
    <mergeCell ref="A48:F48"/>
    <mergeCell ref="A47:F47"/>
    <mergeCell ref="D39:E39"/>
    <mergeCell ref="D9:E10"/>
    <mergeCell ref="A35:B35"/>
    <mergeCell ref="A34:B34"/>
    <mergeCell ref="A40:B40"/>
    <mergeCell ref="A41:B41"/>
    <mergeCell ref="F37:F38"/>
    <mergeCell ref="A43:B43"/>
    <mergeCell ref="D33:E33"/>
    <mergeCell ref="A46:C46"/>
    <mergeCell ref="D46:E46"/>
    <mergeCell ref="D43:E43"/>
    <mergeCell ref="C37:C38"/>
    <mergeCell ref="C6:D6"/>
    <mergeCell ref="E6:F6"/>
    <mergeCell ref="A7:D7"/>
    <mergeCell ref="E7:F7"/>
    <mergeCell ref="A13:B13"/>
    <mergeCell ref="D13:E13"/>
    <mergeCell ref="A14:B14"/>
    <mergeCell ref="D14:E14"/>
    <mergeCell ref="F9:F10"/>
    <mergeCell ref="A11:B11"/>
    <mergeCell ref="D11:E11"/>
    <mergeCell ref="A1:F1"/>
    <mergeCell ref="B2:F2"/>
    <mergeCell ref="A36:B36"/>
    <mergeCell ref="C23:C24"/>
    <mergeCell ref="D23:E24"/>
    <mergeCell ref="F23:F24"/>
    <mergeCell ref="A21:B21"/>
    <mergeCell ref="D21:E21"/>
    <mergeCell ref="A22:B22"/>
    <mergeCell ref="D22:E22"/>
    <mergeCell ref="A23:B23"/>
    <mergeCell ref="A24:B24"/>
    <mergeCell ref="D25:E25"/>
    <mergeCell ref="D26:E26"/>
    <mergeCell ref="D35:E35"/>
    <mergeCell ref="A30:B30"/>
    <mergeCell ref="A31:B31"/>
    <mergeCell ref="A32:B32"/>
    <mergeCell ref="C4:D4"/>
    <mergeCell ref="C9:C10"/>
    <mergeCell ref="E4:F4"/>
    <mergeCell ref="D19:E19"/>
    <mergeCell ref="D20:E20"/>
    <mergeCell ref="A3:F3"/>
    <mergeCell ref="D56:E57"/>
    <mergeCell ref="D58:E58"/>
    <mergeCell ref="C50:C51"/>
    <mergeCell ref="F56:F57"/>
    <mergeCell ref="D27:E27"/>
    <mergeCell ref="D28:E28"/>
    <mergeCell ref="D29:E29"/>
    <mergeCell ref="D30:E30"/>
    <mergeCell ref="D31:E31"/>
    <mergeCell ref="D32:E32"/>
    <mergeCell ref="D34:E34"/>
    <mergeCell ref="D40:E40"/>
    <mergeCell ref="D52:E52"/>
    <mergeCell ref="D53:E53"/>
    <mergeCell ref="C140:D140"/>
    <mergeCell ref="A132:F132"/>
    <mergeCell ref="A133:F133"/>
    <mergeCell ref="A139:F139"/>
    <mergeCell ref="E140:F140"/>
    <mergeCell ref="D41:E41"/>
    <mergeCell ref="C5:D5"/>
    <mergeCell ref="E5:F5"/>
    <mergeCell ref="F15:F16"/>
    <mergeCell ref="A10:B10"/>
    <mergeCell ref="C15:C16"/>
    <mergeCell ref="D15:E16"/>
    <mergeCell ref="A26:B26"/>
    <mergeCell ref="A12:B12"/>
    <mergeCell ref="D12:E12"/>
    <mergeCell ref="A17:B17"/>
    <mergeCell ref="D17:E17"/>
    <mergeCell ref="A18:B18"/>
    <mergeCell ref="D18:E18"/>
    <mergeCell ref="A15:B15"/>
    <mergeCell ref="A16:B16"/>
    <mergeCell ref="D37:E38"/>
    <mergeCell ref="D36:E36"/>
    <mergeCell ref="D45:E45"/>
    <mergeCell ref="C160:D160"/>
    <mergeCell ref="C161:D161"/>
    <mergeCell ref="C162:D162"/>
    <mergeCell ref="C163:D163"/>
    <mergeCell ref="C158:D158"/>
    <mergeCell ref="C159:D159"/>
    <mergeCell ref="E159:F159"/>
    <mergeCell ref="E163:F163"/>
    <mergeCell ref="E160:F160"/>
    <mergeCell ref="E161:F161"/>
    <mergeCell ref="E162:F162"/>
    <mergeCell ref="E158:F158"/>
    <mergeCell ref="C156:D156"/>
    <mergeCell ref="C157:D157"/>
    <mergeCell ref="E156:F156"/>
    <mergeCell ref="E157:F157"/>
    <mergeCell ref="A152:F152"/>
    <mergeCell ref="E154:F155"/>
    <mergeCell ref="B154:B155"/>
    <mergeCell ref="E141:F141"/>
    <mergeCell ref="E142:F142"/>
    <mergeCell ref="E143:F143"/>
    <mergeCell ref="C154:D155"/>
    <mergeCell ref="A153:F153"/>
    <mergeCell ref="E151:F151"/>
    <mergeCell ref="E144:F144"/>
    <mergeCell ref="E145:F145"/>
    <mergeCell ref="E146:F146"/>
    <mergeCell ref="E147:F147"/>
    <mergeCell ref="E148:F148"/>
    <mergeCell ref="E150:F150"/>
    <mergeCell ref="E149:F149"/>
    <mergeCell ref="D77:E77"/>
    <mergeCell ref="B78:B79"/>
    <mergeCell ref="B94:B95"/>
    <mergeCell ref="B102:B103"/>
    <mergeCell ref="B116:B117"/>
    <mergeCell ref="C108:D108"/>
    <mergeCell ref="C109:D109"/>
    <mergeCell ref="C110:D110"/>
    <mergeCell ref="C111:D111"/>
    <mergeCell ref="C112:D112"/>
    <mergeCell ref="C113:D113"/>
    <mergeCell ref="C114:D114"/>
    <mergeCell ref="C115:D115"/>
    <mergeCell ref="C116:D117"/>
    <mergeCell ref="C98:D98"/>
    <mergeCell ref="C99:D99"/>
    <mergeCell ref="C100:D100"/>
    <mergeCell ref="C101:D101"/>
    <mergeCell ref="C102:D103"/>
    <mergeCell ref="C104:D104"/>
    <mergeCell ref="E100:F100"/>
    <mergeCell ref="E101:F101"/>
    <mergeCell ref="E94:F95"/>
    <mergeCell ref="E90:F90"/>
    <mergeCell ref="E91:F91"/>
    <mergeCell ref="E92:F92"/>
    <mergeCell ref="E93:F93"/>
    <mergeCell ref="E96:F96"/>
    <mergeCell ref="E97:F97"/>
    <mergeCell ref="E98:F98"/>
    <mergeCell ref="E99:F99"/>
    <mergeCell ref="C88:D89"/>
    <mergeCell ref="E88:F89"/>
    <mergeCell ref="C90:D90"/>
    <mergeCell ref="C91:D91"/>
    <mergeCell ref="C92:D92"/>
    <mergeCell ref="C93:D93"/>
    <mergeCell ref="C94:D95"/>
    <mergeCell ref="C96:D96"/>
    <mergeCell ref="C97:D97"/>
    <mergeCell ref="E112:F112"/>
    <mergeCell ref="E113:F113"/>
    <mergeCell ref="E114:F114"/>
    <mergeCell ref="E115:F115"/>
    <mergeCell ref="E119:F119"/>
    <mergeCell ref="E120:F120"/>
    <mergeCell ref="C105:D105"/>
    <mergeCell ref="C106:D106"/>
    <mergeCell ref="C107:D107"/>
    <mergeCell ref="C118:D118"/>
    <mergeCell ref="C119:D119"/>
    <mergeCell ref="C120:D120"/>
    <mergeCell ref="E118:F118"/>
    <mergeCell ref="E102:F103"/>
    <mergeCell ref="E104:F104"/>
    <mergeCell ref="E105:F105"/>
    <mergeCell ref="E106:F106"/>
    <mergeCell ref="E107:F107"/>
    <mergeCell ref="E108:F108"/>
    <mergeCell ref="E109:F109"/>
    <mergeCell ref="E110:F110"/>
    <mergeCell ref="E111:F111"/>
    <mergeCell ref="A128:F128"/>
    <mergeCell ref="A129:F129"/>
    <mergeCell ref="D134:E134"/>
    <mergeCell ref="D135:E135"/>
    <mergeCell ref="D136:E136"/>
    <mergeCell ref="D137:E137"/>
    <mergeCell ref="E121:F121"/>
    <mergeCell ref="E122:F122"/>
    <mergeCell ref="E116:F117"/>
    <mergeCell ref="C121:D121"/>
    <mergeCell ref="C122:D122"/>
    <mergeCell ref="A127:F127"/>
    <mergeCell ref="A131:F131"/>
    <mergeCell ref="A130:F130"/>
    <mergeCell ref="A125:F125"/>
    <mergeCell ref="A126:F126"/>
  </mergeCells>
  <phoneticPr fontId="0" type="noConversion"/>
  <dataValidations count="9">
    <dataValidation type="list" allowBlank="1" showInputMessage="1" showErrorMessage="1" sqref="E143:E150 F143:F148 F150" xr:uid="{00000000-0002-0000-0500-000000000000}">
      <formula1>"New,Existing"</formula1>
    </dataValidation>
    <dataValidation type="list" allowBlank="1" showInputMessage="1" showErrorMessage="1" sqref="B52:C55 F66:F77" xr:uid="{00000000-0002-0000-0500-000002000000}">
      <formula1>"(Select…),Yes,No"</formula1>
    </dataValidation>
    <dataValidation type="list" allowBlank="1" showInputMessage="1" showErrorMessage="1" sqref="B80:C84" xr:uid="{00000000-0002-0000-0500-000003000000}">
      <formula1>"(Select….),Yes,No,Not applicable"</formula1>
    </dataValidation>
    <dataValidation type="list" allowBlank="1" showInputMessage="1" showErrorMessage="1" sqref="B66:B77 B58:F63" xr:uid="{00000000-0002-0000-0500-000004000000}">
      <formula1>"(Select….),Yes,No"</formula1>
    </dataValidation>
    <dataValidation type="list" allowBlank="1" showInputMessage="1" showErrorMessage="1" sqref="C58:C63" xr:uid="{00000000-0002-0000-0500-000005000000}">
      <formula1>"(Select….),Y-Already Appropriated,Y-Appropriation Needed,N-Not Appropriated"</formula1>
    </dataValidation>
    <dataValidation type="list" allowBlank="1" showInputMessage="1" showErrorMessage="1" sqref="D58:D63" xr:uid="{00000000-0002-0000-0500-000006000000}">
      <formula1>"(Select….),Y-Already Awarded,Y-Need to Apply, N-Not Awarded"</formula1>
    </dataValidation>
    <dataValidation type="list" allowBlank="1" showInputMessage="1" showErrorMessage="1" sqref="C66:D77 F53:F55 D53:D55 D52:F52" xr:uid="{00000000-0002-0000-0500-000007000000}">
      <formula1>"(Select…),Yes,No,Not applicable"</formula1>
    </dataValidation>
    <dataValidation type="list" allowBlank="1" showInputMessage="1" showErrorMessage="1" sqref="F58:F63" xr:uid="{00000000-0002-0000-0500-000008000000}">
      <formula1>"(Select….),Yes, No, Not applicable"</formula1>
    </dataValidation>
    <dataValidation type="list" allowBlank="1" showInputMessage="1" showErrorMessage="1" sqref="D143:D150" xr:uid="{F9521527-B87B-44B1-BD0E-FD96BEC728B0}">
      <formula1>"Committed,Budgeted,Planned"</formula1>
    </dataValidation>
  </dataValidations>
  <printOptions horizontalCentered="1"/>
  <pageMargins left="0.75" right="0.75" top="0.75" bottom="0.75" header="0.5" footer="0.5"/>
  <pageSetup scale="38" fitToHeight="3" orientation="portrait" r:id="rId2"/>
  <headerFooter alignWithMargins="0"/>
  <rowBreaks count="3" manualBreakCount="3">
    <brk id="47" max="5" man="1"/>
    <brk id="85" max="16383" man="1"/>
    <brk id="130" max="5" man="1"/>
  </rowBreaks>
  <ignoredErrors>
    <ignoredError sqref="A12:B14 B43 A18:B18 A25:B26 A39:B39" numberStoredAsText="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K19"/>
  <sheetViews>
    <sheetView view="pageBreakPreview" zoomScaleNormal="100" zoomScaleSheetLayoutView="100" workbookViewId="0">
      <selection activeCell="K6" sqref="K6:K7"/>
    </sheetView>
  </sheetViews>
  <sheetFormatPr defaultColWidth="9.25" defaultRowHeight="15" x14ac:dyDescent="0.2"/>
  <cols>
    <col min="1" max="1" width="31.5" style="398" customWidth="1"/>
    <col min="2" max="2" width="10.5" style="398" customWidth="1"/>
    <col min="3" max="3" width="22.25" style="398" customWidth="1"/>
    <col min="4" max="4" width="10.25" style="398" hidden="1" customWidth="1"/>
    <col min="5" max="5" width="72.5" style="398" customWidth="1"/>
    <col min="6" max="6" width="3.5" style="398" customWidth="1"/>
    <col min="7" max="7" width="66.25" style="398" customWidth="1"/>
    <col min="8" max="8" width="10.5" style="398" customWidth="1"/>
    <col min="9" max="9" width="21.5" style="398" customWidth="1"/>
    <col min="10" max="10" width="10.5" style="398" hidden="1" customWidth="1"/>
    <col min="11" max="11" width="67.875" style="398" customWidth="1"/>
    <col min="12" max="16384" width="9.25" style="398"/>
  </cols>
  <sheetData>
    <row r="1" spans="1:11" ht="21" thickBot="1" x14ac:dyDescent="0.35">
      <c r="A1" s="1227" t="s">
        <v>433</v>
      </c>
      <c r="B1" s="1228"/>
      <c r="C1" s="1228"/>
      <c r="D1" s="1228"/>
      <c r="E1" s="1228"/>
      <c r="F1" s="1228"/>
      <c r="G1" s="1228"/>
      <c r="H1" s="1228"/>
      <c r="I1" s="1228"/>
      <c r="J1" s="1228"/>
      <c r="K1" s="1229"/>
    </row>
    <row r="2" spans="1:11" s="399" customFormat="1" ht="18.75" thickBot="1" x14ac:dyDescent="0.3">
      <c r="A2" s="1244" t="s">
        <v>0</v>
      </c>
      <c r="B2" s="1245"/>
      <c r="C2" s="1245"/>
      <c r="D2" s="1245"/>
      <c r="E2" s="1245"/>
      <c r="F2" s="1246"/>
      <c r="G2" s="1241" t="str">
        <f>Finance!B2</f>
        <v/>
      </c>
      <c r="H2" s="1242"/>
      <c r="I2" s="1242"/>
      <c r="J2" s="1242"/>
      <c r="K2" s="1243"/>
    </row>
    <row r="3" spans="1:11" ht="34.35" customHeight="1" thickBot="1" x14ac:dyDescent="0.25">
      <c r="A3" s="1230" t="s">
        <v>434</v>
      </c>
      <c r="B3" s="1231"/>
      <c r="C3" s="1231"/>
      <c r="D3" s="1231"/>
      <c r="E3" s="1231"/>
      <c r="F3" s="1231"/>
      <c r="G3" s="1231"/>
      <c r="H3" s="1231"/>
      <c r="I3" s="1231"/>
      <c r="J3" s="1231"/>
      <c r="K3" s="1232"/>
    </row>
    <row r="4" spans="1:11" ht="15.75" thickBot="1" x14ac:dyDescent="0.25"/>
    <row r="5" spans="1:11" ht="18" customHeight="1" thickBot="1" x14ac:dyDescent="0.25">
      <c r="A5" s="1233" t="s">
        <v>435</v>
      </c>
      <c r="B5" s="1234"/>
      <c r="C5" s="1234"/>
      <c r="D5" s="1234"/>
      <c r="E5" s="1235"/>
      <c r="F5" s="400"/>
      <c r="G5" s="1233" t="s">
        <v>436</v>
      </c>
      <c r="H5" s="1234"/>
      <c r="I5" s="1234"/>
      <c r="J5" s="1234"/>
      <c r="K5" s="1235"/>
    </row>
    <row r="6" spans="1:11" ht="31.5" customHeight="1" thickBot="1" x14ac:dyDescent="0.25">
      <c r="A6" s="401" t="s">
        <v>437</v>
      </c>
      <c r="B6" s="402" t="s">
        <v>438</v>
      </c>
      <c r="C6" s="403" t="s">
        <v>439</v>
      </c>
      <c r="D6" s="404" t="s">
        <v>440</v>
      </c>
      <c r="E6" s="405" t="s">
        <v>177</v>
      </c>
      <c r="G6" s="1219" t="s">
        <v>466</v>
      </c>
      <c r="H6" s="1220"/>
      <c r="I6" s="1220"/>
      <c r="J6" s="1221"/>
      <c r="K6" s="1225" t="s">
        <v>170</v>
      </c>
    </row>
    <row r="7" spans="1:11" ht="25.35" customHeight="1" thickBot="1" x14ac:dyDescent="0.25">
      <c r="A7" s="626" t="s">
        <v>174</v>
      </c>
      <c r="B7" s="627">
        <v>0.1666</v>
      </c>
      <c r="C7" s="628" t="str">
        <f>IF('Mobility Cost Eff &amp; Cong Relief'!C11=warrantedMedium,"MEDIUM",IF('Mobility Cost Eff &amp; Cong Relief'!C11=doesntMeetThresholds,"",'Mobility Cost Eff &amp; Cong Relief'!C11))</f>
        <v/>
      </c>
      <c r="D7" s="629" t="str">
        <f>VLOOKUP(IF(C7="","-",C7),Lookups!$G$24:$H$29,2,FALSE)</f>
        <v/>
      </c>
      <c r="E7" s="1236" t="s">
        <v>441</v>
      </c>
      <c r="G7" s="1222"/>
      <c r="H7" s="1223"/>
      <c r="I7" s="1223"/>
      <c r="J7" s="1224"/>
      <c r="K7" s="1226"/>
    </row>
    <row r="8" spans="1:11" ht="25.35" customHeight="1" thickBot="1" x14ac:dyDescent="0.25">
      <c r="A8" s="409" t="s">
        <v>180</v>
      </c>
      <c r="B8" s="630">
        <v>0.1666</v>
      </c>
      <c r="C8" s="410" t="str">
        <f>IF('Mobility Cost Eff &amp; Cong Relief'!C22=warrantedMedium,"MEDIUM",IF('Mobility Cost Eff &amp; Cong Relief'!C22=doesntMeetThresholds,"",'Mobility Cost Eff &amp; Cong Relief'!C22))</f>
        <v/>
      </c>
      <c r="D8" s="408" t="str">
        <f>VLOOKUP(IF(C8="","-",C8),Lookups!$G$24:$H$29,2,FALSE)</f>
        <v/>
      </c>
      <c r="E8" s="1237"/>
      <c r="G8" s="401" t="s">
        <v>437</v>
      </c>
      <c r="H8" s="402" t="s">
        <v>438</v>
      </c>
      <c r="I8" s="403" t="s">
        <v>439</v>
      </c>
      <c r="J8" s="404" t="s">
        <v>440</v>
      </c>
      <c r="K8" s="405" t="s">
        <v>177</v>
      </c>
    </row>
    <row r="9" spans="1:11" ht="25.35" customHeight="1" x14ac:dyDescent="0.2">
      <c r="A9" s="409" t="s">
        <v>172</v>
      </c>
      <c r="B9" s="630">
        <v>0.1666</v>
      </c>
      <c r="C9" s="410" t="str">
        <f>IF('Mobility Cost Eff &amp; Cong Relief'!C29=warrantedMedium,"MEDIUM",IF('Mobility Cost Eff &amp; Cong Relief'!C29=doesntMeetThresholds,"",'Mobility Cost Eff &amp; Cong Relief'!C29))</f>
        <v/>
      </c>
      <c r="D9" s="408" t="str">
        <f>VLOOKUP(IF(C9="","-",C9),Lookups!$G$24:$H$29,2,FALSE)</f>
        <v/>
      </c>
      <c r="E9" s="1237"/>
      <c r="G9" s="406" t="s">
        <v>442</v>
      </c>
      <c r="H9" s="407">
        <v>0.25</v>
      </c>
      <c r="I9" s="226" t="s">
        <v>170</v>
      </c>
      <c r="J9" s="408" t="str">
        <f>VLOOKUP(I9,Lookups!$G$24:$H$29,2,FALSE)</f>
        <v/>
      </c>
      <c r="K9" s="1238" t="s">
        <v>467</v>
      </c>
    </row>
    <row r="10" spans="1:11" ht="37.35" customHeight="1" x14ac:dyDescent="0.2">
      <c r="A10" s="409" t="s">
        <v>171</v>
      </c>
      <c r="B10" s="630">
        <v>0.1666</v>
      </c>
      <c r="C10" s="410" t="str">
        <f>IF('Environmental Benefits'!H33=doesntMeetThresholds,"",'Environmental Benefits'!H33)</f>
        <v/>
      </c>
      <c r="D10" s="408" t="str">
        <f>VLOOKUP(IF(C10="","-",C10),Lookups!$G$24:$H$29,2,FALSE)</f>
        <v/>
      </c>
      <c r="E10" s="411" t="s">
        <v>445</v>
      </c>
      <c r="G10" s="409" t="s">
        <v>443</v>
      </c>
      <c r="H10" s="407">
        <v>0.25</v>
      </c>
      <c r="I10" s="226" t="s">
        <v>170</v>
      </c>
      <c r="J10" s="408" t="str">
        <f>VLOOKUP(I10,Lookups!$G$24:$H$29,2,FALSE)</f>
        <v/>
      </c>
      <c r="K10" s="1239"/>
    </row>
    <row r="11" spans="1:11" ht="25.35" customHeight="1" x14ac:dyDescent="0.2">
      <c r="A11" s="409" t="s">
        <v>447</v>
      </c>
      <c r="B11" s="630">
        <v>0.1666</v>
      </c>
      <c r="C11" s="410" t="str">
        <f>IF('Land Use'!D45="","",'Land Use'!D45)</f>
        <v/>
      </c>
      <c r="D11" s="408" t="str">
        <f>VLOOKUP(IF(C11="","-",C11),Lookups!$G$24:$H$29,2,FALSE)</f>
        <v/>
      </c>
      <c r="E11" s="631" t="s">
        <v>522</v>
      </c>
      <c r="G11" s="409" t="s">
        <v>444</v>
      </c>
      <c r="H11" s="407">
        <v>0.5</v>
      </c>
      <c r="I11" s="226" t="s">
        <v>170</v>
      </c>
      <c r="J11" s="408" t="str">
        <f>VLOOKUP(I11,Lookups!$G$24:$H$29,2,FALSE)</f>
        <v/>
      </c>
      <c r="K11" s="1240"/>
    </row>
    <row r="12" spans="1:11" ht="39" thickBot="1" x14ac:dyDescent="0.25">
      <c r="A12" s="632" t="s">
        <v>450</v>
      </c>
      <c r="B12" s="633">
        <v>0.1666</v>
      </c>
      <c r="C12" s="634" t="s">
        <v>170</v>
      </c>
      <c r="D12" s="635" t="str">
        <f>VLOOKUP(C12,Lookups!$G$24:$H$29,2,FALSE)</f>
        <v/>
      </c>
      <c r="E12" s="636" t="s">
        <v>523</v>
      </c>
      <c r="G12" s="412" t="str">
        <f>CONCATENATE("  CIG Share (",IF(Finance!E5=0,"Please complete the Finance Template",TEXT(Finance!E5,"0%")),")")</f>
        <v xml:space="preserve">  CIG Share (Please complete the Finance Template)</v>
      </c>
      <c r="H12" s="413" t="s">
        <v>170</v>
      </c>
      <c r="I12" s="414" t="str">
        <f>IF(COUNTBLANK(J9:J11)&gt;0,"-",IF(AND(K6="NO",Finance!E5&gt;0,ROUND(Finance!E5,2)&lt;0.5,(0.25*J9+0.25*J10+0.5*J11)&gt;=2.5,(0.25*J9+0.25*J10+0.5*J11)&lt;4.5),"+1 level","-"))</f>
        <v>-</v>
      </c>
      <c r="J12" s="415">
        <f>IF(I12="+1 level",1,0)</f>
        <v>0</v>
      </c>
      <c r="K12" s="416" t="s">
        <v>446</v>
      </c>
    </row>
    <row r="13" spans="1:11" ht="136.15" customHeight="1" thickBot="1" x14ac:dyDescent="0.25">
      <c r="A13" s="417" t="s">
        <v>448</v>
      </c>
      <c r="B13" s="402"/>
      <c r="C13" s="418" t="str">
        <f>IF(D13="","-",VLOOKUP(D13,Lookups!$B$16:$C$22,2))</f>
        <v>-</v>
      </c>
      <c r="D13" s="404" t="str">
        <f>IF(COUNTBLANK(D7:D12)&gt;0,"",ROUND(AVERAGE(D7:D12),0))</f>
        <v/>
      </c>
      <c r="E13" s="419" t="s">
        <v>451</v>
      </c>
      <c r="G13" s="401" t="s">
        <v>448</v>
      </c>
      <c r="H13" s="404"/>
      <c r="I13" s="418" t="str">
        <f>IF(J13="","-",VLOOKUP(J13,Lookups!$B$16:$C$22,2))</f>
        <v>-</v>
      </c>
      <c r="J13" s="404" t="str">
        <f>IF(COUNTBLANK(J9:J11)&gt;0,"",ROUND(0.25*J9+0.25*J10+0.5*J11+J12,0))</f>
        <v/>
      </c>
      <c r="K13" s="419" t="s">
        <v>449</v>
      </c>
    </row>
    <row r="14" spans="1:11" ht="13.35" customHeight="1" thickBot="1" x14ac:dyDescent="0.25"/>
    <row r="15" spans="1:11" ht="63.75" thickBot="1" x14ac:dyDescent="0.3">
      <c r="D15" s="637" t="str">
        <f>IF(OR(D13="",J13=""),"",IF(OR(D13&lt;3,J13&lt;3),MIN(2,ROUND(AVERAGE(D13,J13),0)),ROUND(AVERAGE(D13,J13),0)))</f>
        <v/>
      </c>
      <c r="E15" s="420" t="s">
        <v>452</v>
      </c>
      <c r="F15" s="421"/>
      <c r="G15" s="422" t="str">
        <f>IF(D15="","Complete all templates and the highlighted cells in this worksheet to see the estimated overall rating.",VLOOKUP(D15,Lookups!$B$16:$C$22,2))</f>
        <v>Complete all templates and the highlighted cells in this worksheet to see the estimated overall rating.</v>
      </c>
      <c r="H15" s="423"/>
      <c r="I15" s="423"/>
      <c r="J15" s="423"/>
      <c r="K15" s="423"/>
    </row>
    <row r="17" spans="1:11" ht="15.75" x14ac:dyDescent="0.25">
      <c r="B17" s="424"/>
      <c r="E17" s="1247" t="s">
        <v>453</v>
      </c>
      <c r="F17" s="1247"/>
      <c r="G17" s="1247"/>
    </row>
    <row r="19" spans="1:11" ht="44.85" customHeight="1" x14ac:dyDescent="0.2">
      <c r="A19" s="1218" t="s">
        <v>468</v>
      </c>
      <c r="B19" s="1218"/>
      <c r="C19" s="1218"/>
      <c r="D19" s="1218"/>
      <c r="E19" s="1218"/>
      <c r="F19" s="1218"/>
      <c r="G19" s="1218"/>
      <c r="H19" s="1218"/>
      <c r="I19" s="1218"/>
      <c r="J19" s="1218"/>
      <c r="K19" s="1218"/>
    </row>
  </sheetData>
  <sheetProtection algorithmName="SHA-512" hashValue="AINodzYnHsW57vCvDNtW6IzXy3a9xFPow2JI/vB0FXpHhw+7xPr142CGZwocHFdfry8wlDdnB09COiXflnKhvA==" saltValue="kIkPNBbay9p4L71duESmqw==" spinCount="100000" sheet="1" formatCells="0" formatColumns="0" formatRows="0" insertColumns="0" insertRows="0" insertHyperlinks="0" selectLockedCells="1"/>
  <mergeCells count="12">
    <mergeCell ref="A19:K19"/>
    <mergeCell ref="G6:J7"/>
    <mergeCell ref="K6:K7"/>
    <mergeCell ref="A1:K1"/>
    <mergeCell ref="A3:K3"/>
    <mergeCell ref="A5:E5"/>
    <mergeCell ref="G5:K5"/>
    <mergeCell ref="E7:E9"/>
    <mergeCell ref="K9:K11"/>
    <mergeCell ref="G2:K2"/>
    <mergeCell ref="A2:F2"/>
    <mergeCell ref="E17:G17"/>
  </mergeCells>
  <conditionalFormatting sqref="G9:K11">
    <cfRule type="expression" dxfId="0" priority="1">
      <formula>$K$6="Yes"</formula>
    </cfRule>
  </conditionalFormatting>
  <dataValidations count="1">
    <dataValidation type="list" allowBlank="1" showInputMessage="1" showErrorMessage="1" sqref="K6:K7" xr:uid="{B4A786F0-7BDF-42D1-A182-FE7B2A4D6F05}">
      <formula1>"-,Yes,No"</formula1>
    </dataValidation>
  </dataValidations>
  <hyperlinks>
    <hyperlink ref="E17" r:id="rId1" display="Link to CIG Program Guidance on the FTA website" xr:uid="{00000000-0004-0000-0700-000000000000}"/>
  </hyperlinks>
  <pageMargins left="0.7" right="0.7" top="0.75" bottom="0.75" header="0.3" footer="0.3"/>
  <pageSetup scale="36" orientation="landscape"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Lookups!$G$24:$G$29</xm:f>
          </x14:formula1>
          <xm:sqref>I9:I11 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P62"/>
  <sheetViews>
    <sheetView showGridLines="0" zoomScaleNormal="100" workbookViewId="0">
      <selection activeCell="L26" sqref="L26"/>
    </sheetView>
  </sheetViews>
  <sheetFormatPr defaultColWidth="10.5" defaultRowHeight="14.25" x14ac:dyDescent="0.2"/>
  <cols>
    <col min="1" max="1" width="75.5" style="638" customWidth="1"/>
    <col min="2" max="2" width="21.5" style="638" customWidth="1"/>
    <col min="3" max="3" width="28.25" style="638" customWidth="1"/>
    <col min="4" max="4" width="19.25" style="638" customWidth="1"/>
    <col min="5" max="6" width="10.5" style="638"/>
    <col min="7" max="7" width="73.875" style="638" customWidth="1"/>
    <col min="8" max="8" width="14.5" style="638" customWidth="1"/>
    <col min="9" max="9" width="10.5" style="638"/>
    <col min="10" max="10" width="11.5" style="638" customWidth="1"/>
    <col min="11" max="11" width="10.5" style="638"/>
    <col min="12" max="12" width="49.25" style="638" customWidth="1"/>
    <col min="13" max="16384" width="10.5" style="638"/>
  </cols>
  <sheetData>
    <row r="1" spans="1:16" s="426" customFormat="1" ht="18" x14ac:dyDescent="0.2">
      <c r="A1" s="425" t="s">
        <v>137</v>
      </c>
    </row>
    <row r="3" spans="1:16" ht="15.75" thickBot="1" x14ac:dyDescent="0.25">
      <c r="A3" s="639" t="s">
        <v>138</v>
      </c>
      <c r="B3" s="640" t="s">
        <v>139</v>
      </c>
      <c r="C3" s="640" t="s">
        <v>140</v>
      </c>
      <c r="D3" s="640" t="s">
        <v>516</v>
      </c>
      <c r="G3" s="641" t="s">
        <v>141</v>
      </c>
    </row>
    <row r="4" spans="1:16" ht="15" thickTop="1" x14ac:dyDescent="0.2">
      <c r="A4" s="642" t="s">
        <v>142</v>
      </c>
      <c r="B4" s="643">
        <v>0</v>
      </c>
      <c r="C4" s="644" t="s">
        <v>143</v>
      </c>
    </row>
    <row r="5" spans="1:16" x14ac:dyDescent="0.2">
      <c r="A5" s="645"/>
      <c r="B5" s="646">
        <v>0.01</v>
      </c>
      <c r="C5" s="647" t="s">
        <v>144</v>
      </c>
      <c r="G5" s="638" t="s">
        <v>145</v>
      </c>
      <c r="I5" s="638" t="str">
        <f>IF('Project Description'!C92="(Select…)","unknown",'Project Description'!C92)</f>
        <v>unknown</v>
      </c>
    </row>
    <row r="6" spans="1:16" x14ac:dyDescent="0.2">
      <c r="A6" s="645"/>
      <c r="B6" s="646">
        <v>8</v>
      </c>
      <c r="C6" s="647" t="s">
        <v>146</v>
      </c>
    </row>
    <row r="7" spans="1:16" x14ac:dyDescent="0.2">
      <c r="A7" s="645"/>
      <c r="B7" s="646">
        <v>10</v>
      </c>
      <c r="C7" s="647" t="s">
        <v>147</v>
      </c>
      <c r="G7" s="638" t="s">
        <v>148</v>
      </c>
      <c r="J7" s="638" t="s">
        <v>149</v>
      </c>
      <c r="M7" s="638" t="s">
        <v>150</v>
      </c>
    </row>
    <row r="8" spans="1:16" x14ac:dyDescent="0.2">
      <c r="A8" s="645"/>
      <c r="B8" s="646">
        <v>20</v>
      </c>
      <c r="C8" s="647" t="s">
        <v>151</v>
      </c>
      <c r="G8" s="638">
        <v>0</v>
      </c>
      <c r="H8" s="638">
        <v>0</v>
      </c>
      <c r="J8" s="638">
        <v>0</v>
      </c>
      <c r="K8" s="638">
        <v>1</v>
      </c>
      <c r="M8" s="638" t="s">
        <v>152</v>
      </c>
      <c r="P8" s="638">
        <v>1</v>
      </c>
    </row>
    <row r="9" spans="1:16" ht="15" thickBot="1" x14ac:dyDescent="0.25">
      <c r="A9" s="648"/>
      <c r="B9" s="649">
        <v>35</v>
      </c>
      <c r="C9" s="650" t="s">
        <v>153</v>
      </c>
      <c r="G9" s="638">
        <v>3000</v>
      </c>
      <c r="H9" s="638">
        <v>1</v>
      </c>
      <c r="J9" s="638">
        <v>50000000</v>
      </c>
      <c r="K9" s="638">
        <v>2</v>
      </c>
      <c r="M9" s="638" t="s">
        <v>154</v>
      </c>
      <c r="P9" s="638">
        <v>1</v>
      </c>
    </row>
    <row r="10" spans="1:16" x14ac:dyDescent="0.2">
      <c r="A10" s="651" t="s">
        <v>155</v>
      </c>
      <c r="B10" s="652">
        <v>0</v>
      </c>
      <c r="C10" s="644" t="s">
        <v>143</v>
      </c>
      <c r="G10" s="638">
        <v>6000</v>
      </c>
      <c r="H10" s="638">
        <v>2</v>
      </c>
      <c r="J10" s="638">
        <v>100000000</v>
      </c>
      <c r="K10" s="638">
        <v>3</v>
      </c>
      <c r="M10" s="638" t="s">
        <v>156</v>
      </c>
      <c r="P10" s="638">
        <v>0</v>
      </c>
    </row>
    <row r="11" spans="1:16" x14ac:dyDescent="0.2">
      <c r="A11" s="645"/>
      <c r="B11" s="653">
        <v>0.01</v>
      </c>
      <c r="C11" s="647" t="s">
        <v>144</v>
      </c>
      <c r="G11" s="638">
        <v>9000</v>
      </c>
      <c r="H11" s="638">
        <v>3</v>
      </c>
      <c r="J11" s="638">
        <v>175000000</v>
      </c>
      <c r="K11" s="638">
        <v>4</v>
      </c>
    </row>
    <row r="12" spans="1:16" x14ac:dyDescent="0.2">
      <c r="A12" s="645"/>
      <c r="B12" s="653">
        <v>1</v>
      </c>
      <c r="C12" s="647" t="s">
        <v>146</v>
      </c>
      <c r="G12" s="638">
        <v>12000</v>
      </c>
      <c r="H12" s="638">
        <v>4</v>
      </c>
      <c r="J12" s="638">
        <v>250000000</v>
      </c>
      <c r="K12" s="638">
        <v>5</v>
      </c>
    </row>
    <row r="13" spans="1:16" x14ac:dyDescent="0.2">
      <c r="A13" s="645"/>
      <c r="B13" s="653">
        <v>2</v>
      </c>
      <c r="C13" s="647" t="s">
        <v>147</v>
      </c>
      <c r="G13" s="638">
        <v>15000</v>
      </c>
      <c r="H13" s="638">
        <v>5</v>
      </c>
      <c r="J13" s="638">
        <v>500000000</v>
      </c>
      <c r="K13" s="638">
        <v>0</v>
      </c>
    </row>
    <row r="14" spans="1:16" x14ac:dyDescent="0.2">
      <c r="A14" s="645"/>
      <c r="B14" s="653">
        <v>5</v>
      </c>
      <c r="C14" s="647" t="s">
        <v>151</v>
      </c>
    </row>
    <row r="15" spans="1:16" ht="15" thickBot="1" x14ac:dyDescent="0.25">
      <c r="A15" s="648"/>
      <c r="B15" s="654">
        <v>6</v>
      </c>
      <c r="C15" s="650" t="s">
        <v>153</v>
      </c>
      <c r="G15" s="655" t="s">
        <v>157</v>
      </c>
      <c r="H15" s="638" t="str">
        <f>IF(I5="Yes",IF(NOT(ISNUMBER('Project Description'!C93)),"Unknown",VLOOKUP('Project Description'!C93,Lookups!G8:H13,2)),"")</f>
        <v/>
      </c>
      <c r="J15" s="655" t="s">
        <v>157</v>
      </c>
      <c r="K15" s="638" t="str">
        <f>IF(I5="Yes",IF(NOT(ISNUMBER(Finance!E4)),"Unknown",VLOOKUP('Project Description'!C98,Lookups!J8:K13,2)),"")</f>
        <v/>
      </c>
      <c r="M15" s="638" t="s">
        <v>157</v>
      </c>
      <c r="P15" s="638" t="str">
        <f>IF(I5="Yes",IF(Finance!E5=0,"Unknown",IF(OR(Finance!B5&lt;=100000000,Finance!E5&lt;=0.5),1,0)),"")</f>
        <v/>
      </c>
    </row>
    <row r="16" spans="1:16" x14ac:dyDescent="0.2">
      <c r="A16" s="656" t="s">
        <v>158</v>
      </c>
      <c r="B16" s="657">
        <v>0</v>
      </c>
      <c r="C16" s="644" t="s">
        <v>159</v>
      </c>
      <c r="G16" s="638" t="s">
        <v>160</v>
      </c>
    </row>
    <row r="17" spans="1:12" x14ac:dyDescent="0.2">
      <c r="A17" s="645"/>
      <c r="B17" s="658">
        <v>0.01</v>
      </c>
      <c r="C17" s="647" t="s">
        <v>153</v>
      </c>
      <c r="G17" s="638" t="s">
        <v>161</v>
      </c>
    </row>
    <row r="18" spans="1:12" x14ac:dyDescent="0.2">
      <c r="A18" s="645"/>
      <c r="B18" s="658">
        <v>0.5</v>
      </c>
      <c r="C18" s="647" t="s">
        <v>153</v>
      </c>
      <c r="G18" s="638" t="s">
        <v>162</v>
      </c>
    </row>
    <row r="19" spans="1:12" x14ac:dyDescent="0.2">
      <c r="A19" s="645"/>
      <c r="B19" s="658">
        <v>1.5</v>
      </c>
      <c r="C19" s="647" t="s">
        <v>151</v>
      </c>
    </row>
    <row r="20" spans="1:12" x14ac:dyDescent="0.2">
      <c r="A20" s="645"/>
      <c r="B20" s="658">
        <v>2.5</v>
      </c>
      <c r="C20" s="647" t="s">
        <v>147</v>
      </c>
      <c r="G20" s="638" t="s">
        <v>163</v>
      </c>
      <c r="K20" s="638" t="str">
        <f>IF(H15="","",IF(OR(H15="Unknown",K15="Unknown",P15="Unknown"),"Unknown",IF(OR(H15=0,K15=0,K15&gt;H15,P15=0),"No","Yes")))</f>
        <v/>
      </c>
    </row>
    <row r="21" spans="1:12" x14ac:dyDescent="0.2">
      <c r="A21" s="645"/>
      <c r="B21" s="658">
        <v>3.5</v>
      </c>
      <c r="C21" s="647" t="s">
        <v>146</v>
      </c>
      <c r="G21" s="638" t="s">
        <v>164</v>
      </c>
      <c r="L21" s="638" t="s">
        <v>165</v>
      </c>
    </row>
    <row r="22" spans="1:12" ht="15" thickBot="1" x14ac:dyDescent="0.25">
      <c r="A22" s="648"/>
      <c r="B22" s="659">
        <v>4.5</v>
      </c>
      <c r="C22" s="660" t="s">
        <v>144</v>
      </c>
      <c r="G22" s="638" t="s">
        <v>166</v>
      </c>
      <c r="L22" s="638" t="s">
        <v>167</v>
      </c>
    </row>
    <row r="23" spans="1:12" ht="15" x14ac:dyDescent="0.2">
      <c r="A23" s="651" t="s">
        <v>168</v>
      </c>
      <c r="B23" s="661">
        <v>0</v>
      </c>
      <c r="C23" s="662" t="s">
        <v>153</v>
      </c>
      <c r="G23" s="641" t="s">
        <v>169</v>
      </c>
    </row>
    <row r="24" spans="1:12" x14ac:dyDescent="0.2">
      <c r="A24" s="645"/>
      <c r="B24" s="663">
        <v>2000000</v>
      </c>
      <c r="C24" s="647" t="s">
        <v>151</v>
      </c>
      <c r="G24" s="664" t="s">
        <v>170</v>
      </c>
      <c r="H24" s="665" t="str">
        <f>""</f>
        <v/>
      </c>
    </row>
    <row r="25" spans="1:12" x14ac:dyDescent="0.2">
      <c r="A25" s="645"/>
      <c r="B25" s="663">
        <v>3000000</v>
      </c>
      <c r="C25" s="647" t="s">
        <v>147</v>
      </c>
      <c r="G25" s="647" t="s">
        <v>144</v>
      </c>
      <c r="H25" s="638">
        <v>5</v>
      </c>
    </row>
    <row r="26" spans="1:12" x14ac:dyDescent="0.2">
      <c r="A26" s="645"/>
      <c r="B26" s="663">
        <v>12000000</v>
      </c>
      <c r="C26" s="647" t="s">
        <v>146</v>
      </c>
      <c r="G26" s="647" t="s">
        <v>146</v>
      </c>
      <c r="H26" s="638">
        <v>4</v>
      </c>
    </row>
    <row r="27" spans="1:12" ht="15" thickBot="1" x14ac:dyDescent="0.25">
      <c r="A27" s="648"/>
      <c r="B27" s="666">
        <v>30000000</v>
      </c>
      <c r="C27" s="660" t="s">
        <v>144</v>
      </c>
      <c r="G27" s="647" t="s">
        <v>147</v>
      </c>
      <c r="H27" s="638">
        <v>3</v>
      </c>
    </row>
    <row r="28" spans="1:12" x14ac:dyDescent="0.2">
      <c r="A28" s="651" t="s">
        <v>171</v>
      </c>
      <c r="B28" s="667">
        <v>-1000</v>
      </c>
      <c r="C28" s="662" t="s">
        <v>153</v>
      </c>
      <c r="G28" s="647" t="s">
        <v>151</v>
      </c>
      <c r="H28" s="638">
        <v>2</v>
      </c>
    </row>
    <row r="29" spans="1:12" x14ac:dyDescent="0.2">
      <c r="A29" s="645"/>
      <c r="B29" s="668">
        <v>0</v>
      </c>
      <c r="C29" s="647" t="s">
        <v>151</v>
      </c>
      <c r="G29" s="650" t="s">
        <v>153</v>
      </c>
      <c r="H29" s="638">
        <v>1</v>
      </c>
    </row>
    <row r="30" spans="1:12" x14ac:dyDescent="0.2">
      <c r="A30" s="645"/>
      <c r="B30" s="668">
        <v>0.01</v>
      </c>
      <c r="C30" s="647" t="s">
        <v>147</v>
      </c>
    </row>
    <row r="31" spans="1:12" x14ac:dyDescent="0.2">
      <c r="A31" s="645"/>
      <c r="B31" s="668">
        <v>0.5</v>
      </c>
      <c r="C31" s="647" t="s">
        <v>146</v>
      </c>
    </row>
    <row r="32" spans="1:12" ht="15.75" thickBot="1" x14ac:dyDescent="0.25">
      <c r="A32" s="648"/>
      <c r="B32" s="669">
        <v>1</v>
      </c>
      <c r="C32" s="660" t="s">
        <v>144</v>
      </c>
      <c r="G32" s="682"/>
      <c r="H32" s="683"/>
      <c r="I32" s="683"/>
      <c r="J32" s="683"/>
      <c r="K32" s="683"/>
      <c r="L32" s="683"/>
    </row>
    <row r="33" spans="1:12" x14ac:dyDescent="0.2">
      <c r="A33" s="651" t="s">
        <v>172</v>
      </c>
      <c r="B33" s="661">
        <v>0</v>
      </c>
      <c r="C33" s="662" t="s">
        <v>153</v>
      </c>
      <c r="G33" s="684"/>
      <c r="H33" s="685"/>
      <c r="I33" s="685"/>
      <c r="J33" s="685"/>
      <c r="K33" s="683"/>
      <c r="L33" s="683"/>
    </row>
    <row r="34" spans="1:12" x14ac:dyDescent="0.2">
      <c r="A34" s="645"/>
      <c r="B34" s="663">
        <v>500</v>
      </c>
      <c r="C34" s="647" t="s">
        <v>151</v>
      </c>
      <c r="G34" s="683"/>
      <c r="H34" s="686"/>
      <c r="I34" s="686"/>
      <c r="J34" s="686"/>
      <c r="K34" s="687"/>
      <c r="L34" s="683"/>
    </row>
    <row r="35" spans="1:12" x14ac:dyDescent="0.2">
      <c r="A35" s="645"/>
      <c r="B35" s="663">
        <v>2500</v>
      </c>
      <c r="C35" s="647" t="s">
        <v>147</v>
      </c>
    </row>
    <row r="36" spans="1:12" x14ac:dyDescent="0.2">
      <c r="A36" s="645"/>
      <c r="B36" s="663">
        <v>10000</v>
      </c>
      <c r="C36" s="647" t="s">
        <v>146</v>
      </c>
    </row>
    <row r="37" spans="1:12" ht="15" thickBot="1" x14ac:dyDescent="0.25">
      <c r="A37" s="670"/>
      <c r="B37" s="671">
        <v>18000</v>
      </c>
      <c r="C37" s="660" t="s">
        <v>144</v>
      </c>
    </row>
    <row r="38" spans="1:12" x14ac:dyDescent="0.2">
      <c r="A38" s="688" t="s">
        <v>517</v>
      </c>
      <c r="B38" s="672">
        <v>1</v>
      </c>
      <c r="C38" s="673" t="s">
        <v>153</v>
      </c>
      <c r="D38" s="674"/>
    </row>
    <row r="39" spans="1:12" x14ac:dyDescent="0.2">
      <c r="A39" s="689"/>
      <c r="B39" s="675">
        <v>2560</v>
      </c>
      <c r="C39" s="676" t="s">
        <v>151</v>
      </c>
      <c r="D39" s="674"/>
    </row>
    <row r="40" spans="1:12" x14ac:dyDescent="0.2">
      <c r="A40" s="689"/>
      <c r="B40" s="675">
        <v>5760</v>
      </c>
      <c r="C40" s="676" t="s">
        <v>147</v>
      </c>
      <c r="D40" s="674"/>
    </row>
    <row r="41" spans="1:12" x14ac:dyDescent="0.2">
      <c r="A41" s="689"/>
      <c r="B41" s="675">
        <v>9600</v>
      </c>
      <c r="C41" s="676" t="s">
        <v>146</v>
      </c>
      <c r="D41" s="674"/>
    </row>
    <row r="42" spans="1:12" ht="15" thickBot="1" x14ac:dyDescent="0.25">
      <c r="A42" s="690"/>
      <c r="B42" s="677">
        <v>15000</v>
      </c>
      <c r="C42" s="678" t="s">
        <v>144</v>
      </c>
      <c r="D42" s="674"/>
    </row>
    <row r="43" spans="1:12" x14ac:dyDescent="0.2">
      <c r="A43" s="688" t="s">
        <v>518</v>
      </c>
      <c r="B43" s="672">
        <v>1</v>
      </c>
      <c r="C43" s="673" t="s">
        <v>153</v>
      </c>
      <c r="D43" s="674"/>
    </row>
    <row r="44" spans="1:12" x14ac:dyDescent="0.2">
      <c r="A44" s="689"/>
      <c r="B44" s="675">
        <v>40000</v>
      </c>
      <c r="C44" s="676" t="s">
        <v>151</v>
      </c>
      <c r="D44" s="674"/>
    </row>
    <row r="45" spans="1:12" x14ac:dyDescent="0.2">
      <c r="A45" s="689"/>
      <c r="B45" s="675">
        <v>70000</v>
      </c>
      <c r="C45" s="676" t="s">
        <v>147</v>
      </c>
      <c r="D45" s="674"/>
    </row>
    <row r="46" spans="1:12" x14ac:dyDescent="0.2">
      <c r="A46" s="689"/>
      <c r="B46" s="675">
        <v>140000</v>
      </c>
      <c r="C46" s="676" t="s">
        <v>146</v>
      </c>
      <c r="D46" s="674"/>
    </row>
    <row r="47" spans="1:12" ht="15" thickBot="1" x14ac:dyDescent="0.25">
      <c r="A47" s="690"/>
      <c r="B47" s="677">
        <v>220000</v>
      </c>
      <c r="C47" s="678" t="s">
        <v>144</v>
      </c>
      <c r="D47" s="674"/>
    </row>
    <row r="48" spans="1:12" ht="28.5" x14ac:dyDescent="0.2">
      <c r="A48" s="691" t="s">
        <v>519</v>
      </c>
      <c r="B48" s="679">
        <v>0.01</v>
      </c>
      <c r="C48" s="673" t="s">
        <v>153</v>
      </c>
      <c r="D48" s="673" t="s">
        <v>151</v>
      </c>
    </row>
    <row r="49" spans="1:4" x14ac:dyDescent="0.2">
      <c r="A49" s="689"/>
      <c r="B49" s="680">
        <v>1.1000000000000001</v>
      </c>
      <c r="C49" s="676" t="s">
        <v>151</v>
      </c>
      <c r="D49" s="676" t="s">
        <v>147</v>
      </c>
    </row>
    <row r="50" spans="1:4" x14ac:dyDescent="0.2">
      <c r="A50" s="689"/>
      <c r="B50" s="680">
        <v>1.5</v>
      </c>
      <c r="C50" s="676" t="s">
        <v>147</v>
      </c>
      <c r="D50" s="676" t="s">
        <v>146</v>
      </c>
    </row>
    <row r="51" spans="1:4" x14ac:dyDescent="0.2">
      <c r="A51" s="689"/>
      <c r="B51" s="680">
        <v>2.25</v>
      </c>
      <c r="C51" s="676" t="s">
        <v>146</v>
      </c>
      <c r="D51" s="676" t="s">
        <v>144</v>
      </c>
    </row>
    <row r="52" spans="1:4" ht="15" thickBot="1" x14ac:dyDescent="0.25">
      <c r="A52" s="690"/>
      <c r="B52" s="681">
        <v>2.5</v>
      </c>
      <c r="C52" s="678" t="s">
        <v>144</v>
      </c>
      <c r="D52" s="678" t="s">
        <v>144</v>
      </c>
    </row>
    <row r="53" spans="1:4" x14ac:dyDescent="0.2">
      <c r="A53" s="691" t="s">
        <v>520</v>
      </c>
      <c r="B53" s="679">
        <v>0.01</v>
      </c>
      <c r="C53" s="673" t="s">
        <v>153</v>
      </c>
      <c r="D53" s="674"/>
    </row>
    <row r="54" spans="1:4" x14ac:dyDescent="0.2">
      <c r="A54" s="689"/>
      <c r="B54" s="680">
        <v>0.05</v>
      </c>
      <c r="C54" s="676" t="s">
        <v>151</v>
      </c>
      <c r="D54" s="674"/>
    </row>
    <row r="55" spans="1:4" x14ac:dyDescent="0.2">
      <c r="A55" s="689"/>
      <c r="B55" s="680">
        <v>0.18</v>
      </c>
      <c r="C55" s="676" t="s">
        <v>147</v>
      </c>
      <c r="D55" s="674"/>
    </row>
    <row r="56" spans="1:4" x14ac:dyDescent="0.2">
      <c r="A56" s="689"/>
      <c r="B56" s="680">
        <v>0.4</v>
      </c>
      <c r="C56" s="676" t="s">
        <v>146</v>
      </c>
      <c r="D56" s="674"/>
    </row>
    <row r="57" spans="1:4" ht="15" thickBot="1" x14ac:dyDescent="0.25">
      <c r="A57" s="690"/>
      <c r="B57" s="681">
        <v>0.5</v>
      </c>
      <c r="C57" s="678" t="s">
        <v>144</v>
      </c>
      <c r="D57" s="674"/>
    </row>
    <row r="58" spans="1:4" x14ac:dyDescent="0.2">
      <c r="A58" s="688" t="s">
        <v>521</v>
      </c>
      <c r="B58" s="672">
        <v>0</v>
      </c>
      <c r="C58" s="673" t="s">
        <v>153</v>
      </c>
      <c r="D58" s="674"/>
    </row>
    <row r="59" spans="1:4" x14ac:dyDescent="0.2">
      <c r="A59" s="689"/>
      <c r="B59" s="675">
        <v>1</v>
      </c>
      <c r="C59" s="676" t="s">
        <v>151</v>
      </c>
      <c r="D59" s="674"/>
    </row>
    <row r="60" spans="1:4" x14ac:dyDescent="0.2">
      <c r="A60" s="689"/>
      <c r="B60" s="675">
        <v>3</v>
      </c>
      <c r="C60" s="676" t="s">
        <v>147</v>
      </c>
      <c r="D60" s="674"/>
    </row>
    <row r="61" spans="1:4" x14ac:dyDescent="0.2">
      <c r="A61" s="689"/>
      <c r="B61" s="675">
        <v>5</v>
      </c>
      <c r="C61" s="676" t="s">
        <v>146</v>
      </c>
      <c r="D61" s="674"/>
    </row>
    <row r="62" spans="1:4" ht="15" thickBot="1" x14ac:dyDescent="0.25">
      <c r="A62" s="690"/>
      <c r="B62" s="677">
        <v>7</v>
      </c>
      <c r="C62" s="678" t="s">
        <v>144</v>
      </c>
      <c r="D62" s="674"/>
    </row>
  </sheetData>
  <sheetProtection algorithmName="SHA-512" hashValue="i90vsbjQxoqwFx/pbhKw24M8yR+Pg5etFEsc0uPjvrML4o7/EtGy41pu1vLJ6NkhuEDxSjEhdBTWmMH8LYoYhQ==" saltValue="S2uIx24qpYfapkBz3XUjBQ==" spinCount="100000" sheet="1" selectLockedCells="1"/>
  <pageMargins left="0.75" right="0.75" top="1" bottom="1" header="0.5" footer="0.5"/>
  <pageSetup scale="90" fitToHeight="10" orientation="portrait" r:id="rId1"/>
  <headerFooter alignWithMargins="0">
    <oddFooter>&amp;L&amp;D&amp;R&amp;F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7A590758E2CF4A817390D864AB50EC" ma:contentTypeVersion="12" ma:contentTypeDescription="Create a new document." ma:contentTypeScope="" ma:versionID="3d4f53d46c305435484ffbd422d955ea">
  <xsd:schema xmlns:xsd="http://www.w3.org/2001/XMLSchema" xmlns:xs="http://www.w3.org/2001/XMLSchema" xmlns:p="http://schemas.microsoft.com/office/2006/metadata/properties" xmlns:ns2="0ec06477-b7d8-469b-9269-04b303ff75be" xmlns:ns3="c1e2d6dd-49dc-467a-a612-23768a37859a" targetNamespace="http://schemas.microsoft.com/office/2006/metadata/properties" ma:root="true" ma:fieldsID="c1ce6e03d5d8ef1fd45995a46e1d321a" ns2:_="" ns3:_="">
    <xsd:import namespace="0ec06477-b7d8-469b-9269-04b303ff75be"/>
    <xsd:import namespace="c1e2d6dd-49dc-467a-a612-23768a3785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c06477-b7d8-469b-9269-04b303ff7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e2d6dd-49dc-467a-a612-23768a3785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de71368-4e41-45b8-a109-8ddefbf00b0e}" ma:internalName="TaxCatchAll" ma:showField="CatchAllData" ma:web="c1e2d6dd-49dc-467a-a612-23768a3785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B4C435-2F2F-4416-8D0A-C5E33211DADA}">
  <ds:schemaRefs>
    <ds:schemaRef ds:uri="http://schemas.microsoft.com/sharepoint/v3/contenttype/forms"/>
  </ds:schemaRefs>
</ds:datastoreItem>
</file>

<file path=customXml/itemProps2.xml><?xml version="1.0" encoding="utf-8"?>
<ds:datastoreItem xmlns:ds="http://schemas.openxmlformats.org/officeDocument/2006/customXml" ds:itemID="{CACC8C50-8F04-4FBB-8949-89065EFCE6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c06477-b7d8-469b-9269-04b303ff75be"/>
    <ds:schemaRef ds:uri="c1e2d6dd-49dc-467a-a612-23768a3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Project Description</vt:lpstr>
      <vt:lpstr>Travel Forecasts</vt:lpstr>
      <vt:lpstr>Mobility Cost Eff &amp; Cong Relief</vt:lpstr>
      <vt:lpstr>Land Use</vt:lpstr>
      <vt:lpstr>Environmental Benefits</vt:lpstr>
      <vt:lpstr>Finance</vt:lpstr>
      <vt:lpstr>Rating Estimation</vt:lpstr>
      <vt:lpstr>Lookups</vt:lpstr>
      <vt:lpstr>doesntMeetThresholds</vt:lpstr>
      <vt:lpstr>'Environmental Benefits'!Print_Area</vt:lpstr>
      <vt:lpstr>Finance!Print_Area</vt:lpstr>
      <vt:lpstr>'Land Use'!Print_Area</vt:lpstr>
      <vt:lpstr>Lookups!Print_Area</vt:lpstr>
      <vt:lpstr>'Mobility Cost Eff &amp; Cong Relief'!Print_Area</vt:lpstr>
      <vt:lpstr>'Project Description'!Print_Area</vt:lpstr>
      <vt:lpstr>'Travel Forecasts'!Print_Area</vt:lpstr>
      <vt:lpstr>warrantedMedium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2027 New Starts Templates Part 1 Basic</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 </dc:subject>
  <dc:creator>DOT - Federal Transit Administration</dc:creator>
  <cp:keywords/>
  <dc:description/>
  <cp:lastModifiedBy>Licona, Francisca (FTA)</cp:lastModifiedBy>
  <cp:revision/>
  <cp:lastPrinted>2024-11-22T18:39:51Z</cp:lastPrinted>
  <dcterms:created xsi:type="dcterms:W3CDTF">2000-06-21T19:34:03Z</dcterms:created>
  <dcterms:modified xsi:type="dcterms:W3CDTF">2025-01-14T19:25:17Z</dcterms:modified>
  <cp:category/>
  <cp:contentStatus/>
</cp:coreProperties>
</file>