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harts/chart11.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autoCompressPictures="0"/>
  <mc:AlternateContent xmlns:mc="http://schemas.openxmlformats.org/markup-compatibility/2006">
    <mc:Choice Requires="x15">
      <x15ac:absPath xmlns:x15ac="http://schemas.microsoft.com/office/spreadsheetml/2010/11/ac" url="C:\Users\waseem.ullah.ctr\Desktop\"/>
    </mc:Choice>
  </mc:AlternateContent>
  <xr:revisionPtr revIDLastSave="0" documentId="8_{82B51AF4-90FD-4BE3-ACEF-EA9BEAC6D5CD}" xr6:coauthVersionLast="45" xr6:coauthVersionMax="45" xr10:uidLastSave="{00000000-0000-0000-0000-000000000000}"/>
  <bookViews>
    <workbookView xWindow="51480" yWindow="-120" windowWidth="29040" windowHeight="16440" xr2:uid="{6054630A-C343-194E-A00B-17C7F2C3958A}"/>
  </bookViews>
  <sheets>
    <sheet name="Risk Workbook Overview" sheetId="14" r:id="rId1"/>
    <sheet name="Table of Contents" sheetId="75" r:id="rId2"/>
    <sheet name="1 - Proj Background Instr" sheetId="57" r:id="rId3"/>
    <sheet name="PMOC Project Background" sheetId="47" r:id="rId4"/>
    <sheet name="2 - Sponsor Baseline Instr" sheetId="70" r:id="rId5"/>
    <sheet name="Sponsor SCC Main" sheetId="49" r:id="rId6"/>
    <sheet name="Sponsor SCC Inflation" sheetId="67" r:id="rId7"/>
    <sheet name="3 - Baseline Adjustments Instr" sheetId="56" r:id="rId8"/>
    <sheet name="PMOC Risk Profile Descr" sheetId="61" r:id="rId9"/>
    <sheet name="PMOC BY Risk Profile Values" sheetId="69" r:id="rId10"/>
    <sheet name="PMOC BY Adj" sheetId="51" r:id="rId11"/>
    <sheet name="PMOC Globl Infl Adjst" sheetId="87" r:id="rId12"/>
    <sheet name="PMOC Profl Infl Adj" sheetId="84" r:id="rId13"/>
    <sheet name="4 - Risk A'ssment Instr" sheetId="18" r:id="rId14"/>
    <sheet name="Base Uncertainty Instructions" sheetId="48" r:id="rId15"/>
    <sheet name="Project-specific Risk Inst" sheetId="85" r:id="rId16"/>
    <sheet name="Risk Assessment (1)" sheetId="34" r:id="rId17"/>
    <sheet name="Risk Assessment (2)" sheetId="43" r:id="rId18"/>
    <sheet name="Risk Assessment (3)" sheetId="60" r:id="rId19"/>
    <sheet name="Risk Assessment (4)" sheetId="44" r:id="rId20"/>
    <sheet name="Additional Profiles" sheetId="98" r:id="rId21"/>
    <sheet name="Risk Assessment Total" sheetId="45" r:id="rId22"/>
    <sheet name="5 - Project Risk Analysis Instr" sheetId="27" r:id="rId23"/>
    <sheet name="Risk Assessment Analysis" sheetId="2" r:id="rId24"/>
    <sheet name="Prob Dist Report Graphic" sheetId="55" r:id="rId25"/>
    <sheet name="Appendices - Standards &amp; Tools" sheetId="71" r:id="rId26"/>
    <sheet name="DBB CMGC Beta Uncertainty Stdrs" sheetId="38" r:id="rId27"/>
    <sheet name="DBB Beta drawdown graphs " sheetId="46" r:id="rId28"/>
    <sheet name="Project-Specific Risk Calcs" sheetId="78" r:id="rId29"/>
    <sheet name="SCC10-50 Beta calculations" sheetId="90" r:id="rId30"/>
    <sheet name="SCC60-70 Beta calculations" sheetId="94" r:id="rId31"/>
    <sheet name="SCC80 Beta calculations" sheetId="93" r:id="rId32"/>
    <sheet name="Infl_Deflation Calculator" sheetId="97" r:id="rId33"/>
    <sheet name="Cost Risk Calcs Schema" sheetId="89" r:id="rId34"/>
    <sheet name="Change Log" sheetId="100" r:id="rId35"/>
  </sheets>
  <externalReferences>
    <externalReference r:id="rId36"/>
  </externalReferences>
  <definedNames>
    <definedName name="ClosuresPct" localSheetId="32">'[1]SCC60-70 Beta calculations'!$C$8</definedName>
    <definedName name="ClosuresPct">'SCC60-70 Beta calculations'!$C$8</definedName>
    <definedName name="OffersPct" localSheetId="32">'[1]SCC60-70 Beta calculations'!$C$6</definedName>
    <definedName name="OffersPct">'SCC60-70 Beta calculations'!$C$6</definedName>
    <definedName name="PI_Project_delivery_method_s">'PMOC Project Background'!$C$10</definedName>
    <definedName name="PMClosePct" localSheetId="32">'[1]SCC10-50 Beta calculations'!$C$10</definedName>
    <definedName name="PMClosePct" localSheetId="31">'SCC80 Beta calculations'!$C$10</definedName>
    <definedName name="PMClosePct">'SCC10-50 Beta calculations'!$C$10</definedName>
    <definedName name="PMConstrPct" localSheetId="32">'[1]SCC10-50 Beta calculations'!$C$8</definedName>
    <definedName name="PMConstrPct" localSheetId="31">'SCC80 Beta calculations'!$C$8</definedName>
    <definedName name="PMConstrPct">'SCC10-50 Beta calculations'!$C$8</definedName>
    <definedName name="PMDsgnPct" localSheetId="32">'[1]SCC10-50 Beta calculations'!$C$4</definedName>
    <definedName name="PMDsgnPct" localSheetId="31">'SCC80 Beta calculations'!$C$4</definedName>
    <definedName name="PMDsgnPct">'SCC10-50 Beta calculations'!$C$4</definedName>
    <definedName name="PMMktPct" localSheetId="32">'[1]SCC10-50 Beta calculations'!$C$6</definedName>
    <definedName name="PMMktPct" localSheetId="31">'SCC80 Beta calculations'!$C$6</definedName>
    <definedName name="PMMktPct">'SCC10-50 Beta calculations'!$C$6</definedName>
    <definedName name="PMRP1ShrtName" localSheetId="32">'[1]PMOC Risk Profile Descr'!$A$2</definedName>
    <definedName name="PMRP1ShrtName">'PMOC Risk Profile Descr'!$A$2</definedName>
    <definedName name="PMRP2ShrtName" localSheetId="32">'[1]PMOC Risk Profile Descr'!$A$25</definedName>
    <definedName name="PMRP2ShrtName">'PMOC Risk Profile Descr'!$A$25</definedName>
    <definedName name="PMRP3ShrtName" localSheetId="32">'[1]PMOC Risk Profile Descr'!$A$48</definedName>
    <definedName name="PMRP3ShrtName">'PMOC Risk Profile Descr'!$A$48</definedName>
    <definedName name="PMRP4ShrtName" localSheetId="32">'[1]PMOC Risk Profile Descr'!$A$73</definedName>
    <definedName name="PMRP4ShrtName">'PMOC Risk Profile Descr'!$A$73</definedName>
    <definedName name="PMRvwDate" localSheetId="32">'[1]PMOC Project Background'!$C$12</definedName>
    <definedName name="PMRvwDate">'PMOC Project Background'!$C$12</definedName>
    <definedName name="PMSpName" localSheetId="32">'[1]PMOC Project Background'!$C$6</definedName>
    <definedName name="PMSpName">'PMOC Project Background'!$C$6</definedName>
    <definedName name="PMSpProjName" localSheetId="32">'[1]PMOC Project Background'!$C$4</definedName>
    <definedName name="PMSpProjName">'PMOC Project Background'!$C$4</definedName>
    <definedName name="PMWrkBkType">'PMOC Project Background'!$C$14</definedName>
    <definedName name="PMYOEDCAdjTot" localSheetId="32">'[1]PMOC Profl Infl Adj'!$AL$70</definedName>
    <definedName name="PMYOEDCAdjTot">'PMOC Profl Infl Adj'!$AL$70</definedName>
    <definedName name="PMYOEDurnAdjTot" localSheetId="32">'[1]PMOC Profl Infl Adj'!$AM$70</definedName>
    <definedName name="PMYOEDurnAdjTot">'PMOC Profl Infl Adj'!$AM$70</definedName>
    <definedName name="PMYOELtntContTot" localSheetId="32">'[1]PMOC Profl Infl Adj'!$AN$70</definedName>
    <definedName name="PMYOELtntContTot">'PMOC Profl Infl Adj'!$AN$70</definedName>
    <definedName name="PMYOEStriptEstTot" localSheetId="32">'[1]PMOC Profl Infl Adj'!$AP$70</definedName>
    <definedName name="PMYOEStriptEstTot">'PMOC Profl Infl Adj'!$AP$70</definedName>
    <definedName name="PostClosuresPct" localSheetId="32">'[1]SCC60-70 Beta calculations'!$C$10</definedName>
    <definedName name="PostClosuresPct">'SCC60-70 Beta calculations'!$C$10</definedName>
    <definedName name="PostVehAcceptPct" localSheetId="32">'[1]SCC60-70 Beta calculations'!$F$10</definedName>
    <definedName name="PostVehAcceptPct">'SCC60-70 Beta calculations'!$F$10</definedName>
    <definedName name="RA_alpha" localSheetId="32">'[1]4 - Risk A''ssment Instr'!$L$26</definedName>
    <definedName name="RA_alpha">'4 - Risk A''ssment Instr'!$L$26</definedName>
    <definedName name="RA_beta" localSheetId="32">'[1]4 - Risk A''ssment Instr'!$L$27</definedName>
    <definedName name="RA_beta">'4 - Risk A''ssment Instr'!$L$27</definedName>
    <definedName name="RA_conting_trgt_YOE" localSheetId="32">'[1]Risk Assessment Total'!$U$19</definedName>
    <definedName name="RA_conting_trgt_YOE" localSheetId="16">'Risk Assessment (1)'!$AB$19</definedName>
    <definedName name="RA_conting_trgt_YOE" localSheetId="17">'Risk Assessment (2)'!$AB$19</definedName>
    <definedName name="RA_conting_trgt_YOE" localSheetId="18">'Risk Assessment (3)'!$AB$19</definedName>
    <definedName name="RA_conting_trgt_YOE" localSheetId="19">'Risk Assessment (4)'!$AB$19</definedName>
    <definedName name="RA_conting_trgt_YOE">'Risk Assessment Total'!$AB$19</definedName>
    <definedName name="RA_contingency_percent" localSheetId="32">'[1]5 - Project Risk Analysis Instr'!$J$29</definedName>
    <definedName name="RA_contingency_percent">'5 - Project Risk Analysis Instr'!$J$19</definedName>
    <definedName name="RA_global_constr_adj" localSheetId="32">'[1]Risk Assessment (1)'!$L$78</definedName>
    <definedName name="RA_global_constr_adj" localSheetId="17">'Risk Assessment (2)'!$P$78</definedName>
    <definedName name="RA_global_constr_adj" localSheetId="18">'Risk Assessment (3)'!$P$78</definedName>
    <definedName name="RA_global_constr_adj" localSheetId="19">'Risk Assessment (4)'!$P$78</definedName>
    <definedName name="RA_global_constr_adj">'Risk Assessment (1)'!$P$78</definedName>
    <definedName name="RA_global_dsgn_adj" localSheetId="32">'[1]Risk Assessment (1)'!$H$76</definedName>
    <definedName name="RA_global_dsgn_adj" localSheetId="17">'Risk Assessment (2)'!$J$76</definedName>
    <definedName name="RA_global_dsgn_adj" localSheetId="18">'Risk Assessment (3)'!$J$76</definedName>
    <definedName name="RA_global_dsgn_adj" localSheetId="19">'Risk Assessment (4)'!$J$76</definedName>
    <definedName name="RA_global_dsgn_adj">'Risk Assessment (1)'!$J$76</definedName>
    <definedName name="RA_global_mkt_adj" localSheetId="32">'[1]Risk Assessment (1)'!$J$77</definedName>
    <definedName name="RA_global_mkt_adj" localSheetId="17">'Risk Assessment (2)'!$M$77</definedName>
    <definedName name="RA_global_mkt_adj" localSheetId="18">'Risk Assessment (3)'!$M$77</definedName>
    <definedName name="RA_global_mkt_adj" localSheetId="19">'Risk Assessment (4)'!$M$77</definedName>
    <definedName name="RA_global_mkt_adj">'Risk Assessment (1)'!$M$77</definedName>
    <definedName name="RA_global_rqts_adj" localSheetId="32">'[1]Risk Assessment (1)'!$F$75</definedName>
    <definedName name="RA_global_rqts_adj" localSheetId="17">'Risk Assessment (2)'!$G$75</definedName>
    <definedName name="RA_global_rqts_adj" localSheetId="18">'Risk Assessment (3)'!$G$75</definedName>
    <definedName name="RA_global_rqts_adj" localSheetId="19">'Risk Assessment (4)'!$G$75</definedName>
    <definedName name="RA_global_rqts_adj">'Risk Assessment (1)'!$G$75</definedName>
    <definedName name="RA_lwrbnd" localSheetId="32">'[1]Risk Assessment Total'!$C$70</definedName>
    <definedName name="RA_lwrbnd" localSheetId="16">'Risk Assessment (1)'!$C$70</definedName>
    <definedName name="RA_lwrbnd" localSheetId="17">'Risk Assessment (2)'!$C$70</definedName>
    <definedName name="RA_lwrbnd" localSheetId="18">'Risk Assessment (3)'!$C$70</definedName>
    <definedName name="RA_lwrbnd" localSheetId="19">'Risk Assessment (4)'!$C$70</definedName>
    <definedName name="RA_lwrbnd">'Risk Assessment Total'!$C$70</definedName>
    <definedName name="RA_lwrrange" localSheetId="32">'[1]5 - Project Risk Analysis Instr'!$J$30</definedName>
    <definedName name="RA_lwrrange">'5 - Project Risk Analysis Instr'!$J$20</definedName>
    <definedName name="RA_lwrrange_amt">'Risk Assessment (1)'!$AB$18</definedName>
    <definedName name="RA_median" localSheetId="32">'[1]5 - Project Risk Analysis Instr'!$J$31</definedName>
    <definedName name="RA_median">'5 - Project Risk Analysis Instr'!$J$21</definedName>
    <definedName name="RA_ProjectMean" localSheetId="16">'Risk Assessment (1)'!$Y$70</definedName>
    <definedName name="RA_ProjectMean" localSheetId="17">'Risk Assessment (2)'!$Y$70</definedName>
    <definedName name="RA_ProjectMean" localSheetId="18">'Risk Assessment (3)'!$Y$70</definedName>
    <definedName name="RA_ProjectMean" localSheetId="19">'Risk Assessment (4)'!$Y$70</definedName>
    <definedName name="RA_ProjectMean" localSheetId="21">'Risk Assessment Total'!$Y$70</definedName>
    <definedName name="RA_uprbnd" localSheetId="32">'[1]Risk Assessment Total'!$P$70</definedName>
    <definedName name="RA_uprbnd" localSheetId="16">'Risk Assessment (1)'!$W$70</definedName>
    <definedName name="RA_uprbnd" localSheetId="17">'Risk Assessment (2)'!$W$70</definedName>
    <definedName name="RA_uprbnd" localSheetId="18">'Risk Assessment (3)'!$W$70</definedName>
    <definedName name="RA_uprbnd" localSheetId="19">'Risk Assessment (4)'!$W$70</definedName>
    <definedName name="RA_uprbnd">'Risk Assessment Total'!$W$70</definedName>
    <definedName name="RA_uprmid" localSheetId="32">'[1]5 - Project Risk Analysis Instr'!$J$32</definedName>
    <definedName name="RA_uprmid">'5 - Project Risk Analysis Instr'!$J$22</definedName>
    <definedName name="RA_uprrange" localSheetId="32">'[1]5 - Project Risk Analysis Instr'!$J$33</definedName>
    <definedName name="RA_uprrange">'5 - Project Risk Analysis Instr'!$J$23</definedName>
    <definedName name="RA_uprrange_amt">'Risk Assessment (1)'!$AB$20</definedName>
    <definedName name="RAMPPct" localSheetId="32">'[1]SCC60-70 Beta calculations'!$C$4</definedName>
    <definedName name="RAMPPct">'SCC60-70 Beta calculations'!$C$4</definedName>
    <definedName name="SpBYEst" localSheetId="32">'[1]Sponsor SCC Main'!$J$75</definedName>
    <definedName name="SpBYEst">'Sponsor SCC Main'!$J$75</definedName>
    <definedName name="SpName">'Sponsor SCC Main'!$A$3</definedName>
    <definedName name="SpProjMile">'Sponsor SCC Main'!$A$5</definedName>
    <definedName name="SpProjName">'Sponsor SCC Main'!$A$4</definedName>
    <definedName name="SpYOEStriptEstTot" localSheetId="32">'[1]PMOC Profl Infl Adj'!$AK$70</definedName>
    <definedName name="SpYOEStriptEstTot">'Sponsor SCC Main'!$M$73</definedName>
    <definedName name="VehAcceptPct" localSheetId="32">'[1]SCC60-70 Beta calculations'!$F$8</definedName>
    <definedName name="VehAcceptPct">'SCC60-70 Beta calculations'!$F$8</definedName>
    <definedName name="VehDsgnPct" localSheetId="32">'[1]SCC60-70 Beta calculations'!$F$4</definedName>
    <definedName name="VehDsgnPct">'SCC60-70 Beta calculations'!$F$4</definedName>
    <definedName name="VehProcurePct" localSheetId="32">'[1]SCC60-70 Beta calculations'!$F$6</definedName>
    <definedName name="VehProcurePct">'SCC60-70 Beta calculations'!$F$6</definedName>
    <definedName name="Version" localSheetId="34">'Change Log'!#REF!</definedName>
    <definedName name="Version">'Risk Workbook Overview'!$C$3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2" i="49" l="1"/>
  <c r="F72" i="49"/>
  <c r="G71" i="49"/>
  <c r="F71" i="49"/>
  <c r="G70" i="49"/>
  <c r="F70" i="49"/>
  <c r="G69" i="49"/>
  <c r="F69" i="49"/>
  <c r="G68" i="49"/>
  <c r="F68" i="49"/>
  <c r="G67" i="49"/>
  <c r="F67" i="49"/>
  <c r="G66" i="49"/>
  <c r="F66" i="49"/>
  <c r="G65" i="49"/>
  <c r="F65" i="49"/>
  <c r="E64" i="49"/>
  <c r="F64" i="49" s="1"/>
  <c r="D64" i="49"/>
  <c r="G63" i="49"/>
  <c r="F63" i="49"/>
  <c r="G62" i="49"/>
  <c r="F62" i="49"/>
  <c r="G61" i="49"/>
  <c r="F61" i="49"/>
  <c r="G60" i="49"/>
  <c r="F60" i="49"/>
  <c r="G59" i="49"/>
  <c r="F59" i="49"/>
  <c r="G58" i="49"/>
  <c r="F58" i="49"/>
  <c r="G57" i="49"/>
  <c r="F57" i="49"/>
  <c r="E56" i="49"/>
  <c r="F56" i="49" s="1"/>
  <c r="D56" i="49"/>
  <c r="C56" i="49"/>
  <c r="G56" i="49" s="1"/>
  <c r="G55" i="49"/>
  <c r="F55" i="49"/>
  <c r="G54" i="49"/>
  <c r="F54" i="49"/>
  <c r="F53" i="49"/>
  <c r="E53" i="49"/>
  <c r="D53" i="49"/>
  <c r="G51" i="49"/>
  <c r="F51" i="49"/>
  <c r="G50" i="49"/>
  <c r="F50" i="49"/>
  <c r="G49" i="49"/>
  <c r="F49" i="49"/>
  <c r="G48" i="49"/>
  <c r="F48" i="49"/>
  <c r="G47" i="49"/>
  <c r="F47" i="49"/>
  <c r="G46" i="49"/>
  <c r="F46" i="49"/>
  <c r="G45" i="49"/>
  <c r="F45" i="49"/>
  <c r="E44" i="49"/>
  <c r="E52" i="49" s="1"/>
  <c r="E73" i="49" s="1"/>
  <c r="D44" i="49"/>
  <c r="F44" i="49" s="1"/>
  <c r="C44" i="49"/>
  <c r="G44" i="49" s="1"/>
  <c r="G43" i="49"/>
  <c r="F43" i="49"/>
  <c r="G42" i="49"/>
  <c r="F42" i="49"/>
  <c r="G41" i="49"/>
  <c r="F41" i="49"/>
  <c r="G40" i="49"/>
  <c r="F40" i="49"/>
  <c r="G39" i="49"/>
  <c r="F39" i="49"/>
  <c r="G38" i="49"/>
  <c r="F38" i="49"/>
  <c r="G37" i="49"/>
  <c r="F37" i="49"/>
  <c r="G36" i="49"/>
  <c r="F36" i="49"/>
  <c r="E35" i="49"/>
  <c r="D35" i="49"/>
  <c r="F35" i="49" s="1"/>
  <c r="C35" i="49"/>
  <c r="G35" i="49" s="1"/>
  <c r="G34" i="49"/>
  <c r="F34" i="49"/>
  <c r="G33" i="49"/>
  <c r="F33" i="49"/>
  <c r="G32" i="49"/>
  <c r="F32" i="49"/>
  <c r="G31" i="49"/>
  <c r="F31" i="49"/>
  <c r="G30" i="49"/>
  <c r="F30" i="49"/>
  <c r="F29" i="49"/>
  <c r="E29" i="49"/>
  <c r="D29" i="49"/>
  <c r="G28" i="49"/>
  <c r="F28" i="49"/>
  <c r="G27" i="49"/>
  <c r="F27" i="49"/>
  <c r="G26" i="49"/>
  <c r="F26" i="49"/>
  <c r="G25" i="49"/>
  <c r="F25" i="49"/>
  <c r="G24" i="49"/>
  <c r="F24" i="49"/>
  <c r="G23" i="49"/>
  <c r="F23" i="49"/>
  <c r="G22" i="49"/>
  <c r="F22" i="49"/>
  <c r="F21" i="49"/>
  <c r="E21" i="49"/>
  <c r="D21" i="49"/>
  <c r="C21" i="49"/>
  <c r="G21" i="49" s="1"/>
  <c r="G20" i="49"/>
  <c r="F20" i="49"/>
  <c r="G19" i="49"/>
  <c r="F19" i="49"/>
  <c r="G18" i="49"/>
  <c r="F18" i="49"/>
  <c r="G17" i="49"/>
  <c r="F17" i="49"/>
  <c r="G16" i="49"/>
  <c r="F16" i="49"/>
  <c r="G15" i="49"/>
  <c r="F15" i="49"/>
  <c r="G14" i="49"/>
  <c r="F14" i="49"/>
  <c r="G13" i="49"/>
  <c r="F13" i="49"/>
  <c r="G12" i="49"/>
  <c r="F12" i="49"/>
  <c r="G11" i="49"/>
  <c r="F11" i="49"/>
  <c r="G10" i="49"/>
  <c r="F10" i="49"/>
  <c r="G9" i="49"/>
  <c r="F9" i="49"/>
  <c r="G8" i="49"/>
  <c r="F8" i="49"/>
  <c r="F7" i="49"/>
  <c r="E7" i="49"/>
  <c r="D7" i="49"/>
  <c r="C7" i="49"/>
  <c r="C77" i="49" s="1"/>
  <c r="G77" i="49" s="1"/>
  <c r="F52" i="49" l="1"/>
  <c r="H44" i="49" s="1"/>
  <c r="H52" i="49" s="1"/>
  <c r="G7" i="49"/>
  <c r="H21" i="49"/>
  <c r="C29" i="49"/>
  <c r="G29" i="49" s="1"/>
  <c r="C52" i="49"/>
  <c r="G52" i="49" s="1"/>
  <c r="C53" i="49"/>
  <c r="G53" i="49" s="1"/>
  <c r="H7" i="49"/>
  <c r="H29" i="49"/>
  <c r="D52" i="49"/>
  <c r="D73" i="49" s="1"/>
  <c r="C64" i="49"/>
  <c r="G64" i="49" s="1"/>
  <c r="C73" i="49"/>
  <c r="G73" i="49" s="1"/>
  <c r="C75" i="49"/>
  <c r="G75" i="49" s="1"/>
  <c r="F73" i="49" l="1"/>
  <c r="H64" i="49"/>
  <c r="H35" i="49"/>
  <c r="F75" i="49" l="1"/>
  <c r="F77" i="49" l="1"/>
  <c r="I77" i="49" l="1"/>
  <c r="I74" i="49"/>
  <c r="I29" i="49"/>
  <c r="I76" i="49"/>
  <c r="I53" i="49"/>
  <c r="I64" i="49"/>
  <c r="I56" i="49"/>
  <c r="I35" i="49"/>
  <c r="I44" i="49"/>
  <c r="I21" i="49"/>
  <c r="I7" i="49"/>
  <c r="I52" i="49"/>
  <c r="I73" i="49"/>
  <c r="I75" i="49"/>
  <c r="S41" i="44" l="1"/>
  <c r="P41" i="44"/>
  <c r="M41" i="44"/>
  <c r="J41" i="44"/>
  <c r="G41" i="44"/>
  <c r="S32" i="44"/>
  <c r="P32" i="44"/>
  <c r="M32" i="44"/>
  <c r="J32" i="44"/>
  <c r="G32" i="44"/>
  <c r="S26" i="44"/>
  <c r="P26" i="44"/>
  <c r="M26" i="44"/>
  <c r="J26" i="44"/>
  <c r="G26" i="44"/>
  <c r="S18" i="44"/>
  <c r="P18" i="44"/>
  <c r="M18" i="44"/>
  <c r="J18" i="44"/>
  <c r="G18" i="44"/>
  <c r="S41" i="60"/>
  <c r="P41" i="60"/>
  <c r="M41" i="60"/>
  <c r="J41" i="60"/>
  <c r="G41" i="60"/>
  <c r="S32" i="60"/>
  <c r="P32" i="60"/>
  <c r="M32" i="60"/>
  <c r="J32" i="60"/>
  <c r="G32" i="60"/>
  <c r="S26" i="60"/>
  <c r="P26" i="60"/>
  <c r="M26" i="60"/>
  <c r="J26" i="60"/>
  <c r="G26" i="60"/>
  <c r="S18" i="60"/>
  <c r="P18" i="60"/>
  <c r="M18" i="60"/>
  <c r="J18" i="60"/>
  <c r="G18" i="60"/>
  <c r="S41" i="43"/>
  <c r="P41" i="43"/>
  <c r="M41" i="43"/>
  <c r="J41" i="43"/>
  <c r="G41" i="43"/>
  <c r="S32" i="43"/>
  <c r="P32" i="43"/>
  <c r="M32" i="43"/>
  <c r="J32" i="43"/>
  <c r="G32" i="43"/>
  <c r="S26" i="43"/>
  <c r="P26" i="43"/>
  <c r="M26" i="43"/>
  <c r="J26" i="43"/>
  <c r="G26" i="43"/>
  <c r="S18" i="43"/>
  <c r="P18" i="43"/>
  <c r="M18" i="43"/>
  <c r="J18" i="43"/>
  <c r="G18" i="43"/>
  <c r="S41" i="34"/>
  <c r="P41" i="34"/>
  <c r="M41" i="34"/>
  <c r="J41" i="34"/>
  <c r="G41" i="34"/>
  <c r="S32" i="34"/>
  <c r="P32" i="34"/>
  <c r="M32" i="34"/>
  <c r="J32" i="34"/>
  <c r="G32" i="34"/>
  <c r="S26" i="34"/>
  <c r="P26" i="34"/>
  <c r="M26" i="34"/>
  <c r="J26" i="34"/>
  <c r="G26" i="34"/>
  <c r="S18" i="34"/>
  <c r="P18" i="34"/>
  <c r="M18" i="34"/>
  <c r="J18" i="34"/>
  <c r="G18" i="34"/>
  <c r="K29" i="49" l="1"/>
  <c r="K77" i="49"/>
  <c r="K76" i="49"/>
  <c r="K74" i="49"/>
  <c r="K64" i="49"/>
  <c r="K56" i="49"/>
  <c r="K53" i="49"/>
  <c r="K44" i="49"/>
  <c r="K35" i="49"/>
  <c r="K21" i="49"/>
  <c r="J84" i="49" l="1"/>
  <c r="J83" i="49"/>
  <c r="F81" i="49"/>
  <c r="F79" i="49"/>
  <c r="F78" i="49"/>
  <c r="F80" i="49" s="1"/>
  <c r="A1" i="45" l="1"/>
  <c r="A26" i="2" l="1"/>
  <c r="A6" i="2"/>
  <c r="C13" i="47"/>
  <c r="O63" i="69"/>
  <c r="P63" i="69"/>
  <c r="Q63" i="69"/>
  <c r="R63" i="69"/>
  <c r="O64" i="69"/>
  <c r="P64" i="69"/>
  <c r="Q64" i="69"/>
  <c r="R64" i="69"/>
  <c r="O65" i="69"/>
  <c r="P65" i="69"/>
  <c r="Q65" i="69"/>
  <c r="R65" i="69"/>
  <c r="O66" i="69"/>
  <c r="P66" i="69"/>
  <c r="Q66" i="69"/>
  <c r="R66" i="69"/>
  <c r="O67" i="69"/>
  <c r="P67" i="69"/>
  <c r="Q67" i="69"/>
  <c r="R67" i="69"/>
  <c r="O68" i="69"/>
  <c r="P68" i="69"/>
  <c r="Q68" i="69"/>
  <c r="R68" i="69"/>
  <c r="O69" i="69"/>
  <c r="P69" i="69"/>
  <c r="Q69" i="69"/>
  <c r="R69" i="69"/>
  <c r="R62" i="69"/>
  <c r="Q62" i="69"/>
  <c r="P62" i="69"/>
  <c r="O55" i="69"/>
  <c r="P55" i="69"/>
  <c r="Q55" i="69"/>
  <c r="R55" i="69"/>
  <c r="O56" i="69"/>
  <c r="P56" i="69"/>
  <c r="Q56" i="69"/>
  <c r="R56" i="69"/>
  <c r="O57" i="69"/>
  <c r="P57" i="69"/>
  <c r="Q57" i="69"/>
  <c r="R57" i="69"/>
  <c r="O58" i="69"/>
  <c r="P58" i="69"/>
  <c r="Q58" i="69"/>
  <c r="R58" i="69"/>
  <c r="O59" i="69"/>
  <c r="P59" i="69"/>
  <c r="Q59" i="69"/>
  <c r="R59" i="69"/>
  <c r="O60" i="69"/>
  <c r="P60" i="69"/>
  <c r="Q60" i="69"/>
  <c r="R60" i="69"/>
  <c r="R54" i="69"/>
  <c r="Q54" i="69"/>
  <c r="P54" i="69"/>
  <c r="O52" i="69"/>
  <c r="P52" i="69"/>
  <c r="Q52" i="69"/>
  <c r="R52" i="69"/>
  <c r="R51" i="69"/>
  <c r="Q51" i="69"/>
  <c r="P51" i="69"/>
  <c r="O43" i="69"/>
  <c r="P43" i="69"/>
  <c r="Q43" i="69"/>
  <c r="R43" i="69"/>
  <c r="O44" i="69"/>
  <c r="P44" i="69"/>
  <c r="Q44" i="69"/>
  <c r="R44" i="69"/>
  <c r="O45" i="69"/>
  <c r="P45" i="69"/>
  <c r="Q45" i="69"/>
  <c r="R45" i="69"/>
  <c r="O46" i="69"/>
  <c r="P46" i="69"/>
  <c r="Q46" i="69"/>
  <c r="R46" i="69"/>
  <c r="O47" i="69"/>
  <c r="P47" i="69"/>
  <c r="Q47" i="69"/>
  <c r="R47" i="69"/>
  <c r="O48" i="69"/>
  <c r="P48" i="69"/>
  <c r="Q48" i="69"/>
  <c r="R48" i="69"/>
  <c r="R42" i="69"/>
  <c r="Q42" i="69"/>
  <c r="P42" i="69"/>
  <c r="O34" i="69"/>
  <c r="P34" i="69"/>
  <c r="Q34" i="69"/>
  <c r="R34" i="69"/>
  <c r="O35" i="69"/>
  <c r="P35" i="69"/>
  <c r="Q35" i="69"/>
  <c r="R35" i="69"/>
  <c r="O36" i="69"/>
  <c r="P36" i="69"/>
  <c r="Q36" i="69"/>
  <c r="R36" i="69"/>
  <c r="O37" i="69"/>
  <c r="P37" i="69"/>
  <c r="Q37" i="69"/>
  <c r="R37" i="69"/>
  <c r="O38" i="69"/>
  <c r="P38" i="69"/>
  <c r="Q38" i="69"/>
  <c r="R38" i="69"/>
  <c r="O39" i="69"/>
  <c r="P39" i="69"/>
  <c r="Q39" i="69"/>
  <c r="R39" i="69"/>
  <c r="O40" i="69"/>
  <c r="P40" i="69"/>
  <c r="Q40" i="69"/>
  <c r="R40" i="69"/>
  <c r="R33" i="69"/>
  <c r="Q33" i="69"/>
  <c r="P33" i="69"/>
  <c r="O28" i="69"/>
  <c r="P28" i="69"/>
  <c r="Q28" i="69"/>
  <c r="R28" i="69"/>
  <c r="O29" i="69"/>
  <c r="P29" i="69"/>
  <c r="Q29" i="69"/>
  <c r="R29" i="69"/>
  <c r="O30" i="69"/>
  <c r="P30" i="69"/>
  <c r="Q30" i="69"/>
  <c r="R30" i="69"/>
  <c r="O31" i="69"/>
  <c r="P31" i="69"/>
  <c r="Q31" i="69"/>
  <c r="R31" i="69"/>
  <c r="P27" i="69"/>
  <c r="Q27" i="69"/>
  <c r="R27" i="69"/>
  <c r="O20" i="69"/>
  <c r="P20" i="69"/>
  <c r="Q20" i="69"/>
  <c r="R20" i="69"/>
  <c r="O21" i="69"/>
  <c r="P21" i="69"/>
  <c r="Q21" i="69"/>
  <c r="R21" i="69"/>
  <c r="O22" i="69"/>
  <c r="P22" i="69"/>
  <c r="Q22" i="69"/>
  <c r="R22" i="69"/>
  <c r="O23" i="69"/>
  <c r="P23" i="69"/>
  <c r="Q23" i="69"/>
  <c r="R23" i="69"/>
  <c r="O24" i="69"/>
  <c r="P24" i="69"/>
  <c r="Q24" i="69"/>
  <c r="R24" i="69"/>
  <c r="O25" i="69"/>
  <c r="P25" i="69"/>
  <c r="Q25" i="69"/>
  <c r="R25" i="69"/>
  <c r="R19" i="69"/>
  <c r="Q19" i="69"/>
  <c r="P19" i="69"/>
  <c r="P18" i="69" s="1"/>
  <c r="O62" i="69"/>
  <c r="O54" i="69"/>
  <c r="O51" i="69"/>
  <c r="O50" i="69" s="1"/>
  <c r="O42" i="69"/>
  <c r="O33" i="69"/>
  <c r="O27" i="69"/>
  <c r="O19" i="69"/>
  <c r="O18" i="69" s="1"/>
  <c r="V69" i="43"/>
  <c r="V68" i="43"/>
  <c r="V67" i="43"/>
  <c r="V66" i="43"/>
  <c r="V65" i="43"/>
  <c r="V64" i="43"/>
  <c r="V63" i="43"/>
  <c r="V62" i="43"/>
  <c r="V60" i="43"/>
  <c r="V59" i="43"/>
  <c r="V58" i="43"/>
  <c r="V57" i="43"/>
  <c r="V56" i="43"/>
  <c r="V55" i="43"/>
  <c r="V54" i="43"/>
  <c r="V52" i="43"/>
  <c r="V51" i="43"/>
  <c r="V69" i="60"/>
  <c r="V68" i="60"/>
  <c r="V67" i="60"/>
  <c r="V66" i="60"/>
  <c r="V65" i="60"/>
  <c r="V64" i="60"/>
  <c r="V63" i="60"/>
  <c r="V62" i="60"/>
  <c r="V60" i="60"/>
  <c r="V59" i="60"/>
  <c r="V58" i="60"/>
  <c r="V57" i="60"/>
  <c r="V56" i="60"/>
  <c r="V55" i="60"/>
  <c r="V54" i="60"/>
  <c r="V52" i="60"/>
  <c r="V51" i="60"/>
  <c r="V69" i="44"/>
  <c r="V68" i="44"/>
  <c r="V67" i="44"/>
  <c r="V66" i="44"/>
  <c r="V65" i="44"/>
  <c r="V64" i="44"/>
  <c r="V63" i="44"/>
  <c r="V62" i="44"/>
  <c r="V60" i="44"/>
  <c r="V59" i="44"/>
  <c r="V58" i="44"/>
  <c r="V57" i="44"/>
  <c r="V56" i="44"/>
  <c r="V55" i="44"/>
  <c r="V54" i="44"/>
  <c r="V52" i="44"/>
  <c r="V51" i="44"/>
  <c r="V69" i="34"/>
  <c r="V68" i="34"/>
  <c r="V67" i="34"/>
  <c r="V66" i="34"/>
  <c r="V65" i="34"/>
  <c r="V64" i="34"/>
  <c r="V63" i="34"/>
  <c r="V62" i="34"/>
  <c r="V60" i="34"/>
  <c r="V59" i="34"/>
  <c r="V58" i="34"/>
  <c r="V57" i="34"/>
  <c r="V56" i="34"/>
  <c r="V55" i="34"/>
  <c r="V54" i="34"/>
  <c r="V52" i="34"/>
  <c r="V51" i="34"/>
  <c r="S48" i="43"/>
  <c r="P48" i="43"/>
  <c r="M48" i="43"/>
  <c r="J48" i="43"/>
  <c r="G48" i="43"/>
  <c r="S47" i="43"/>
  <c r="P47" i="43"/>
  <c r="M47" i="43"/>
  <c r="J47" i="43"/>
  <c r="G47" i="43"/>
  <c r="S46" i="43"/>
  <c r="P46" i="43"/>
  <c r="M46" i="43"/>
  <c r="J46" i="43"/>
  <c r="G46" i="43"/>
  <c r="S45" i="43"/>
  <c r="P45" i="43"/>
  <c r="M45" i="43"/>
  <c r="J45" i="43"/>
  <c r="G45" i="43"/>
  <c r="S44" i="43"/>
  <c r="P44" i="43"/>
  <c r="M44" i="43"/>
  <c r="J44" i="43"/>
  <c r="G44" i="43"/>
  <c r="S43" i="43"/>
  <c r="P43" i="43"/>
  <c r="M43" i="43"/>
  <c r="J43" i="43"/>
  <c r="G43" i="43"/>
  <c r="S42" i="43"/>
  <c r="P42" i="43"/>
  <c r="M42" i="43"/>
  <c r="J42" i="43"/>
  <c r="G42" i="43"/>
  <c r="S40" i="43"/>
  <c r="P40" i="43"/>
  <c r="M40" i="43"/>
  <c r="J40" i="43"/>
  <c r="G40" i="43"/>
  <c r="S39" i="43"/>
  <c r="P39" i="43"/>
  <c r="M39" i="43"/>
  <c r="J39" i="43"/>
  <c r="G39" i="43"/>
  <c r="S38" i="43"/>
  <c r="P38" i="43"/>
  <c r="M38" i="43"/>
  <c r="J38" i="43"/>
  <c r="G38" i="43"/>
  <c r="S37" i="43"/>
  <c r="P37" i="43"/>
  <c r="M37" i="43"/>
  <c r="J37" i="43"/>
  <c r="G37" i="43"/>
  <c r="S36" i="43"/>
  <c r="P36" i="43"/>
  <c r="M36" i="43"/>
  <c r="J36" i="43"/>
  <c r="G36" i="43"/>
  <c r="S35" i="43"/>
  <c r="P35" i="43"/>
  <c r="M35" i="43"/>
  <c r="J35" i="43"/>
  <c r="G35" i="43"/>
  <c r="S34" i="43"/>
  <c r="P34" i="43"/>
  <c r="M34" i="43"/>
  <c r="J34" i="43"/>
  <c r="G34" i="43"/>
  <c r="S33" i="43"/>
  <c r="P33" i="43"/>
  <c r="M33" i="43"/>
  <c r="J33" i="43"/>
  <c r="G33" i="43"/>
  <c r="S31" i="43"/>
  <c r="P31" i="43"/>
  <c r="M31" i="43"/>
  <c r="J31" i="43"/>
  <c r="G31" i="43"/>
  <c r="S30" i="43"/>
  <c r="P30" i="43"/>
  <c r="M30" i="43"/>
  <c r="J30" i="43"/>
  <c r="G30" i="43"/>
  <c r="S29" i="43"/>
  <c r="P29" i="43"/>
  <c r="M29" i="43"/>
  <c r="J29" i="43"/>
  <c r="G29" i="43"/>
  <c r="S28" i="43"/>
  <c r="P28" i="43"/>
  <c r="M28" i="43"/>
  <c r="J28" i="43"/>
  <c r="G28" i="43"/>
  <c r="S27" i="43"/>
  <c r="P27" i="43"/>
  <c r="M27" i="43"/>
  <c r="J27" i="43"/>
  <c r="G27" i="43"/>
  <c r="S25" i="43"/>
  <c r="P25" i="43"/>
  <c r="M25" i="43"/>
  <c r="J25" i="43"/>
  <c r="G25" i="43"/>
  <c r="S24" i="43"/>
  <c r="P24" i="43"/>
  <c r="M24" i="43"/>
  <c r="J24" i="43"/>
  <c r="G24" i="43"/>
  <c r="S23" i="43"/>
  <c r="P23" i="43"/>
  <c r="M23" i="43"/>
  <c r="J23" i="43"/>
  <c r="G23" i="43"/>
  <c r="S22" i="43"/>
  <c r="P22" i="43"/>
  <c r="M22" i="43"/>
  <c r="J22" i="43"/>
  <c r="G22" i="43"/>
  <c r="S21" i="43"/>
  <c r="P21" i="43"/>
  <c r="M21" i="43"/>
  <c r="J21" i="43"/>
  <c r="G21" i="43"/>
  <c r="S20" i="43"/>
  <c r="P20" i="43"/>
  <c r="M20" i="43"/>
  <c r="J20" i="43"/>
  <c r="G20" i="43"/>
  <c r="S19" i="43"/>
  <c r="P19" i="43"/>
  <c r="M19" i="43"/>
  <c r="J19" i="43"/>
  <c r="G19" i="43"/>
  <c r="S17" i="43"/>
  <c r="P17" i="43"/>
  <c r="M17" i="43"/>
  <c r="J17" i="43"/>
  <c r="G17" i="43"/>
  <c r="S16" i="43"/>
  <c r="P16" i="43"/>
  <c r="M16" i="43"/>
  <c r="J16" i="43"/>
  <c r="G16" i="43"/>
  <c r="S15" i="43"/>
  <c r="P15" i="43"/>
  <c r="M15" i="43"/>
  <c r="J15" i="43"/>
  <c r="G15" i="43"/>
  <c r="S14" i="43"/>
  <c r="P14" i="43"/>
  <c r="M14" i="43"/>
  <c r="J14" i="43"/>
  <c r="G14" i="43"/>
  <c r="S13" i="43"/>
  <c r="P13" i="43"/>
  <c r="M13" i="43"/>
  <c r="J13" i="43"/>
  <c r="G13" i="43"/>
  <c r="S12" i="43"/>
  <c r="P12" i="43"/>
  <c r="M12" i="43"/>
  <c r="J12" i="43"/>
  <c r="G12" i="43"/>
  <c r="S11" i="43"/>
  <c r="P11" i="43"/>
  <c r="M11" i="43"/>
  <c r="J11" i="43"/>
  <c r="G11" i="43"/>
  <c r="S10" i="43"/>
  <c r="P10" i="43"/>
  <c r="M10" i="43"/>
  <c r="J10" i="43"/>
  <c r="G10" i="43"/>
  <c r="S9" i="43"/>
  <c r="P9" i="43"/>
  <c r="M9" i="43"/>
  <c r="J9" i="43"/>
  <c r="G9" i="43"/>
  <c r="S8" i="43"/>
  <c r="P8" i="43"/>
  <c r="M8" i="43"/>
  <c r="J8" i="43"/>
  <c r="G8" i="43"/>
  <c r="S7" i="43"/>
  <c r="P7" i="43"/>
  <c r="M7" i="43"/>
  <c r="J7" i="43"/>
  <c r="G7" i="43"/>
  <c r="S6" i="43"/>
  <c r="P6" i="43"/>
  <c r="M6" i="43"/>
  <c r="J6" i="43"/>
  <c r="G6" i="43"/>
  <c r="S48" i="60"/>
  <c r="P48" i="60"/>
  <c r="M48" i="60"/>
  <c r="J48" i="60"/>
  <c r="G48" i="60"/>
  <c r="S47" i="60"/>
  <c r="P47" i="60"/>
  <c r="M47" i="60"/>
  <c r="J47" i="60"/>
  <c r="G47" i="60"/>
  <c r="S46" i="60"/>
  <c r="P46" i="60"/>
  <c r="M46" i="60"/>
  <c r="J46" i="60"/>
  <c r="G46" i="60"/>
  <c r="S45" i="60"/>
  <c r="P45" i="60"/>
  <c r="M45" i="60"/>
  <c r="J45" i="60"/>
  <c r="G45" i="60"/>
  <c r="S44" i="60"/>
  <c r="P44" i="60"/>
  <c r="M44" i="60"/>
  <c r="J44" i="60"/>
  <c r="G44" i="60"/>
  <c r="S43" i="60"/>
  <c r="P43" i="60"/>
  <c r="M43" i="60"/>
  <c r="J43" i="60"/>
  <c r="G43" i="60"/>
  <c r="S42" i="60"/>
  <c r="P42" i="60"/>
  <c r="M42" i="60"/>
  <c r="J42" i="60"/>
  <c r="G42" i="60"/>
  <c r="S40" i="60"/>
  <c r="P40" i="60"/>
  <c r="M40" i="60"/>
  <c r="J40" i="60"/>
  <c r="G40" i="60"/>
  <c r="S39" i="60"/>
  <c r="P39" i="60"/>
  <c r="M39" i="60"/>
  <c r="J39" i="60"/>
  <c r="G39" i="60"/>
  <c r="S38" i="60"/>
  <c r="P38" i="60"/>
  <c r="M38" i="60"/>
  <c r="J38" i="60"/>
  <c r="G38" i="60"/>
  <c r="S37" i="60"/>
  <c r="P37" i="60"/>
  <c r="M37" i="60"/>
  <c r="J37" i="60"/>
  <c r="G37" i="60"/>
  <c r="S36" i="60"/>
  <c r="P36" i="60"/>
  <c r="M36" i="60"/>
  <c r="J36" i="60"/>
  <c r="G36" i="60"/>
  <c r="S35" i="60"/>
  <c r="P35" i="60"/>
  <c r="M35" i="60"/>
  <c r="J35" i="60"/>
  <c r="G35" i="60"/>
  <c r="S34" i="60"/>
  <c r="P34" i="60"/>
  <c r="M34" i="60"/>
  <c r="J34" i="60"/>
  <c r="G34" i="60"/>
  <c r="S33" i="60"/>
  <c r="P33" i="60"/>
  <c r="M33" i="60"/>
  <c r="J33" i="60"/>
  <c r="G33" i="60"/>
  <c r="S31" i="60"/>
  <c r="P31" i="60"/>
  <c r="M31" i="60"/>
  <c r="J31" i="60"/>
  <c r="G31" i="60"/>
  <c r="S30" i="60"/>
  <c r="P30" i="60"/>
  <c r="M30" i="60"/>
  <c r="J30" i="60"/>
  <c r="G30" i="60"/>
  <c r="S29" i="60"/>
  <c r="P29" i="60"/>
  <c r="M29" i="60"/>
  <c r="J29" i="60"/>
  <c r="G29" i="60"/>
  <c r="S28" i="60"/>
  <c r="P28" i="60"/>
  <c r="M28" i="60"/>
  <c r="J28" i="60"/>
  <c r="G28" i="60"/>
  <c r="S27" i="60"/>
  <c r="P27" i="60"/>
  <c r="M27" i="60"/>
  <c r="J27" i="60"/>
  <c r="G27" i="60"/>
  <c r="S25" i="60"/>
  <c r="P25" i="60"/>
  <c r="M25" i="60"/>
  <c r="J25" i="60"/>
  <c r="G25" i="60"/>
  <c r="S24" i="60"/>
  <c r="P24" i="60"/>
  <c r="M24" i="60"/>
  <c r="J24" i="60"/>
  <c r="G24" i="60"/>
  <c r="S23" i="60"/>
  <c r="P23" i="60"/>
  <c r="M23" i="60"/>
  <c r="J23" i="60"/>
  <c r="G23" i="60"/>
  <c r="S22" i="60"/>
  <c r="P22" i="60"/>
  <c r="M22" i="60"/>
  <c r="J22" i="60"/>
  <c r="G22" i="60"/>
  <c r="S21" i="60"/>
  <c r="P21" i="60"/>
  <c r="M21" i="60"/>
  <c r="J21" i="60"/>
  <c r="G21" i="60"/>
  <c r="S20" i="60"/>
  <c r="P20" i="60"/>
  <c r="M20" i="60"/>
  <c r="J20" i="60"/>
  <c r="G20" i="60"/>
  <c r="S19" i="60"/>
  <c r="P19" i="60"/>
  <c r="M19" i="60"/>
  <c r="J19" i="60"/>
  <c r="G19" i="60"/>
  <c r="S17" i="60"/>
  <c r="P17" i="60"/>
  <c r="M17" i="60"/>
  <c r="J17" i="60"/>
  <c r="G17" i="60"/>
  <c r="S16" i="60"/>
  <c r="P16" i="60"/>
  <c r="M16" i="60"/>
  <c r="J16" i="60"/>
  <c r="G16" i="60"/>
  <c r="S15" i="60"/>
  <c r="P15" i="60"/>
  <c r="M15" i="60"/>
  <c r="J15" i="60"/>
  <c r="G15" i="60"/>
  <c r="S14" i="60"/>
  <c r="P14" i="60"/>
  <c r="M14" i="60"/>
  <c r="J14" i="60"/>
  <c r="G14" i="60"/>
  <c r="S13" i="60"/>
  <c r="P13" i="60"/>
  <c r="M13" i="60"/>
  <c r="J13" i="60"/>
  <c r="G13" i="60"/>
  <c r="S12" i="60"/>
  <c r="P12" i="60"/>
  <c r="M12" i="60"/>
  <c r="J12" i="60"/>
  <c r="G12" i="60"/>
  <c r="S11" i="60"/>
  <c r="P11" i="60"/>
  <c r="M11" i="60"/>
  <c r="J11" i="60"/>
  <c r="G11" i="60"/>
  <c r="S10" i="60"/>
  <c r="P10" i="60"/>
  <c r="M10" i="60"/>
  <c r="J10" i="60"/>
  <c r="G10" i="60"/>
  <c r="S9" i="60"/>
  <c r="P9" i="60"/>
  <c r="M9" i="60"/>
  <c r="J9" i="60"/>
  <c r="G9" i="60"/>
  <c r="S8" i="60"/>
  <c r="P8" i="60"/>
  <c r="M8" i="60"/>
  <c r="J8" i="60"/>
  <c r="G8" i="60"/>
  <c r="S7" i="60"/>
  <c r="P7" i="60"/>
  <c r="M7" i="60"/>
  <c r="J7" i="60"/>
  <c r="G7" i="60"/>
  <c r="S6" i="60"/>
  <c r="P6" i="60"/>
  <c r="M6" i="60"/>
  <c r="J6" i="60"/>
  <c r="G6" i="60"/>
  <c r="S48" i="44"/>
  <c r="P48" i="44"/>
  <c r="M48" i="44"/>
  <c r="J48" i="44"/>
  <c r="G48" i="44"/>
  <c r="S47" i="44"/>
  <c r="P47" i="44"/>
  <c r="M47" i="44"/>
  <c r="J47" i="44"/>
  <c r="G47" i="44"/>
  <c r="S46" i="44"/>
  <c r="P46" i="44"/>
  <c r="M46" i="44"/>
  <c r="J46" i="44"/>
  <c r="G46" i="44"/>
  <c r="S45" i="44"/>
  <c r="P45" i="44"/>
  <c r="M45" i="44"/>
  <c r="J45" i="44"/>
  <c r="G45" i="44"/>
  <c r="S44" i="44"/>
  <c r="P44" i="44"/>
  <c r="M44" i="44"/>
  <c r="J44" i="44"/>
  <c r="G44" i="44"/>
  <c r="S43" i="44"/>
  <c r="P43" i="44"/>
  <c r="M43" i="44"/>
  <c r="J43" i="44"/>
  <c r="G43" i="44"/>
  <c r="S42" i="44"/>
  <c r="P42" i="44"/>
  <c r="M42" i="44"/>
  <c r="J42" i="44"/>
  <c r="G42" i="44"/>
  <c r="S40" i="44"/>
  <c r="P40" i="44"/>
  <c r="M40" i="44"/>
  <c r="J40" i="44"/>
  <c r="G40" i="44"/>
  <c r="S39" i="44"/>
  <c r="P39" i="44"/>
  <c r="M39" i="44"/>
  <c r="J39" i="44"/>
  <c r="G39" i="44"/>
  <c r="S38" i="44"/>
  <c r="P38" i="44"/>
  <c r="M38" i="44"/>
  <c r="J38" i="44"/>
  <c r="G38" i="44"/>
  <c r="S37" i="44"/>
  <c r="P37" i="44"/>
  <c r="M37" i="44"/>
  <c r="J37" i="44"/>
  <c r="G37" i="44"/>
  <c r="S36" i="44"/>
  <c r="P36" i="44"/>
  <c r="M36" i="44"/>
  <c r="J36" i="44"/>
  <c r="G36" i="44"/>
  <c r="S35" i="44"/>
  <c r="P35" i="44"/>
  <c r="M35" i="44"/>
  <c r="J35" i="44"/>
  <c r="G35" i="44"/>
  <c r="S34" i="44"/>
  <c r="P34" i="44"/>
  <c r="M34" i="44"/>
  <c r="J34" i="44"/>
  <c r="G34" i="44"/>
  <c r="S33" i="44"/>
  <c r="P33" i="44"/>
  <c r="M33" i="44"/>
  <c r="J33" i="44"/>
  <c r="G33" i="44"/>
  <c r="S31" i="44"/>
  <c r="P31" i="44"/>
  <c r="M31" i="44"/>
  <c r="J31" i="44"/>
  <c r="G31" i="44"/>
  <c r="S30" i="44"/>
  <c r="P30" i="44"/>
  <c r="M30" i="44"/>
  <c r="J30" i="44"/>
  <c r="G30" i="44"/>
  <c r="S29" i="44"/>
  <c r="P29" i="44"/>
  <c r="M29" i="44"/>
  <c r="J29" i="44"/>
  <c r="G29" i="44"/>
  <c r="S28" i="44"/>
  <c r="P28" i="44"/>
  <c r="M28" i="44"/>
  <c r="J28" i="44"/>
  <c r="G28" i="44"/>
  <c r="S27" i="44"/>
  <c r="P27" i="44"/>
  <c r="M27" i="44"/>
  <c r="J27" i="44"/>
  <c r="G27" i="44"/>
  <c r="S25" i="44"/>
  <c r="P25" i="44"/>
  <c r="M25" i="44"/>
  <c r="J25" i="44"/>
  <c r="G25" i="44"/>
  <c r="S24" i="44"/>
  <c r="P24" i="44"/>
  <c r="M24" i="44"/>
  <c r="J24" i="44"/>
  <c r="G24" i="44"/>
  <c r="S23" i="44"/>
  <c r="P23" i="44"/>
  <c r="M23" i="44"/>
  <c r="J23" i="44"/>
  <c r="G23" i="44"/>
  <c r="S22" i="44"/>
  <c r="P22" i="44"/>
  <c r="M22" i="44"/>
  <c r="J22" i="44"/>
  <c r="G22" i="44"/>
  <c r="S21" i="44"/>
  <c r="P21" i="44"/>
  <c r="M21" i="44"/>
  <c r="J21" i="44"/>
  <c r="G21" i="44"/>
  <c r="S20" i="44"/>
  <c r="P20" i="44"/>
  <c r="M20" i="44"/>
  <c r="J20" i="44"/>
  <c r="G20" i="44"/>
  <c r="S19" i="44"/>
  <c r="P19" i="44"/>
  <c r="M19" i="44"/>
  <c r="J19" i="44"/>
  <c r="G19" i="44"/>
  <c r="S17" i="44"/>
  <c r="P17" i="44"/>
  <c r="M17" i="44"/>
  <c r="J17" i="44"/>
  <c r="G17" i="44"/>
  <c r="S16" i="44"/>
  <c r="P16" i="44"/>
  <c r="M16" i="44"/>
  <c r="J16" i="44"/>
  <c r="G16" i="44"/>
  <c r="S15" i="44"/>
  <c r="P15" i="44"/>
  <c r="M15" i="44"/>
  <c r="J15" i="44"/>
  <c r="G15" i="44"/>
  <c r="S14" i="44"/>
  <c r="P14" i="44"/>
  <c r="M14" i="44"/>
  <c r="J14" i="44"/>
  <c r="G14" i="44"/>
  <c r="S13" i="44"/>
  <c r="P13" i="44"/>
  <c r="M13" i="44"/>
  <c r="J13" i="44"/>
  <c r="G13" i="44"/>
  <c r="S12" i="44"/>
  <c r="P12" i="44"/>
  <c r="M12" i="44"/>
  <c r="J12" i="44"/>
  <c r="G12" i="44"/>
  <c r="S11" i="44"/>
  <c r="P11" i="44"/>
  <c r="M11" i="44"/>
  <c r="J11" i="44"/>
  <c r="G11" i="44"/>
  <c r="S10" i="44"/>
  <c r="P10" i="44"/>
  <c r="M10" i="44"/>
  <c r="J10" i="44"/>
  <c r="G10" i="44"/>
  <c r="S9" i="44"/>
  <c r="P9" i="44"/>
  <c r="M9" i="44"/>
  <c r="J9" i="44"/>
  <c r="G9" i="44"/>
  <c r="S8" i="44"/>
  <c r="P8" i="44"/>
  <c r="M8" i="44"/>
  <c r="J8" i="44"/>
  <c r="G8" i="44"/>
  <c r="S7" i="44"/>
  <c r="P7" i="44"/>
  <c r="M7" i="44"/>
  <c r="J7" i="44"/>
  <c r="G7" i="44"/>
  <c r="S6" i="44"/>
  <c r="P6" i="44"/>
  <c r="M6" i="44"/>
  <c r="J6" i="44"/>
  <c r="G6" i="44"/>
  <c r="S48" i="34"/>
  <c r="P48" i="34"/>
  <c r="M48" i="34"/>
  <c r="J48" i="34"/>
  <c r="G48" i="34"/>
  <c r="S47" i="34"/>
  <c r="P47" i="34"/>
  <c r="M47" i="34"/>
  <c r="J47" i="34"/>
  <c r="G47" i="34"/>
  <c r="S46" i="34"/>
  <c r="P46" i="34"/>
  <c r="M46" i="34"/>
  <c r="J46" i="34"/>
  <c r="G46" i="34"/>
  <c r="S45" i="34"/>
  <c r="P45" i="34"/>
  <c r="M45" i="34"/>
  <c r="J45" i="34"/>
  <c r="G45" i="34"/>
  <c r="S44" i="34"/>
  <c r="P44" i="34"/>
  <c r="M44" i="34"/>
  <c r="J44" i="34"/>
  <c r="G44" i="34"/>
  <c r="S43" i="34"/>
  <c r="P43" i="34"/>
  <c r="M43" i="34"/>
  <c r="J43" i="34"/>
  <c r="G43" i="34"/>
  <c r="S42" i="34"/>
  <c r="P42" i="34"/>
  <c r="M42" i="34"/>
  <c r="J42" i="34"/>
  <c r="G42" i="34"/>
  <c r="S40" i="34"/>
  <c r="P40" i="34"/>
  <c r="M40" i="34"/>
  <c r="J40" i="34"/>
  <c r="G40" i="34"/>
  <c r="S39" i="34"/>
  <c r="P39" i="34"/>
  <c r="M39" i="34"/>
  <c r="J39" i="34"/>
  <c r="G39" i="34"/>
  <c r="S38" i="34"/>
  <c r="P38" i="34"/>
  <c r="M38" i="34"/>
  <c r="J38" i="34"/>
  <c r="G38" i="34"/>
  <c r="S37" i="34"/>
  <c r="P37" i="34"/>
  <c r="M37" i="34"/>
  <c r="J37" i="34"/>
  <c r="G37" i="34"/>
  <c r="S36" i="34"/>
  <c r="P36" i="34"/>
  <c r="M36" i="34"/>
  <c r="J36" i="34"/>
  <c r="G36" i="34"/>
  <c r="S35" i="34"/>
  <c r="P35" i="34"/>
  <c r="M35" i="34"/>
  <c r="J35" i="34"/>
  <c r="G35" i="34"/>
  <c r="S34" i="34"/>
  <c r="P34" i="34"/>
  <c r="M34" i="34"/>
  <c r="J34" i="34"/>
  <c r="G34" i="34"/>
  <c r="S33" i="34"/>
  <c r="P33" i="34"/>
  <c r="M33" i="34"/>
  <c r="J33" i="34"/>
  <c r="G33" i="34"/>
  <c r="S31" i="34"/>
  <c r="P31" i="34"/>
  <c r="M31" i="34"/>
  <c r="J31" i="34"/>
  <c r="G31" i="34"/>
  <c r="S30" i="34"/>
  <c r="P30" i="34"/>
  <c r="M30" i="34"/>
  <c r="J30" i="34"/>
  <c r="G30" i="34"/>
  <c r="S29" i="34"/>
  <c r="P29" i="34"/>
  <c r="M29" i="34"/>
  <c r="J29" i="34"/>
  <c r="G29" i="34"/>
  <c r="S28" i="34"/>
  <c r="P28" i="34"/>
  <c r="M28" i="34"/>
  <c r="J28" i="34"/>
  <c r="G28" i="34"/>
  <c r="S27" i="34"/>
  <c r="P27" i="34"/>
  <c r="M27" i="34"/>
  <c r="J27" i="34"/>
  <c r="G27" i="34"/>
  <c r="S25" i="34"/>
  <c r="P25" i="34"/>
  <c r="M25" i="34"/>
  <c r="J25" i="34"/>
  <c r="G25" i="34"/>
  <c r="S24" i="34"/>
  <c r="P24" i="34"/>
  <c r="M24" i="34"/>
  <c r="J24" i="34"/>
  <c r="G24" i="34"/>
  <c r="S23" i="34"/>
  <c r="P23" i="34"/>
  <c r="M23" i="34"/>
  <c r="J23" i="34"/>
  <c r="G23" i="34"/>
  <c r="S22" i="34"/>
  <c r="P22" i="34"/>
  <c r="M22" i="34"/>
  <c r="J22" i="34"/>
  <c r="G22" i="34"/>
  <c r="S21" i="34"/>
  <c r="P21" i="34"/>
  <c r="M21" i="34"/>
  <c r="J21" i="34"/>
  <c r="G21" i="34"/>
  <c r="S20" i="34"/>
  <c r="P20" i="34"/>
  <c r="M20" i="34"/>
  <c r="J20" i="34"/>
  <c r="G20" i="34"/>
  <c r="S19" i="34"/>
  <c r="P19" i="34"/>
  <c r="M19" i="34"/>
  <c r="J19" i="34"/>
  <c r="G19" i="34"/>
  <c r="S17" i="34"/>
  <c r="P17" i="34"/>
  <c r="M17" i="34"/>
  <c r="J17" i="34"/>
  <c r="G17" i="34"/>
  <c r="S16" i="34"/>
  <c r="P16" i="34"/>
  <c r="M16" i="34"/>
  <c r="J16" i="34"/>
  <c r="G16" i="34"/>
  <c r="S15" i="34"/>
  <c r="P15" i="34"/>
  <c r="M15" i="34"/>
  <c r="J15" i="34"/>
  <c r="G15" i="34"/>
  <c r="S14" i="34"/>
  <c r="P14" i="34"/>
  <c r="M14" i="34"/>
  <c r="J14" i="34"/>
  <c r="G14" i="34"/>
  <c r="S13" i="34"/>
  <c r="P13" i="34"/>
  <c r="M13" i="34"/>
  <c r="J13" i="34"/>
  <c r="G13" i="34"/>
  <c r="S12" i="34"/>
  <c r="P12" i="34"/>
  <c r="M12" i="34"/>
  <c r="J12" i="34"/>
  <c r="G12" i="34"/>
  <c r="S11" i="34"/>
  <c r="P11" i="34"/>
  <c r="M11" i="34"/>
  <c r="J11" i="34"/>
  <c r="G11" i="34"/>
  <c r="S10" i="34"/>
  <c r="P10" i="34"/>
  <c r="M10" i="34"/>
  <c r="J10" i="34"/>
  <c r="G10" i="34"/>
  <c r="S9" i="34"/>
  <c r="P9" i="34"/>
  <c r="M9" i="34"/>
  <c r="J9" i="34"/>
  <c r="G9" i="34"/>
  <c r="S8" i="34"/>
  <c r="P8" i="34"/>
  <c r="M8" i="34"/>
  <c r="J8" i="34"/>
  <c r="G8" i="34"/>
  <c r="S7" i="34"/>
  <c r="P7" i="34"/>
  <c r="M7" i="34"/>
  <c r="J7" i="34"/>
  <c r="G7" i="34"/>
  <c r="S6" i="34"/>
  <c r="P6" i="34"/>
  <c r="M6" i="34"/>
  <c r="J6" i="34"/>
  <c r="G6" i="34"/>
  <c r="P5" i="43"/>
  <c r="P5" i="60"/>
  <c r="P5" i="44"/>
  <c r="P5" i="34"/>
  <c r="M5" i="43"/>
  <c r="M5" i="60"/>
  <c r="M5" i="44"/>
  <c r="M5" i="34"/>
  <c r="J5" i="43"/>
  <c r="J5" i="60"/>
  <c r="J5" i="44"/>
  <c r="J5" i="34"/>
  <c r="G5" i="43"/>
  <c r="G5" i="60"/>
  <c r="G5" i="44"/>
  <c r="G5" i="34"/>
  <c r="A1" i="98"/>
  <c r="A1" i="44"/>
  <c r="A1" i="34"/>
  <c r="A1" i="43"/>
  <c r="A1" i="60"/>
  <c r="A2" i="43"/>
  <c r="M54" i="43"/>
  <c r="M54" i="60"/>
  <c r="M54" i="44"/>
  <c r="M54" i="34"/>
  <c r="P58" i="43"/>
  <c r="P58" i="60"/>
  <c r="P58" i="44"/>
  <c r="P58" i="34"/>
  <c r="S5" i="43"/>
  <c r="S5" i="60"/>
  <c r="S5" i="44"/>
  <c r="S5" i="34"/>
  <c r="S69" i="43"/>
  <c r="S68" i="43"/>
  <c r="S67" i="43"/>
  <c r="S66" i="43"/>
  <c r="S65" i="43"/>
  <c r="S64" i="43"/>
  <c r="S63" i="43"/>
  <c r="S62" i="43"/>
  <c r="S60" i="43"/>
  <c r="S59" i="43"/>
  <c r="S58" i="43"/>
  <c r="S57" i="43"/>
  <c r="S56" i="43"/>
  <c r="S55" i="43"/>
  <c r="S54" i="43"/>
  <c r="S52" i="43"/>
  <c r="S51" i="43"/>
  <c r="S69" i="60"/>
  <c r="S68" i="60"/>
  <c r="S67" i="60"/>
  <c r="S66" i="60"/>
  <c r="S65" i="60"/>
  <c r="S64" i="60"/>
  <c r="S63" i="60"/>
  <c r="S62" i="60"/>
  <c r="S60" i="60"/>
  <c r="S59" i="60"/>
  <c r="S58" i="60"/>
  <c r="S57" i="60"/>
  <c r="S56" i="60"/>
  <c r="S55" i="60"/>
  <c r="S54" i="60"/>
  <c r="S52" i="60"/>
  <c r="S51" i="60"/>
  <c r="S69" i="44"/>
  <c r="S68" i="44"/>
  <c r="S67" i="44"/>
  <c r="S66" i="44"/>
  <c r="S65" i="44"/>
  <c r="S64" i="44"/>
  <c r="S63" i="44"/>
  <c r="S62" i="44"/>
  <c r="S60" i="44"/>
  <c r="S59" i="44"/>
  <c r="S58" i="44"/>
  <c r="S57" i="44"/>
  <c r="S56" i="44"/>
  <c r="S55" i="44"/>
  <c r="S54" i="44"/>
  <c r="S52" i="44"/>
  <c r="S51" i="44"/>
  <c r="S69" i="34"/>
  <c r="S68" i="34"/>
  <c r="S67" i="34"/>
  <c r="S66" i="34"/>
  <c r="S65" i="34"/>
  <c r="S64" i="34"/>
  <c r="S63" i="34"/>
  <c r="S62" i="34"/>
  <c r="S60" i="34"/>
  <c r="S59" i="34"/>
  <c r="S58" i="34"/>
  <c r="S57" i="34"/>
  <c r="S56" i="34"/>
  <c r="S55" i="34"/>
  <c r="S54" i="34"/>
  <c r="S52" i="34"/>
  <c r="S51" i="34"/>
  <c r="P69" i="43"/>
  <c r="P68" i="43"/>
  <c r="P67" i="43"/>
  <c r="P66" i="43"/>
  <c r="P65" i="43"/>
  <c r="P64" i="43"/>
  <c r="P63" i="43"/>
  <c r="P62" i="43"/>
  <c r="P60" i="43"/>
  <c r="P59" i="43"/>
  <c r="P57" i="43"/>
  <c r="P56" i="43"/>
  <c r="P55" i="43"/>
  <c r="P54" i="43"/>
  <c r="P52" i="43"/>
  <c r="P51" i="43"/>
  <c r="P69" i="60"/>
  <c r="P68" i="60"/>
  <c r="P67" i="60"/>
  <c r="P66" i="60"/>
  <c r="P65" i="60"/>
  <c r="P64" i="60"/>
  <c r="P63" i="60"/>
  <c r="P62" i="60"/>
  <c r="P60" i="60"/>
  <c r="P59" i="60"/>
  <c r="P57" i="60"/>
  <c r="P56" i="60"/>
  <c r="P55" i="60"/>
  <c r="P54" i="60"/>
  <c r="P52" i="60"/>
  <c r="P51" i="60"/>
  <c r="P69" i="44"/>
  <c r="P68" i="44"/>
  <c r="P67" i="44"/>
  <c r="P66" i="44"/>
  <c r="P65" i="44"/>
  <c r="P64" i="44"/>
  <c r="P63" i="44"/>
  <c r="P62" i="44"/>
  <c r="P60" i="44"/>
  <c r="P59" i="44"/>
  <c r="P57" i="44"/>
  <c r="P56" i="44"/>
  <c r="P55" i="44"/>
  <c r="P54" i="44"/>
  <c r="P52" i="44"/>
  <c r="P51" i="44"/>
  <c r="P69" i="34"/>
  <c r="P68" i="34"/>
  <c r="P67" i="34"/>
  <c r="P66" i="34"/>
  <c r="P65" i="34"/>
  <c r="P64" i="34"/>
  <c r="P63" i="34"/>
  <c r="P62" i="34"/>
  <c r="P60" i="34"/>
  <c r="P59" i="34"/>
  <c r="P57" i="34"/>
  <c r="P56" i="34"/>
  <c r="P55" i="34"/>
  <c r="P54" i="34"/>
  <c r="P52" i="34"/>
  <c r="P51" i="34"/>
  <c r="M69" i="43"/>
  <c r="M68" i="43"/>
  <c r="M67" i="43"/>
  <c r="M66" i="43"/>
  <c r="M65" i="43"/>
  <c r="M64" i="43"/>
  <c r="M63" i="43"/>
  <c r="M62" i="43"/>
  <c r="M60" i="43"/>
  <c r="M59" i="43"/>
  <c r="M58" i="43"/>
  <c r="M57" i="43"/>
  <c r="M56" i="43"/>
  <c r="M55" i="43"/>
  <c r="M52" i="43"/>
  <c r="M51" i="43"/>
  <c r="M69" i="60"/>
  <c r="M68" i="60"/>
  <c r="M67" i="60"/>
  <c r="M66" i="60"/>
  <c r="M65" i="60"/>
  <c r="M64" i="60"/>
  <c r="M63" i="60"/>
  <c r="M62" i="60"/>
  <c r="M60" i="60"/>
  <c r="M59" i="60"/>
  <c r="M58" i="60"/>
  <c r="M57" i="60"/>
  <c r="M56" i="60"/>
  <c r="M55" i="60"/>
  <c r="M52" i="60"/>
  <c r="M51" i="60"/>
  <c r="M69" i="44"/>
  <c r="M68" i="44"/>
  <c r="M67" i="44"/>
  <c r="M66" i="44"/>
  <c r="M65" i="44"/>
  <c r="M64" i="44"/>
  <c r="M63" i="44"/>
  <c r="M62" i="44"/>
  <c r="M60" i="44"/>
  <c r="M59" i="44"/>
  <c r="M58" i="44"/>
  <c r="M57" i="44"/>
  <c r="M56" i="44"/>
  <c r="M55" i="44"/>
  <c r="M52" i="44"/>
  <c r="M51" i="44"/>
  <c r="M69" i="34"/>
  <c r="M68" i="34"/>
  <c r="M67" i="34"/>
  <c r="M66" i="34"/>
  <c r="M65" i="34"/>
  <c r="M64" i="34"/>
  <c r="M63" i="34"/>
  <c r="M62" i="34"/>
  <c r="M60" i="34"/>
  <c r="M59" i="34"/>
  <c r="M58" i="34"/>
  <c r="M57" i="34"/>
  <c r="M56" i="34"/>
  <c r="M55" i="34"/>
  <c r="M52" i="34"/>
  <c r="M51" i="34"/>
  <c r="J69" i="43"/>
  <c r="J68" i="43"/>
  <c r="J67" i="43"/>
  <c r="J66" i="43"/>
  <c r="J65" i="43"/>
  <c r="J64" i="43"/>
  <c r="J63" i="43"/>
  <c r="J62" i="43"/>
  <c r="J60" i="43"/>
  <c r="J59" i="43"/>
  <c r="J58" i="43"/>
  <c r="J57" i="43"/>
  <c r="J56" i="43"/>
  <c r="J55" i="43"/>
  <c r="J54" i="43"/>
  <c r="J52" i="43"/>
  <c r="J51" i="43"/>
  <c r="J69" i="60"/>
  <c r="J68" i="60"/>
  <c r="J67" i="60"/>
  <c r="J66" i="60"/>
  <c r="J65" i="60"/>
  <c r="J64" i="60"/>
  <c r="J63" i="60"/>
  <c r="J62" i="60"/>
  <c r="J60" i="60"/>
  <c r="J59" i="60"/>
  <c r="J58" i="60"/>
  <c r="J57" i="60"/>
  <c r="J56" i="60"/>
  <c r="J55" i="60"/>
  <c r="J54" i="60"/>
  <c r="J52" i="60"/>
  <c r="J51" i="60"/>
  <c r="J69" i="44"/>
  <c r="J68" i="44"/>
  <c r="J67" i="44"/>
  <c r="J66" i="44"/>
  <c r="J65" i="44"/>
  <c r="J64" i="44"/>
  <c r="J63" i="44"/>
  <c r="J62" i="44"/>
  <c r="J60" i="44"/>
  <c r="J59" i="44"/>
  <c r="J58" i="44"/>
  <c r="J57" i="44"/>
  <c r="J56" i="44"/>
  <c r="J55" i="44"/>
  <c r="J54" i="44"/>
  <c r="J52" i="44"/>
  <c r="J51" i="44"/>
  <c r="J69" i="34"/>
  <c r="J68" i="34"/>
  <c r="J67" i="34"/>
  <c r="J66" i="34"/>
  <c r="J65" i="34"/>
  <c r="J64" i="34"/>
  <c r="J63" i="34"/>
  <c r="J62" i="34"/>
  <c r="J60" i="34"/>
  <c r="J59" i="34"/>
  <c r="J58" i="34"/>
  <c r="J57" i="34"/>
  <c r="J56" i="34"/>
  <c r="J55" i="34"/>
  <c r="J54" i="34"/>
  <c r="J52" i="34"/>
  <c r="J51" i="34"/>
  <c r="G69" i="43"/>
  <c r="G68" i="43"/>
  <c r="G67" i="43"/>
  <c r="G66" i="43"/>
  <c r="G65" i="43"/>
  <c r="G64" i="43"/>
  <c r="G63" i="43"/>
  <c r="G62" i="43"/>
  <c r="G60" i="43"/>
  <c r="G59" i="43"/>
  <c r="G58" i="43"/>
  <c r="G57" i="43"/>
  <c r="G56" i="43"/>
  <c r="G55" i="43"/>
  <c r="G54" i="43"/>
  <c r="G52" i="43"/>
  <c r="G69" i="60"/>
  <c r="G68" i="60"/>
  <c r="G67" i="60"/>
  <c r="G66" i="60"/>
  <c r="G65" i="60"/>
  <c r="G64" i="60"/>
  <c r="G63" i="60"/>
  <c r="G62" i="60"/>
  <c r="G60" i="60"/>
  <c r="G59" i="60"/>
  <c r="G58" i="60"/>
  <c r="G57" i="60"/>
  <c r="G56" i="60"/>
  <c r="G55" i="60"/>
  <c r="G54" i="60"/>
  <c r="G52" i="60"/>
  <c r="G69" i="44"/>
  <c r="G68" i="44"/>
  <c r="G67" i="44"/>
  <c r="G66" i="44"/>
  <c r="G65" i="44"/>
  <c r="G64" i="44"/>
  <c r="G63" i="44"/>
  <c r="G62" i="44"/>
  <c r="G60" i="44"/>
  <c r="G59" i="44"/>
  <c r="G58" i="44"/>
  <c r="G57" i="44"/>
  <c r="G56" i="44"/>
  <c r="G55" i="44"/>
  <c r="G54" i="44"/>
  <c r="G52" i="44"/>
  <c r="G69" i="34"/>
  <c r="G68" i="34"/>
  <c r="G67" i="34"/>
  <c r="G66" i="34"/>
  <c r="G65" i="34"/>
  <c r="G64" i="34"/>
  <c r="G63" i="34"/>
  <c r="G62" i="34"/>
  <c r="G60" i="34"/>
  <c r="G59" i="34"/>
  <c r="G58" i="34"/>
  <c r="G57" i="34"/>
  <c r="G56" i="34"/>
  <c r="G55" i="34"/>
  <c r="G54" i="34"/>
  <c r="G52" i="34"/>
  <c r="G51" i="43"/>
  <c r="G51" i="60"/>
  <c r="G51" i="44"/>
  <c r="G51" i="34"/>
  <c r="C7" i="67"/>
  <c r="C6" i="67"/>
  <c r="C12" i="67"/>
  <c r="C11" i="67"/>
  <c r="C10" i="67"/>
  <c r="C9" i="67"/>
  <c r="C8" i="67"/>
  <c r="C5" i="67"/>
  <c r="C3" i="67"/>
  <c r="C25" i="67"/>
  <c r="C24" i="67"/>
  <c r="C23" i="67"/>
  <c r="C22" i="67"/>
  <c r="C21" i="67"/>
  <c r="C20" i="67"/>
  <c r="C19" i="67"/>
  <c r="C18" i="67"/>
  <c r="C17" i="67"/>
  <c r="C4" i="67"/>
  <c r="O61" i="69" l="1"/>
  <c r="O32" i="69"/>
  <c r="P53" i="69"/>
  <c r="Q26" i="69"/>
  <c r="P26" i="69"/>
  <c r="R61" i="69"/>
  <c r="P32" i="69"/>
  <c r="P61" i="69"/>
  <c r="Q53" i="69"/>
  <c r="R53" i="69"/>
  <c r="Q41" i="69"/>
  <c r="P41" i="69"/>
  <c r="R26" i="69"/>
  <c r="O41" i="69"/>
  <c r="O53" i="69"/>
  <c r="R18" i="69"/>
  <c r="Q32" i="69"/>
  <c r="R50" i="69"/>
  <c r="Q61" i="69"/>
  <c r="Q18" i="69"/>
  <c r="R41" i="69"/>
  <c r="Q50" i="69"/>
  <c r="O26" i="69"/>
  <c r="R32" i="69"/>
  <c r="P50" i="69"/>
  <c r="L64" i="49"/>
  <c r="L56" i="49"/>
  <c r="L53" i="49"/>
  <c r="L44" i="49"/>
  <c r="L35" i="49"/>
  <c r="L29" i="49"/>
  <c r="L21" i="49"/>
  <c r="AB69" i="51" l="1"/>
  <c r="AB68" i="51"/>
  <c r="AB67" i="51"/>
  <c r="AB66" i="51"/>
  <c r="AB65" i="51"/>
  <c r="AB64" i="51"/>
  <c r="AB63" i="51"/>
  <c r="AB61" i="51" s="1"/>
  <c r="AB62" i="51"/>
  <c r="AB60" i="51"/>
  <c r="AB59" i="51"/>
  <c r="AB58" i="51"/>
  <c r="AB57" i="51"/>
  <c r="AB56" i="51"/>
  <c r="AB55" i="51"/>
  <c r="AB53" i="51" s="1"/>
  <c r="AB54" i="51"/>
  <c r="AB52" i="51"/>
  <c r="AB51" i="51"/>
  <c r="AB50" i="51" s="1"/>
  <c r="AB48" i="51"/>
  <c r="AB47" i="51"/>
  <c r="AB46" i="51"/>
  <c r="AB45" i="51"/>
  <c r="AB44" i="51"/>
  <c r="AB43" i="51"/>
  <c r="AB41" i="51" s="1"/>
  <c r="AB42" i="51"/>
  <c r="AB40" i="51"/>
  <c r="AB39" i="51"/>
  <c r="AB38" i="51"/>
  <c r="AB37" i="51"/>
  <c r="AB36" i="51"/>
  <c r="AB35" i="51"/>
  <c r="AB32" i="51" s="1"/>
  <c r="AB34" i="51"/>
  <c r="AB33" i="51"/>
  <c r="AB31" i="51"/>
  <c r="AB30" i="51"/>
  <c r="AB29" i="51"/>
  <c r="AB28" i="51"/>
  <c r="AB27" i="51"/>
  <c r="AB26" i="51" s="1"/>
  <c r="AB25" i="51"/>
  <c r="AB24" i="51"/>
  <c r="AB23" i="51"/>
  <c r="AB22" i="51"/>
  <c r="AB21" i="51"/>
  <c r="AB20" i="51"/>
  <c r="AB19" i="51"/>
  <c r="AB18" i="51" s="1"/>
  <c r="AB17" i="51"/>
  <c r="AB16" i="51"/>
  <c r="AB15" i="51"/>
  <c r="AB14" i="51"/>
  <c r="AB13" i="51"/>
  <c r="AB12" i="51"/>
  <c r="AB11" i="51"/>
  <c r="AB10" i="51"/>
  <c r="AB9" i="51"/>
  <c r="AB8" i="51"/>
  <c r="AB7" i="51"/>
  <c r="AB4" i="51" s="1"/>
  <c r="AB6" i="51"/>
  <c r="AB5" i="51"/>
  <c r="U69" i="51"/>
  <c r="U68" i="51"/>
  <c r="U67" i="51"/>
  <c r="U66" i="51"/>
  <c r="U65" i="51"/>
  <c r="U64" i="51"/>
  <c r="U63" i="51"/>
  <c r="U62" i="51"/>
  <c r="U61" i="51"/>
  <c r="U60" i="51"/>
  <c r="U59" i="51"/>
  <c r="U58" i="51"/>
  <c r="U57" i="51"/>
  <c r="U56" i="51"/>
  <c r="U55" i="51"/>
  <c r="U54" i="51"/>
  <c r="U53" i="51"/>
  <c r="U52" i="51"/>
  <c r="U51" i="51"/>
  <c r="U50" i="51"/>
  <c r="U48" i="51"/>
  <c r="U47" i="51"/>
  <c r="U46" i="51"/>
  <c r="U45" i="51"/>
  <c r="U44" i="51"/>
  <c r="U43" i="51"/>
  <c r="U42" i="51"/>
  <c r="U41" i="51"/>
  <c r="U40" i="51"/>
  <c r="U39" i="51"/>
  <c r="U38" i="51"/>
  <c r="U37" i="51"/>
  <c r="U36" i="51"/>
  <c r="U35" i="51"/>
  <c r="U34" i="51"/>
  <c r="U33" i="51"/>
  <c r="U32" i="51" s="1"/>
  <c r="U31" i="51"/>
  <c r="U30" i="51"/>
  <c r="U29" i="51"/>
  <c r="U28" i="51"/>
  <c r="U26" i="51" s="1"/>
  <c r="U27" i="51"/>
  <c r="U25" i="51"/>
  <c r="U24" i="51"/>
  <c r="U23" i="51"/>
  <c r="U22" i="51"/>
  <c r="U21" i="51"/>
  <c r="U18" i="51" s="1"/>
  <c r="U20" i="51"/>
  <c r="U19" i="51"/>
  <c r="U17" i="51"/>
  <c r="U16" i="51"/>
  <c r="U15" i="51"/>
  <c r="U14" i="51"/>
  <c r="U13" i="51"/>
  <c r="U12" i="51"/>
  <c r="U11" i="51"/>
  <c r="U10" i="51"/>
  <c r="U9" i="51"/>
  <c r="U8" i="51"/>
  <c r="U7" i="51"/>
  <c r="U6" i="51"/>
  <c r="U5" i="51"/>
  <c r="U4" i="51" s="1"/>
  <c r="N69" i="51"/>
  <c r="N68" i="51"/>
  <c r="N67" i="51"/>
  <c r="N66" i="51"/>
  <c r="N65" i="51"/>
  <c r="N64" i="51"/>
  <c r="N63" i="51"/>
  <c r="N62" i="51"/>
  <c r="N61" i="51" s="1"/>
  <c r="N60" i="51"/>
  <c r="N59" i="51"/>
  <c r="N58" i="51"/>
  <c r="N57" i="51"/>
  <c r="N56" i="51"/>
  <c r="N55" i="51"/>
  <c r="N54" i="51"/>
  <c r="N53" i="51" s="1"/>
  <c r="N52" i="51"/>
  <c r="N51" i="51"/>
  <c r="N50" i="51"/>
  <c r="N48" i="51"/>
  <c r="N47" i="51"/>
  <c r="N46" i="51"/>
  <c r="N45" i="51"/>
  <c r="N44" i="51"/>
  <c r="N43" i="51"/>
  <c r="N42" i="51"/>
  <c r="N41" i="51" s="1"/>
  <c r="N40" i="51"/>
  <c r="N39" i="51"/>
  <c r="N38" i="51"/>
  <c r="N37" i="51"/>
  <c r="N36" i="51"/>
  <c r="N35" i="51"/>
  <c r="N34" i="51"/>
  <c r="N33" i="51"/>
  <c r="N32" i="51" s="1"/>
  <c r="N31" i="51"/>
  <c r="N30" i="51"/>
  <c r="N29" i="51"/>
  <c r="N28" i="51"/>
  <c r="N27" i="51"/>
  <c r="N26" i="51"/>
  <c r="N25" i="51"/>
  <c r="N24" i="51"/>
  <c r="N23" i="51"/>
  <c r="N22" i="51"/>
  <c r="N21" i="51"/>
  <c r="N20" i="51"/>
  <c r="N19" i="51"/>
  <c r="N18" i="51"/>
  <c r="N17" i="51"/>
  <c r="N16" i="51"/>
  <c r="N15" i="51"/>
  <c r="N14" i="51"/>
  <c r="N13" i="51"/>
  <c r="N12" i="51"/>
  <c r="N11" i="51"/>
  <c r="N10" i="51"/>
  <c r="N9" i="51"/>
  <c r="N8" i="51"/>
  <c r="N7" i="51"/>
  <c r="N6" i="51"/>
  <c r="N5" i="51"/>
  <c r="N4" i="51" s="1"/>
  <c r="G69" i="51"/>
  <c r="G68" i="51"/>
  <c r="G67" i="51"/>
  <c r="G66" i="51"/>
  <c r="G65" i="51"/>
  <c r="G64" i="51"/>
  <c r="G63" i="51"/>
  <c r="G62" i="51"/>
  <c r="G60" i="51"/>
  <c r="G59" i="51"/>
  <c r="G58" i="51"/>
  <c r="G57" i="51"/>
  <c r="G56" i="51"/>
  <c r="G55" i="51"/>
  <c r="G54" i="51"/>
  <c r="G52" i="51"/>
  <c r="G51" i="51"/>
  <c r="G48" i="51"/>
  <c r="G47" i="51"/>
  <c r="G46" i="51"/>
  <c r="G45" i="51"/>
  <c r="G44" i="51"/>
  <c r="G43" i="51"/>
  <c r="G42" i="51"/>
  <c r="G40" i="51"/>
  <c r="G39" i="51"/>
  <c r="G38" i="51"/>
  <c r="G37" i="51"/>
  <c r="G36" i="51"/>
  <c r="G35" i="51"/>
  <c r="G34" i="51"/>
  <c r="G33" i="51"/>
  <c r="G31" i="51"/>
  <c r="G30" i="51"/>
  <c r="G29" i="51"/>
  <c r="G28" i="51"/>
  <c r="G27" i="51"/>
  <c r="G25" i="51"/>
  <c r="G24" i="51"/>
  <c r="G23" i="51"/>
  <c r="G22" i="51"/>
  <c r="G21" i="51"/>
  <c r="G20" i="51"/>
  <c r="G19" i="51"/>
  <c r="G17" i="51"/>
  <c r="G16" i="51"/>
  <c r="G15" i="51"/>
  <c r="G14" i="51"/>
  <c r="G13" i="51"/>
  <c r="G12" i="51"/>
  <c r="G11" i="51"/>
  <c r="G10" i="51"/>
  <c r="G9" i="51"/>
  <c r="G8" i="51"/>
  <c r="G7" i="51"/>
  <c r="G6" i="51"/>
  <c r="G5" i="51"/>
  <c r="AB49" i="51" l="1"/>
  <c r="AB70" i="51" s="1"/>
  <c r="U49" i="51"/>
  <c r="U70" i="51" s="1"/>
  <c r="N49" i="51"/>
  <c r="N70" i="51" s="1"/>
  <c r="B6" i="2" l="1"/>
  <c r="G39" i="2" l="1"/>
  <c r="M64" i="49"/>
  <c r="M56" i="49"/>
  <c r="M53" i="49"/>
  <c r="M44" i="49"/>
  <c r="M35" i="49"/>
  <c r="M29" i="49"/>
  <c r="M21" i="49"/>
  <c r="C70" i="98" l="1"/>
  <c r="C61" i="97"/>
  <c r="C64" i="97" s="1"/>
  <c r="I64" i="97" s="1"/>
  <c r="C53" i="97"/>
  <c r="C58" i="97" s="1"/>
  <c r="F58" i="97" s="1"/>
  <c r="C50" i="97"/>
  <c r="C51" i="97" s="1"/>
  <c r="I51" i="97" s="1"/>
  <c r="C41" i="97"/>
  <c r="C48" i="97" s="1"/>
  <c r="I48" i="97" s="1"/>
  <c r="C32" i="97"/>
  <c r="C39" i="97" s="1"/>
  <c r="I39" i="97" s="1"/>
  <c r="C26" i="97"/>
  <c r="C27" i="97" s="1"/>
  <c r="I27" i="97" s="1"/>
  <c r="C18" i="97"/>
  <c r="C21" i="97" s="1"/>
  <c r="I21" i="97" s="1"/>
  <c r="C67" i="97" l="1"/>
  <c r="I67" i="97" s="1"/>
  <c r="C60" i="97"/>
  <c r="I60" i="97" s="1"/>
  <c r="C54" i="97"/>
  <c r="F54" i="97" s="1"/>
  <c r="C56" i="97"/>
  <c r="I56" i="97" s="1"/>
  <c r="C37" i="97"/>
  <c r="I37" i="97" s="1"/>
  <c r="C57" i="97"/>
  <c r="F57" i="97" s="1"/>
  <c r="C59" i="97"/>
  <c r="I59" i="97" s="1"/>
  <c r="C22" i="97"/>
  <c r="I22" i="97" s="1"/>
  <c r="C38" i="97"/>
  <c r="I38" i="97" s="1"/>
  <c r="C35" i="97"/>
  <c r="F35" i="97" s="1"/>
  <c r="C23" i="97"/>
  <c r="C19" i="97"/>
  <c r="I58" i="97"/>
  <c r="F64" i="97"/>
  <c r="C66" i="97"/>
  <c r="I66" i="97" s="1"/>
  <c r="C62" i="97"/>
  <c r="I62" i="97" s="1"/>
  <c r="F39" i="97"/>
  <c r="C33" i="97"/>
  <c r="I33" i="97" s="1"/>
  <c r="C29" i="97"/>
  <c r="I29" i="97" s="1"/>
  <c r="C28" i="97"/>
  <c r="I28" i="97" s="1"/>
  <c r="C31" i="97"/>
  <c r="I31" i="97" s="1"/>
  <c r="C25" i="97"/>
  <c r="I25" i="97" s="1"/>
  <c r="F67" i="97"/>
  <c r="F48" i="97"/>
  <c r="C52" i="97"/>
  <c r="I52" i="97" s="1"/>
  <c r="F51" i="97"/>
  <c r="C43" i="97"/>
  <c r="I43" i="97" s="1"/>
  <c r="C47" i="97"/>
  <c r="I47" i="97" s="1"/>
  <c r="C20" i="97"/>
  <c r="I20" i="97" s="1"/>
  <c r="F21" i="97"/>
  <c r="C24" i="97"/>
  <c r="I24" i="97" s="1"/>
  <c r="F27" i="97"/>
  <c r="C30" i="97"/>
  <c r="I30" i="97" s="1"/>
  <c r="C36" i="97"/>
  <c r="I36" i="97" s="1"/>
  <c r="C40" i="97"/>
  <c r="I40" i="97" s="1"/>
  <c r="C42" i="97"/>
  <c r="I42" i="97" s="1"/>
  <c r="C46" i="97"/>
  <c r="I46" i="97" s="1"/>
  <c r="C55" i="97"/>
  <c r="I55" i="97" s="1"/>
  <c r="F60" i="97"/>
  <c r="C65" i="97"/>
  <c r="I65" i="97" s="1"/>
  <c r="C69" i="97"/>
  <c r="I69" i="97" s="1"/>
  <c r="C45" i="97"/>
  <c r="I45" i="97" s="1"/>
  <c r="C68" i="97"/>
  <c r="I68" i="97" s="1"/>
  <c r="C34" i="97"/>
  <c r="I34" i="97" s="1"/>
  <c r="C44" i="97"/>
  <c r="I44" i="97" s="1"/>
  <c r="C63" i="97"/>
  <c r="I63" i="97" s="1"/>
  <c r="I54" i="97" l="1"/>
  <c r="F56" i="97"/>
  <c r="F31" i="97"/>
  <c r="I35" i="97"/>
  <c r="F38" i="97"/>
  <c r="F59" i="97"/>
  <c r="I57" i="97"/>
  <c r="F37" i="97"/>
  <c r="F22" i="97"/>
  <c r="F28" i="97"/>
  <c r="F33" i="97"/>
  <c r="F19" i="97"/>
  <c r="I19" i="97"/>
  <c r="F66" i="97"/>
  <c r="F23" i="97"/>
  <c r="I23" i="97"/>
  <c r="F62" i="97"/>
  <c r="F29" i="97"/>
  <c r="F25" i="97"/>
  <c r="F42" i="97"/>
  <c r="F52" i="97"/>
  <c r="F63" i="97"/>
  <c r="F40" i="97"/>
  <c r="F24" i="97"/>
  <c r="F44" i="97"/>
  <c r="F68" i="97"/>
  <c r="F65" i="97"/>
  <c r="F55" i="97"/>
  <c r="F30" i="97"/>
  <c r="F47" i="97"/>
  <c r="F69" i="97"/>
  <c r="F34" i="97"/>
  <c r="F45" i="97"/>
  <c r="F46" i="97"/>
  <c r="F36" i="97"/>
  <c r="F20" i="97"/>
  <c r="F43" i="97"/>
  <c r="L5" i="69" l="1"/>
  <c r="S85" i="93" l="1"/>
  <c r="AI79" i="93"/>
  <c r="AI78" i="93"/>
  <c r="AI77" i="93"/>
  <c r="A2" i="44" l="1"/>
  <c r="A2" i="60"/>
  <c r="A2" i="34"/>
  <c r="J69" i="51" l="1"/>
  <c r="J68" i="51"/>
  <c r="J67" i="51"/>
  <c r="J66" i="51"/>
  <c r="J65" i="51"/>
  <c r="J64" i="51"/>
  <c r="J63" i="51"/>
  <c r="J62" i="51"/>
  <c r="J60" i="51"/>
  <c r="J59" i="51"/>
  <c r="J58" i="51"/>
  <c r="J57" i="51"/>
  <c r="J56" i="51"/>
  <c r="J55" i="51"/>
  <c r="J54" i="51"/>
  <c r="J52" i="51"/>
  <c r="J51" i="51"/>
  <c r="J48" i="51"/>
  <c r="J47" i="51"/>
  <c r="J46" i="51"/>
  <c r="J45" i="51"/>
  <c r="J44" i="51"/>
  <c r="J43" i="51"/>
  <c r="J42" i="51"/>
  <c r="J40" i="51"/>
  <c r="J39" i="51"/>
  <c r="J38" i="51"/>
  <c r="J37" i="51"/>
  <c r="J36" i="51"/>
  <c r="J35" i="51"/>
  <c r="J34" i="51"/>
  <c r="J33" i="51"/>
  <c r="J31" i="51"/>
  <c r="O31" i="51" s="1"/>
  <c r="J30" i="51"/>
  <c r="O30" i="51" s="1"/>
  <c r="J29" i="51"/>
  <c r="O29" i="51" s="1"/>
  <c r="J28" i="51"/>
  <c r="O28" i="51" s="1"/>
  <c r="J27" i="51"/>
  <c r="O27" i="51" s="1"/>
  <c r="J25" i="51"/>
  <c r="J24" i="51"/>
  <c r="J23" i="51"/>
  <c r="J22" i="51"/>
  <c r="J21" i="51"/>
  <c r="J20" i="51"/>
  <c r="J19" i="51"/>
  <c r="J6" i="51"/>
  <c r="J7" i="51"/>
  <c r="J8" i="51"/>
  <c r="J9" i="51"/>
  <c r="J10" i="51"/>
  <c r="J11" i="51"/>
  <c r="J12" i="51"/>
  <c r="J13" i="51"/>
  <c r="J14" i="51"/>
  <c r="J15" i="51"/>
  <c r="J16" i="51"/>
  <c r="J17" i="51"/>
  <c r="J5" i="51"/>
  <c r="AT84" i="93" l="1"/>
  <c r="AT83" i="93"/>
  <c r="AT74" i="93"/>
  <c r="AT73" i="93"/>
  <c r="AT68" i="93"/>
  <c r="AT67" i="93"/>
  <c r="AT66" i="93"/>
  <c r="AT65" i="93"/>
  <c r="AT63" i="93"/>
  <c r="AL88" i="93"/>
  <c r="AL87" i="93"/>
  <c r="AL86" i="93"/>
  <c r="AL85" i="93"/>
  <c r="AL83" i="93"/>
  <c r="AL78" i="93"/>
  <c r="AL77" i="93"/>
  <c r="AL76" i="93"/>
  <c r="AL75" i="93"/>
  <c r="AL73" i="93"/>
  <c r="AL68" i="93"/>
  <c r="AL67" i="93"/>
  <c r="AL66" i="93"/>
  <c r="AL65" i="93"/>
  <c r="AL63" i="93"/>
  <c r="AD88" i="93"/>
  <c r="AD87" i="93"/>
  <c r="AD86" i="93"/>
  <c r="AD85" i="93"/>
  <c r="AD83" i="93"/>
  <c r="AD77" i="93"/>
  <c r="AD76" i="93"/>
  <c r="AD75" i="93"/>
  <c r="AD73" i="93"/>
  <c r="AD68" i="93"/>
  <c r="AD67" i="93"/>
  <c r="AD66" i="93"/>
  <c r="AD65" i="93"/>
  <c r="AD63" i="93"/>
  <c r="V84" i="93"/>
  <c r="V83" i="93"/>
  <c r="V75" i="93"/>
  <c r="V73" i="93"/>
  <c r="V63" i="93"/>
  <c r="AI41" i="94"/>
  <c r="AI37" i="94"/>
  <c r="AI33" i="94"/>
  <c r="AA41" i="94"/>
  <c r="AA37" i="94"/>
  <c r="AA33" i="94"/>
  <c r="AA23" i="94"/>
  <c r="AI23" i="94"/>
  <c r="AI28" i="94"/>
  <c r="AA29" i="94"/>
  <c r="X39" i="90"/>
  <c r="X29" i="90"/>
  <c r="X24" i="90"/>
  <c r="B5" i="90" l="1"/>
  <c r="AA22" i="93"/>
  <c r="AD22" i="93"/>
  <c r="AE22" i="93" s="1"/>
  <c r="AA23" i="93"/>
  <c r="AD23" i="93"/>
  <c r="AE23" i="93" s="1"/>
  <c r="AA24" i="93"/>
  <c r="AD24" i="93"/>
  <c r="AE24" i="93" s="1"/>
  <c r="AI22" i="93"/>
  <c r="AL22" i="93" s="1"/>
  <c r="AM22" i="93" s="1"/>
  <c r="AI23" i="93"/>
  <c r="AL23" i="93"/>
  <c r="AM23" i="93" s="1"/>
  <c r="AI24" i="93"/>
  <c r="AL24" i="93"/>
  <c r="AM24" i="93" s="1"/>
  <c r="AJ25" i="93"/>
  <c r="AI25" i="93" s="1"/>
  <c r="AL25" i="93"/>
  <c r="AM25" i="93" s="1"/>
  <c r="AI26" i="93"/>
  <c r="AL26" i="93" s="1"/>
  <c r="AM26" i="93" s="1"/>
  <c r="AI27" i="93"/>
  <c r="AL27" i="93"/>
  <c r="AM27" i="93" s="1"/>
  <c r="AI28" i="93"/>
  <c r="AL28" i="93"/>
  <c r="AM28" i="93" s="1"/>
  <c r="S54" i="93"/>
  <c r="V54" i="93" s="1"/>
  <c r="W54" i="93" s="1"/>
  <c r="W52" i="93" s="1"/>
  <c r="N5" i="93" s="1"/>
  <c r="AF33" i="94" l="1"/>
  <c r="AJ33" i="94" s="1"/>
  <c r="AF28" i="94"/>
  <c r="AF27" i="94"/>
  <c r="AI27" i="94" s="1"/>
  <c r="AJ27" i="94" s="1"/>
  <c r="X33" i="94"/>
  <c r="AB33" i="94" s="1"/>
  <c r="X29" i="94"/>
  <c r="AB29" i="94" s="1"/>
  <c r="AA28" i="94"/>
  <c r="AB28" i="94" s="1"/>
  <c r="X28" i="94"/>
  <c r="X27" i="94"/>
  <c r="AA27" i="94" s="1"/>
  <c r="AB27" i="94" s="1"/>
  <c r="AJ28" i="94" l="1"/>
  <c r="AF41" i="94"/>
  <c r="AJ41" i="94" s="1"/>
  <c r="AJ39" i="94" s="1"/>
  <c r="S17" i="94" s="1"/>
  <c r="AF37" i="94"/>
  <c r="AJ31" i="94"/>
  <c r="O17" i="94" s="1"/>
  <c r="AF23" i="94"/>
  <c r="AJ23" i="94" s="1"/>
  <c r="AJ21" i="94" s="1"/>
  <c r="K17" i="94" s="1"/>
  <c r="X41" i="94"/>
  <c r="X37" i="94"/>
  <c r="AB31" i="94"/>
  <c r="O14" i="94" s="1"/>
  <c r="X23" i="94"/>
  <c r="AB41" i="94" l="1"/>
  <c r="AB39" i="94" s="1"/>
  <c r="S14" i="94" s="1"/>
  <c r="AJ37" i="94"/>
  <c r="AJ35" i="94" s="1"/>
  <c r="Q17" i="94" s="1"/>
  <c r="AB37" i="94"/>
  <c r="AB35" i="94" s="1"/>
  <c r="Q14" i="94" s="1"/>
  <c r="AB23" i="94"/>
  <c r="AB21" i="94" s="1"/>
  <c r="K14" i="94" s="1"/>
  <c r="AJ25" i="94"/>
  <c r="M17" i="94" s="1"/>
  <c r="AB25" i="94"/>
  <c r="M14" i="94" s="1"/>
  <c r="AQ93" i="93"/>
  <c r="AT93" i="93" s="1"/>
  <c r="AU93" i="93" s="1"/>
  <c r="AU91" i="93" s="1"/>
  <c r="N12" i="93" s="1"/>
  <c r="AI93" i="93"/>
  <c r="AL93" i="93" s="1"/>
  <c r="AM93" i="93" s="1"/>
  <c r="AM91" i="93" s="1"/>
  <c r="N11" i="93" s="1"/>
  <c r="AA93" i="93"/>
  <c r="AD93" i="93" s="1"/>
  <c r="AE93" i="93" s="1"/>
  <c r="AE91" i="93" s="1"/>
  <c r="N10" i="93" s="1"/>
  <c r="S93" i="93"/>
  <c r="V93" i="93" s="1"/>
  <c r="W93" i="93" s="1"/>
  <c r="W91" i="93" s="1"/>
  <c r="N9" i="93" s="1"/>
  <c r="AI89" i="93"/>
  <c r="AL89" i="93" s="1"/>
  <c r="AM89" i="93" s="1"/>
  <c r="AD89" i="93"/>
  <c r="AE89" i="93" s="1"/>
  <c r="AA89" i="93"/>
  <c r="AM88" i="93"/>
  <c r="AI88" i="93"/>
  <c r="AE88" i="93"/>
  <c r="AA88" i="93"/>
  <c r="AM87" i="93"/>
  <c r="AI87" i="93"/>
  <c r="AA87" i="93"/>
  <c r="AE87" i="93" s="1"/>
  <c r="AI86" i="93"/>
  <c r="AM86" i="93" s="1"/>
  <c r="AE86" i="93"/>
  <c r="AB86" i="93"/>
  <c r="AA86" i="93" s="1"/>
  <c r="AQ85" i="93"/>
  <c r="AT85" i="93" s="1"/>
  <c r="AU85" i="93" s="1"/>
  <c r="AM85" i="93"/>
  <c r="AJ85" i="93"/>
  <c r="AI85" i="93" s="1"/>
  <c r="AE85" i="93"/>
  <c r="AB85" i="93"/>
  <c r="AA85" i="93" s="1"/>
  <c r="V85" i="93"/>
  <c r="W85" i="93" s="1"/>
  <c r="AU84" i="93"/>
  <c r="AQ84" i="93"/>
  <c r="AL84" i="93"/>
  <c r="AM84" i="93" s="1"/>
  <c r="AI84" i="93"/>
  <c r="AD84" i="93"/>
  <c r="AE84" i="93" s="1"/>
  <c r="AA84" i="93"/>
  <c r="W84" i="93"/>
  <c r="S84" i="93"/>
  <c r="AQ83" i="93"/>
  <c r="AU83" i="93" s="1"/>
  <c r="AI83" i="93"/>
  <c r="AM83" i="93" s="1"/>
  <c r="AA83" i="93"/>
  <c r="AE83" i="93" s="1"/>
  <c r="S83" i="93"/>
  <c r="W83" i="93" s="1"/>
  <c r="AL79" i="93"/>
  <c r="AM79" i="93" s="1"/>
  <c r="AM78" i="93"/>
  <c r="AD78" i="93"/>
  <c r="AE78" i="93" s="1"/>
  <c r="AA78" i="93"/>
  <c r="AM77" i="93"/>
  <c r="AA77" i="93"/>
  <c r="AE77" i="93" s="1"/>
  <c r="AM76" i="93"/>
  <c r="AJ76" i="93"/>
  <c r="AI76" i="93" s="1"/>
  <c r="AE76" i="93"/>
  <c r="AA76" i="93"/>
  <c r="V76" i="93"/>
  <c r="W76" i="93" s="1"/>
  <c r="T76" i="93"/>
  <c r="S76" i="93" s="1"/>
  <c r="AT75" i="93"/>
  <c r="AU75" i="93" s="1"/>
  <c r="AQ75" i="93"/>
  <c r="AM75" i="93"/>
  <c r="AI75" i="93"/>
  <c r="AE75" i="93"/>
  <c r="AA75" i="93"/>
  <c r="W75" i="93"/>
  <c r="S75" i="93"/>
  <c r="AU74" i="93"/>
  <c r="AQ74" i="93"/>
  <c r="AL74" i="93"/>
  <c r="AM74" i="93" s="1"/>
  <c r="AI74" i="93"/>
  <c r="AD74" i="93"/>
  <c r="AE74" i="93" s="1"/>
  <c r="AA74" i="93"/>
  <c r="V74" i="93"/>
  <c r="W74" i="93" s="1"/>
  <c r="S74" i="93"/>
  <c r="AQ73" i="93"/>
  <c r="AU73" i="93" s="1"/>
  <c r="AI73" i="93"/>
  <c r="AM73" i="93" s="1"/>
  <c r="AA73" i="93"/>
  <c r="AE73" i="93" s="1"/>
  <c r="S73" i="93"/>
  <c r="W73" i="93" s="1"/>
  <c r="AL69" i="93"/>
  <c r="AM69" i="93" s="1"/>
  <c r="AI69" i="93"/>
  <c r="AD69" i="93"/>
  <c r="AE69" i="93" s="1"/>
  <c r="AA69" i="93"/>
  <c r="AU68" i="93"/>
  <c r="AQ68" i="93"/>
  <c r="AM68" i="93"/>
  <c r="AI68" i="93"/>
  <c r="AE68" i="93"/>
  <c r="AA68" i="93"/>
  <c r="AU67" i="93"/>
  <c r="AQ67" i="93"/>
  <c r="AI67" i="93"/>
  <c r="AM67" i="93" s="1"/>
  <c r="AA67" i="93"/>
  <c r="AE67" i="93" s="1"/>
  <c r="AQ66" i="93"/>
  <c r="AU66" i="93" s="1"/>
  <c r="AM66" i="93"/>
  <c r="AJ66" i="93"/>
  <c r="AI66" i="93" s="1"/>
  <c r="AE66" i="93"/>
  <c r="AB66" i="93"/>
  <c r="AA66" i="93" s="1"/>
  <c r="AU65" i="93"/>
  <c r="AR65" i="93"/>
  <c r="AQ65" i="93" s="1"/>
  <c r="AM65" i="93"/>
  <c r="AI65" i="93"/>
  <c r="AE65" i="93"/>
  <c r="AA65" i="93"/>
  <c r="V65" i="93"/>
  <c r="W65" i="93" s="1"/>
  <c r="S65" i="93"/>
  <c r="AT64" i="93"/>
  <c r="AU64" i="93" s="1"/>
  <c r="AQ64" i="93"/>
  <c r="AL64" i="93"/>
  <c r="AM64" i="93" s="1"/>
  <c r="AI64" i="93"/>
  <c r="AD64" i="93"/>
  <c r="AE64" i="93" s="1"/>
  <c r="AA64" i="93"/>
  <c r="V64" i="93"/>
  <c r="W64" i="93" s="1"/>
  <c r="S64" i="93"/>
  <c r="AQ63" i="93"/>
  <c r="AU63" i="93" s="1"/>
  <c r="AI63" i="93"/>
  <c r="AM63" i="93" s="1"/>
  <c r="AA63" i="93"/>
  <c r="AE63" i="93" s="1"/>
  <c r="S63" i="93"/>
  <c r="W63" i="93" s="1"/>
  <c r="AQ59" i="93"/>
  <c r="AT59" i="93" s="1"/>
  <c r="AU59" i="93" s="1"/>
  <c r="AU57" i="93" s="1"/>
  <c r="G12" i="93" s="1"/>
  <c r="AI59" i="93"/>
  <c r="AL59" i="93" s="1"/>
  <c r="AM59" i="93" s="1"/>
  <c r="AM57" i="93" s="1"/>
  <c r="G11" i="93" s="1"/>
  <c r="AA59" i="93"/>
  <c r="AD59" i="93" s="1"/>
  <c r="AE59" i="93" s="1"/>
  <c r="AE57" i="93" s="1"/>
  <c r="G10" i="93" s="1"/>
  <c r="S59" i="93"/>
  <c r="V59" i="93" s="1"/>
  <c r="W59" i="93" s="1"/>
  <c r="W57" i="93" s="1"/>
  <c r="G9" i="93" s="1"/>
  <c r="AQ54" i="93"/>
  <c r="AT54" i="93" s="1"/>
  <c r="AU54" i="93" s="1"/>
  <c r="AU52" i="93" s="1"/>
  <c r="N8" i="93" s="1"/>
  <c r="AI54" i="93"/>
  <c r="AL54" i="93" s="1"/>
  <c r="AM54" i="93" s="1"/>
  <c r="AM52" i="93" s="1"/>
  <c r="N7" i="93" s="1"/>
  <c r="AA54" i="93"/>
  <c r="AD54" i="93" s="1"/>
  <c r="AE54" i="93" s="1"/>
  <c r="AE52" i="93" s="1"/>
  <c r="N6" i="93" s="1"/>
  <c r="AL48" i="93"/>
  <c r="AM48" i="93" s="1"/>
  <c r="AI48" i="93"/>
  <c r="AL47" i="93"/>
  <c r="AM47" i="93" s="1"/>
  <c r="AI47" i="93"/>
  <c r="AI46" i="93"/>
  <c r="AL46" i="93" s="1"/>
  <c r="AM46" i="93" s="1"/>
  <c r="AD46" i="93"/>
  <c r="AE46" i="93" s="1"/>
  <c r="AA46" i="93"/>
  <c r="AQ45" i="93"/>
  <c r="AT45" i="93" s="1"/>
  <c r="AU45" i="93" s="1"/>
  <c r="AL45" i="93"/>
  <c r="AM45" i="93" s="1"/>
  <c r="AJ45" i="93"/>
  <c r="AI45" i="93" s="1"/>
  <c r="AA45" i="93"/>
  <c r="AD45" i="93" s="1"/>
  <c r="AE45" i="93" s="1"/>
  <c r="AT44" i="93"/>
  <c r="AU44" i="93" s="1"/>
  <c r="AQ44" i="93"/>
  <c r="AL44" i="93"/>
  <c r="AM44" i="93" s="1"/>
  <c r="AI44" i="93"/>
  <c r="AD44" i="93"/>
  <c r="AE44" i="93" s="1"/>
  <c r="AA44" i="93"/>
  <c r="V44" i="93"/>
  <c r="W44" i="93" s="1"/>
  <c r="S44" i="93"/>
  <c r="AT43" i="93"/>
  <c r="AU43" i="93" s="1"/>
  <c r="AQ43" i="93"/>
  <c r="AL43" i="93"/>
  <c r="AM43" i="93" s="1"/>
  <c r="AI43" i="93"/>
  <c r="AD43" i="93"/>
  <c r="AE43" i="93" s="1"/>
  <c r="AA43" i="93"/>
  <c r="V43" i="93"/>
  <c r="W43" i="93" s="1"/>
  <c r="S43" i="93"/>
  <c r="AQ42" i="93"/>
  <c r="AT42" i="93" s="1"/>
  <c r="AU42" i="93" s="1"/>
  <c r="AI42" i="93"/>
  <c r="AL42" i="93" s="1"/>
  <c r="AM42" i="93" s="1"/>
  <c r="AA42" i="93"/>
  <c r="AD42" i="93" s="1"/>
  <c r="AE42" i="93" s="1"/>
  <c r="S42" i="93"/>
  <c r="V42" i="93" s="1"/>
  <c r="W42" i="93" s="1"/>
  <c r="AL38" i="93"/>
  <c r="AM38" i="93" s="1"/>
  <c r="AI38" i="93"/>
  <c r="AT37" i="93"/>
  <c r="AU37" i="93" s="1"/>
  <c r="AQ37" i="93"/>
  <c r="AL37" i="93"/>
  <c r="AM37" i="93" s="1"/>
  <c r="AI37" i="93"/>
  <c r="AT36" i="93"/>
  <c r="AU36" i="93" s="1"/>
  <c r="AQ36" i="93"/>
  <c r="AI36" i="93"/>
  <c r="AL36" i="93" s="1"/>
  <c r="AM36" i="93" s="1"/>
  <c r="AQ35" i="93"/>
  <c r="AT35" i="93" s="1"/>
  <c r="AU35" i="93" s="1"/>
  <c r="AL35" i="93"/>
  <c r="AM35" i="93" s="1"/>
  <c r="AJ35" i="93"/>
  <c r="AI35" i="93" s="1"/>
  <c r="AT34" i="93"/>
  <c r="AU34" i="93" s="1"/>
  <c r="AQ34" i="93"/>
  <c r="AL34" i="93"/>
  <c r="AM34" i="93" s="1"/>
  <c r="AI34" i="93"/>
  <c r="AD34" i="93"/>
  <c r="AE34" i="93" s="1"/>
  <c r="AA34" i="93"/>
  <c r="V34" i="93"/>
  <c r="W34" i="93" s="1"/>
  <c r="S34" i="93"/>
  <c r="AT33" i="93"/>
  <c r="AU33" i="93" s="1"/>
  <c r="AQ33" i="93"/>
  <c r="AL33" i="93"/>
  <c r="AM33" i="93" s="1"/>
  <c r="AI33" i="93"/>
  <c r="AD33" i="93"/>
  <c r="AE33" i="93" s="1"/>
  <c r="AA33" i="93"/>
  <c r="V33" i="93"/>
  <c r="W33" i="93" s="1"/>
  <c r="S33" i="93"/>
  <c r="AQ32" i="93"/>
  <c r="AT32" i="93" s="1"/>
  <c r="AU32" i="93" s="1"/>
  <c r="AI32" i="93"/>
  <c r="AL32" i="93" s="1"/>
  <c r="AM32" i="93" s="1"/>
  <c r="AA32" i="93"/>
  <c r="AD32" i="93" s="1"/>
  <c r="AE32" i="93" s="1"/>
  <c r="S32" i="93"/>
  <c r="V32" i="93" s="1"/>
  <c r="W32" i="93" s="1"/>
  <c r="AT28" i="93"/>
  <c r="AU28" i="93" s="1"/>
  <c r="AQ28" i="93"/>
  <c r="AT27" i="93"/>
  <c r="AU27" i="93" s="1"/>
  <c r="AQ27" i="93"/>
  <c r="AQ26" i="93"/>
  <c r="AT26" i="93" s="1"/>
  <c r="AU26" i="93" s="1"/>
  <c r="AT25" i="93"/>
  <c r="AU25" i="93" s="1"/>
  <c r="AQ25" i="93"/>
  <c r="AT24" i="93"/>
  <c r="AU24" i="93" s="1"/>
  <c r="AQ24" i="93"/>
  <c r="AT23" i="93"/>
  <c r="AU23" i="93" s="1"/>
  <c r="AQ23" i="93"/>
  <c r="AQ22" i="93"/>
  <c r="AT22" i="93" s="1"/>
  <c r="AU22" i="93" s="1"/>
  <c r="AE20" i="93"/>
  <c r="I6" i="93" s="1"/>
  <c r="S22" i="93"/>
  <c r="V22" i="93" s="1"/>
  <c r="W22" i="93" s="1"/>
  <c r="W20" i="93" s="1"/>
  <c r="I5" i="93" s="1"/>
  <c r="AQ18" i="93"/>
  <c r="AT18" i="93" s="1"/>
  <c r="AU18" i="93" s="1"/>
  <c r="AU16" i="93" s="1"/>
  <c r="G8" i="93" s="1"/>
  <c r="AI18" i="93"/>
  <c r="AL18" i="93" s="1"/>
  <c r="AM18" i="93" s="1"/>
  <c r="AM16" i="93" s="1"/>
  <c r="G7" i="93" s="1"/>
  <c r="AA18" i="93"/>
  <c r="AD18" i="93" s="1"/>
  <c r="AE18" i="93" s="1"/>
  <c r="AE16" i="93" s="1"/>
  <c r="G6" i="93" s="1"/>
  <c r="S18" i="93"/>
  <c r="V18" i="93" s="1"/>
  <c r="W18" i="93" s="1"/>
  <c r="W16" i="93" s="1"/>
  <c r="G5" i="93" s="1"/>
  <c r="U39" i="90"/>
  <c r="Y39" i="90" s="1"/>
  <c r="Y37" i="90" s="1"/>
  <c r="P6" i="90" s="1"/>
  <c r="X35" i="90"/>
  <c r="Y35" i="90" s="1"/>
  <c r="U35" i="90"/>
  <c r="X34" i="90"/>
  <c r="Y34" i="90" s="1"/>
  <c r="V34" i="90"/>
  <c r="U34" i="90" s="1"/>
  <c r="U33" i="90"/>
  <c r="X33" i="90" s="1"/>
  <c r="Y33" i="90" s="1"/>
  <c r="U29" i="90"/>
  <c r="Y29" i="90" s="1"/>
  <c r="Y27" i="90" s="1"/>
  <c r="L6" i="90" s="1"/>
  <c r="V25" i="90"/>
  <c r="U25" i="90" s="1"/>
  <c r="X25" i="90" s="1"/>
  <c r="Y25" i="90" s="1"/>
  <c r="Y24" i="90"/>
  <c r="V24" i="90"/>
  <c r="U24" i="90" s="1"/>
  <c r="X23" i="90"/>
  <c r="Y23" i="90" s="1"/>
  <c r="V23" i="90"/>
  <c r="U23" i="90" s="1"/>
  <c r="U22" i="90"/>
  <c r="X22" i="90" s="1"/>
  <c r="Y22" i="90" s="1"/>
  <c r="V18" i="90"/>
  <c r="U18" i="90" s="1"/>
  <c r="X18" i="90" s="1"/>
  <c r="Y18" i="90" s="1"/>
  <c r="X17" i="90"/>
  <c r="Y17" i="90" s="1"/>
  <c r="V17" i="90"/>
  <c r="U17" i="90" s="1"/>
  <c r="U16" i="90"/>
  <c r="X16" i="90" s="1"/>
  <c r="Y16" i="90" s="1"/>
  <c r="W61" i="93" l="1"/>
  <c r="I9" i="93" s="1"/>
  <c r="AE71" i="93"/>
  <c r="K10" i="93" s="1"/>
  <c r="AU30" i="93"/>
  <c r="K8" i="93" s="1"/>
  <c r="Y20" i="90"/>
  <c r="J6" i="90" s="1"/>
  <c r="AU71" i="93"/>
  <c r="K12" i="93" s="1"/>
  <c r="AU40" i="93"/>
  <c r="M8" i="93" s="1"/>
  <c r="AE81" i="93"/>
  <c r="M10" i="93" s="1"/>
  <c r="AU81" i="93"/>
  <c r="M12" i="93" s="1"/>
  <c r="W40" i="93"/>
  <c r="M5" i="93" s="1"/>
  <c r="AM81" i="93"/>
  <c r="M11" i="93" s="1"/>
  <c r="AE40" i="93"/>
  <c r="M6" i="93" s="1"/>
  <c r="AM40" i="93"/>
  <c r="M7" i="93" s="1"/>
  <c r="W81" i="93"/>
  <c r="M9" i="93" s="1"/>
  <c r="AM61" i="93"/>
  <c r="I11" i="93" s="1"/>
  <c r="AM20" i="93"/>
  <c r="I7" i="93" s="1"/>
  <c r="AE61" i="93"/>
  <c r="I10" i="93" s="1"/>
  <c r="AM71" i="93"/>
  <c r="K11" i="93" s="1"/>
  <c r="AU20" i="93"/>
  <c r="I8" i="93" s="1"/>
  <c r="AE30" i="93"/>
  <c r="K6" i="93" s="1"/>
  <c r="AM30" i="93"/>
  <c r="K7" i="93" s="1"/>
  <c r="AU61" i="93"/>
  <c r="I12" i="93" s="1"/>
  <c r="W71" i="93"/>
  <c r="K9" i="93" s="1"/>
  <c r="W30" i="93"/>
  <c r="K5" i="93" s="1"/>
  <c r="Y31" i="90"/>
  <c r="N6" i="90" s="1"/>
  <c r="Y14" i="90"/>
  <c r="H6" i="90" s="1"/>
  <c r="B3" i="2"/>
  <c r="B4" i="2"/>
  <c r="AJ3" i="51" l="1"/>
  <c r="AI3" i="51"/>
  <c r="AH3" i="51"/>
  <c r="AG3" i="51"/>
  <c r="AF3" i="51"/>
  <c r="AE3" i="51"/>
  <c r="AC3" i="51"/>
  <c r="AB3" i="51"/>
  <c r="AA3" i="51"/>
  <c r="Z3" i="51"/>
  <c r="Y3" i="51"/>
  <c r="X3" i="51"/>
  <c r="V3" i="51"/>
  <c r="U3" i="51"/>
  <c r="T3" i="51"/>
  <c r="S3" i="51"/>
  <c r="R3" i="51"/>
  <c r="Q3" i="51"/>
  <c r="O3" i="51"/>
  <c r="N3" i="51"/>
  <c r="M3" i="51"/>
  <c r="L3" i="51"/>
  <c r="K3" i="51"/>
  <c r="J3" i="51"/>
  <c r="AI3" i="84"/>
  <c r="AH3" i="84"/>
  <c r="AG3" i="84"/>
  <c r="AF3" i="84"/>
  <c r="AE3" i="84"/>
  <c r="AD3" i="84"/>
  <c r="AA3" i="84"/>
  <c r="Z3" i="84"/>
  <c r="Y3" i="84"/>
  <c r="X3" i="84"/>
  <c r="W3" i="84"/>
  <c r="V3" i="84"/>
  <c r="S3" i="84"/>
  <c r="R3" i="84"/>
  <c r="Q3" i="84"/>
  <c r="P3" i="84"/>
  <c r="O3" i="84"/>
  <c r="N3" i="84"/>
  <c r="K3" i="84"/>
  <c r="J3" i="84"/>
  <c r="I3" i="84"/>
  <c r="H3" i="84"/>
  <c r="G3" i="84"/>
  <c r="F3" i="84"/>
  <c r="C13" i="67" l="1"/>
  <c r="C17" i="87"/>
  <c r="C18" i="87"/>
  <c r="C19" i="87"/>
  <c r="C20" i="87"/>
  <c r="C21" i="87"/>
  <c r="C22" i="87"/>
  <c r="C23" i="87"/>
  <c r="C24" i="87"/>
  <c r="C25" i="87"/>
  <c r="D26" i="87" l="1"/>
  <c r="C4" i="87"/>
  <c r="D30" i="87" s="1"/>
  <c r="C18" i="84" s="1"/>
  <c r="C5" i="87"/>
  <c r="D31" i="87" s="1"/>
  <c r="C26" i="84" s="1"/>
  <c r="C6" i="87"/>
  <c r="D32" i="87" s="1"/>
  <c r="C32" i="84" s="1"/>
  <c r="M32" i="84" s="1"/>
  <c r="C7" i="87"/>
  <c r="D33" i="87" s="1"/>
  <c r="C41" i="84" s="1"/>
  <c r="C8" i="87"/>
  <c r="D34" i="87" s="1"/>
  <c r="C50" i="84" s="1"/>
  <c r="C9" i="87"/>
  <c r="D35" i="87" s="1"/>
  <c r="C53" i="84" s="1"/>
  <c r="C10" i="87"/>
  <c r="D36" i="87" s="1"/>
  <c r="C61" i="84" s="1"/>
  <c r="C11" i="87"/>
  <c r="D37" i="87" s="1"/>
  <c r="C12" i="87"/>
  <c r="D38" i="87" s="1"/>
  <c r="C3" i="87"/>
  <c r="D29" i="87" s="1"/>
  <c r="C4" i="84" s="1"/>
  <c r="E4" i="84" l="1"/>
  <c r="AC4" i="84"/>
  <c r="U4" i="84"/>
  <c r="M4" i="84"/>
  <c r="AC18" i="84"/>
  <c r="U18" i="84"/>
  <c r="E18" i="84"/>
  <c r="M18" i="84"/>
  <c r="C13" i="87"/>
  <c r="M24" i="84" l="1"/>
  <c r="M21" i="84"/>
  <c r="M25" i="84"/>
  <c r="M23" i="84"/>
  <c r="M22" i="84"/>
  <c r="M20" i="84"/>
  <c r="M19" i="84"/>
  <c r="AC24" i="84"/>
  <c r="AC25" i="84"/>
  <c r="AC21" i="84"/>
  <c r="AC19" i="84"/>
  <c r="AC22" i="84"/>
  <c r="AC23" i="84"/>
  <c r="AC20" i="84"/>
  <c r="E12" i="84"/>
  <c r="E13" i="84"/>
  <c r="E8" i="84"/>
  <c r="E14" i="84"/>
  <c r="E15" i="84"/>
  <c r="E9" i="84"/>
  <c r="E11" i="84"/>
  <c r="E10" i="84"/>
  <c r="E7" i="84"/>
  <c r="E5" i="84"/>
  <c r="E6" i="84"/>
  <c r="E17" i="84"/>
  <c r="E16" i="84"/>
  <c r="M16" i="84"/>
  <c r="M9" i="84"/>
  <c r="M5" i="84"/>
  <c r="M17" i="84"/>
  <c r="M13" i="84"/>
  <c r="M14" i="84"/>
  <c r="M7" i="84"/>
  <c r="M12" i="84"/>
  <c r="M11" i="84"/>
  <c r="M6" i="84"/>
  <c r="M15" i="84"/>
  <c r="M10" i="84"/>
  <c r="M8" i="84"/>
  <c r="E21" i="84"/>
  <c r="E25" i="84"/>
  <c r="E24" i="84"/>
  <c r="E22" i="84"/>
  <c r="E23" i="84"/>
  <c r="E20" i="84"/>
  <c r="E19" i="84"/>
  <c r="U16" i="84"/>
  <c r="U14" i="84"/>
  <c r="U6" i="84"/>
  <c r="U13" i="84"/>
  <c r="U5" i="84"/>
  <c r="U10" i="84"/>
  <c r="U9" i="84"/>
  <c r="U17" i="84"/>
  <c r="U15" i="84"/>
  <c r="U8" i="84"/>
  <c r="U12" i="84"/>
  <c r="U7" i="84"/>
  <c r="U11" i="84"/>
  <c r="U24" i="84"/>
  <c r="U25" i="84"/>
  <c r="U21" i="84"/>
  <c r="U19" i="84"/>
  <c r="U23" i="84"/>
  <c r="U20" i="84"/>
  <c r="U22" i="84"/>
  <c r="AC16" i="84"/>
  <c r="AC10" i="84"/>
  <c r="AC17" i="84"/>
  <c r="AC9" i="84"/>
  <c r="AC14" i="84"/>
  <c r="AC13" i="84"/>
  <c r="AC6" i="84"/>
  <c r="AC5" i="84"/>
  <c r="AC15" i="84"/>
  <c r="AC8" i="84"/>
  <c r="AC7" i="84"/>
  <c r="AC12" i="84"/>
  <c r="AC11" i="84"/>
  <c r="AE13" i="84" l="1"/>
  <c r="AG13" i="84"/>
  <c r="AF13" i="84"/>
  <c r="X23" i="84"/>
  <c r="W23" i="84"/>
  <c r="Y23" i="84"/>
  <c r="X10" i="84"/>
  <c r="W10" i="84"/>
  <c r="Y10" i="84"/>
  <c r="AE11" i="84"/>
  <c r="AG11" i="84"/>
  <c r="AF11" i="84"/>
  <c r="AE15" i="84"/>
  <c r="AG15" i="84"/>
  <c r="AF15" i="84"/>
  <c r="AE14" i="84"/>
  <c r="AG14" i="84"/>
  <c r="AF14" i="84"/>
  <c r="AE16" i="84"/>
  <c r="AG16" i="84"/>
  <c r="AF16" i="84"/>
  <c r="X19" i="84"/>
  <c r="W19" i="84"/>
  <c r="Y19" i="84"/>
  <c r="X11" i="84"/>
  <c r="W11" i="84"/>
  <c r="Y11" i="84"/>
  <c r="X15" i="84"/>
  <c r="W15" i="84"/>
  <c r="Y15" i="84"/>
  <c r="X5" i="84"/>
  <c r="W5" i="84"/>
  <c r="Y5" i="84"/>
  <c r="X16" i="84"/>
  <c r="W16" i="84"/>
  <c r="Y16" i="84"/>
  <c r="I22" i="84"/>
  <c r="H22" i="84"/>
  <c r="G22" i="84"/>
  <c r="O8" i="84"/>
  <c r="N8" i="84"/>
  <c r="Q8" i="84"/>
  <c r="P8" i="84"/>
  <c r="O11" i="84"/>
  <c r="N11" i="84"/>
  <c r="Q11" i="84"/>
  <c r="P11" i="84"/>
  <c r="O13" i="84"/>
  <c r="N13" i="84"/>
  <c r="Q13" i="84"/>
  <c r="P13" i="84"/>
  <c r="O16" i="84"/>
  <c r="N16" i="84"/>
  <c r="Q16" i="84"/>
  <c r="P16" i="84"/>
  <c r="G5" i="84"/>
  <c r="H5" i="84"/>
  <c r="I5" i="84"/>
  <c r="I9" i="84"/>
  <c r="G9" i="84"/>
  <c r="H9" i="84"/>
  <c r="I13" i="84"/>
  <c r="G13" i="84"/>
  <c r="H13" i="84"/>
  <c r="AG22" i="84"/>
  <c r="AE22" i="84"/>
  <c r="AF22" i="84"/>
  <c r="AG24" i="84"/>
  <c r="AF24" i="84"/>
  <c r="AE24" i="84"/>
  <c r="O23" i="84"/>
  <c r="N23" i="84"/>
  <c r="Q23" i="84"/>
  <c r="P23" i="84"/>
  <c r="AE9" i="84"/>
  <c r="AG9" i="84"/>
  <c r="AF9" i="84"/>
  <c r="X7" i="84"/>
  <c r="W7" i="84"/>
  <c r="Y7" i="84"/>
  <c r="I24" i="84"/>
  <c r="H24" i="84"/>
  <c r="G24" i="84"/>
  <c r="O17" i="84"/>
  <c r="N17" i="84"/>
  <c r="Q17" i="84"/>
  <c r="P17" i="84"/>
  <c r="I7" i="84"/>
  <c r="G7" i="84"/>
  <c r="H7" i="84"/>
  <c r="I12" i="84"/>
  <c r="G12" i="84"/>
  <c r="H12" i="84"/>
  <c r="O25" i="84"/>
  <c r="P25" i="84"/>
  <c r="N25" i="84"/>
  <c r="Q25" i="84"/>
  <c r="AE12" i="84"/>
  <c r="AG12" i="84"/>
  <c r="AF12" i="84"/>
  <c r="X22" i="84"/>
  <c r="W22" i="84"/>
  <c r="Y22" i="84"/>
  <c r="X13" i="84"/>
  <c r="W13" i="84"/>
  <c r="Y13" i="84"/>
  <c r="O12" i="84"/>
  <c r="N12" i="84"/>
  <c r="Q12" i="84"/>
  <c r="P12" i="84"/>
  <c r="O19" i="84"/>
  <c r="N19" i="84"/>
  <c r="Q19" i="84"/>
  <c r="P19" i="84"/>
  <c r="AE17" i="84"/>
  <c r="AG17" i="84"/>
  <c r="AF17" i="84"/>
  <c r="X12" i="84"/>
  <c r="W12" i="84"/>
  <c r="Y12" i="84"/>
  <c r="X6" i="84"/>
  <c r="W6" i="84"/>
  <c r="Y6" i="84"/>
  <c r="I25" i="84"/>
  <c r="H25" i="84"/>
  <c r="G25" i="84"/>
  <c r="O7" i="84"/>
  <c r="N7" i="84"/>
  <c r="Q7" i="84"/>
  <c r="P7" i="84"/>
  <c r="O5" i="84"/>
  <c r="N5" i="84"/>
  <c r="Q5" i="84"/>
  <c r="P5" i="84"/>
  <c r="I17" i="84"/>
  <c r="G17" i="84"/>
  <c r="H17" i="84"/>
  <c r="I14" i="84"/>
  <c r="G14" i="84"/>
  <c r="H14" i="84"/>
  <c r="AG20" i="84"/>
  <c r="AF20" i="84"/>
  <c r="AE20" i="84"/>
  <c r="AG21" i="84"/>
  <c r="AF21" i="84"/>
  <c r="AE21" i="84"/>
  <c r="O20" i="84"/>
  <c r="N20" i="84"/>
  <c r="Q20" i="84"/>
  <c r="P20" i="84"/>
  <c r="O21" i="84"/>
  <c r="N21" i="84"/>
  <c r="Q21" i="84"/>
  <c r="P21" i="84"/>
  <c r="AE5" i="84"/>
  <c r="AG5" i="84"/>
  <c r="AF5" i="84"/>
  <c r="X21" i="84"/>
  <c r="W21" i="84"/>
  <c r="Y21" i="84"/>
  <c r="X17" i="84"/>
  <c r="W17" i="84"/>
  <c r="Y17" i="84"/>
  <c r="I19" i="84"/>
  <c r="H19" i="84"/>
  <c r="G19" i="84"/>
  <c r="O10" i="84"/>
  <c r="N10" i="84"/>
  <c r="Q10" i="84"/>
  <c r="P10" i="84"/>
  <c r="I16" i="84"/>
  <c r="G16" i="84"/>
  <c r="H16" i="84"/>
  <c r="I15" i="84"/>
  <c r="G15" i="84"/>
  <c r="H15" i="84"/>
  <c r="AG19" i="84"/>
  <c r="AF19" i="84"/>
  <c r="AE19" i="84"/>
  <c r="AE7" i="84"/>
  <c r="AG7" i="84"/>
  <c r="AF7" i="84"/>
  <c r="AE6" i="84"/>
  <c r="AG6" i="84"/>
  <c r="AF6" i="84"/>
  <c r="X20" i="84"/>
  <c r="W20" i="84"/>
  <c r="Y20" i="84"/>
  <c r="X25" i="84"/>
  <c r="W25" i="84"/>
  <c r="Y25" i="84"/>
  <c r="X9" i="84"/>
  <c r="W9" i="84"/>
  <c r="Y9" i="84"/>
  <c r="I20" i="84"/>
  <c r="H20" i="84"/>
  <c r="G20" i="84"/>
  <c r="O15" i="84"/>
  <c r="N15" i="84"/>
  <c r="Q15" i="84"/>
  <c r="P15" i="84"/>
  <c r="I10" i="84"/>
  <c r="G10" i="84"/>
  <c r="H10" i="84"/>
  <c r="AE8" i="84"/>
  <c r="AG8" i="84"/>
  <c r="AF8" i="84"/>
  <c r="AE10" i="84"/>
  <c r="AG10" i="84"/>
  <c r="AF10" i="84"/>
  <c r="X24" i="84"/>
  <c r="W24" i="84"/>
  <c r="Y24" i="84"/>
  <c r="X8" i="84"/>
  <c r="W8" i="84"/>
  <c r="Y8" i="84"/>
  <c r="X14" i="84"/>
  <c r="W14" i="84"/>
  <c r="Y14" i="84"/>
  <c r="I23" i="84"/>
  <c r="H23" i="84"/>
  <c r="G23" i="84"/>
  <c r="I21" i="84"/>
  <c r="H21" i="84"/>
  <c r="G21" i="84"/>
  <c r="O6" i="84"/>
  <c r="N6" i="84"/>
  <c r="Q6" i="84"/>
  <c r="P6" i="84"/>
  <c r="O14" i="84"/>
  <c r="N14" i="84"/>
  <c r="Q14" i="84"/>
  <c r="P14" i="84"/>
  <c r="O9" i="84"/>
  <c r="N9" i="84"/>
  <c r="Q9" i="84"/>
  <c r="P9" i="84"/>
  <c r="I6" i="84"/>
  <c r="G6" i="84"/>
  <c r="H6" i="84"/>
  <c r="I11" i="84"/>
  <c r="G11" i="84"/>
  <c r="H11" i="84"/>
  <c r="I8" i="84"/>
  <c r="G8" i="84"/>
  <c r="H8" i="84"/>
  <c r="AG23" i="84"/>
  <c r="AF23" i="84"/>
  <c r="AE23" i="84"/>
  <c r="AG25" i="84"/>
  <c r="AE25" i="84"/>
  <c r="AF25" i="84"/>
  <c r="O22" i="84"/>
  <c r="N22" i="84"/>
  <c r="Q22" i="84"/>
  <c r="P22" i="84"/>
  <c r="O24" i="84"/>
  <c r="N24" i="84"/>
  <c r="Q24" i="84"/>
  <c r="P24" i="84"/>
  <c r="F40" i="55"/>
  <c r="D61" i="51" l="1"/>
  <c r="E61" i="51"/>
  <c r="F61" i="51"/>
  <c r="D53" i="51"/>
  <c r="E53" i="51"/>
  <c r="F53" i="51"/>
  <c r="D50" i="51"/>
  <c r="E50" i="51"/>
  <c r="F50" i="51"/>
  <c r="D41" i="51"/>
  <c r="E41" i="51"/>
  <c r="F41" i="51"/>
  <c r="D32" i="51"/>
  <c r="E32" i="51"/>
  <c r="F32" i="51"/>
  <c r="D26" i="51"/>
  <c r="E26" i="51"/>
  <c r="F26" i="51"/>
  <c r="D18" i="51"/>
  <c r="E18" i="51"/>
  <c r="F18" i="51"/>
  <c r="D4" i="51"/>
  <c r="E4" i="51"/>
  <c r="F4" i="51"/>
  <c r="F49" i="51" l="1"/>
  <c r="F70" i="51" s="1"/>
  <c r="D49" i="51"/>
  <c r="D70" i="51" s="1"/>
  <c r="E49" i="51"/>
  <c r="E70" i="51" s="1"/>
  <c r="F29" i="2"/>
  <c r="E29" i="2"/>
  <c r="D29" i="2"/>
  <c r="C29" i="2"/>
  <c r="B5" i="2" l="1"/>
  <c r="B2" i="2" l="1"/>
  <c r="I5" i="78" l="1"/>
  <c r="I6" i="78"/>
  <c r="I7" i="78"/>
  <c r="I8" i="78"/>
  <c r="I9" i="78"/>
  <c r="I10" i="78"/>
  <c r="I11" i="78"/>
  <c r="I12" i="78"/>
  <c r="I13" i="78"/>
  <c r="I14" i="78"/>
  <c r="I15" i="78"/>
  <c r="I16" i="78"/>
  <c r="I17" i="78"/>
  <c r="I18" i="78"/>
  <c r="I19" i="78"/>
  <c r="I20" i="78"/>
  <c r="I21" i="78"/>
  <c r="I22" i="78"/>
  <c r="I23" i="78"/>
  <c r="I24" i="78"/>
  <c r="I25" i="78"/>
  <c r="I26" i="78"/>
  <c r="I27" i="78"/>
  <c r="I28" i="78"/>
  <c r="I29" i="78"/>
  <c r="I30" i="78"/>
  <c r="I31" i="78"/>
  <c r="I32" i="78"/>
  <c r="I33" i="78"/>
  <c r="I34" i="78"/>
  <c r="I35" i="78"/>
  <c r="I36" i="78"/>
  <c r="I37" i="78"/>
  <c r="I38" i="78"/>
  <c r="I39" i="78"/>
  <c r="I40" i="78"/>
  <c r="AH5" i="51" l="1"/>
  <c r="AH6" i="51"/>
  <c r="AH7" i="51"/>
  <c r="AH8" i="51"/>
  <c r="AH9" i="51"/>
  <c r="AH10" i="51"/>
  <c r="AH11" i="51"/>
  <c r="AH12" i="51"/>
  <c r="AH13" i="51"/>
  <c r="AH14" i="51"/>
  <c r="AH15" i="51"/>
  <c r="AH16" i="51"/>
  <c r="AH17" i="51"/>
  <c r="AH19" i="51"/>
  <c r="AH20" i="51"/>
  <c r="AH21" i="51"/>
  <c r="AH22" i="51"/>
  <c r="AH23" i="51"/>
  <c r="AH24" i="51"/>
  <c r="AH25" i="51"/>
  <c r="AH27" i="51"/>
  <c r="AH28" i="51"/>
  <c r="AH29" i="51"/>
  <c r="AH30" i="51"/>
  <c r="AH31" i="51"/>
  <c r="AH33" i="51"/>
  <c r="AH34" i="51"/>
  <c r="AH35" i="51"/>
  <c r="AH36" i="51"/>
  <c r="AH37" i="51"/>
  <c r="AH38" i="51"/>
  <c r="AH39" i="51"/>
  <c r="AH40" i="51"/>
  <c r="AH42" i="51"/>
  <c r="AH43" i="51"/>
  <c r="AH44" i="51"/>
  <c r="AH45" i="51"/>
  <c r="AH46" i="51"/>
  <c r="AH47" i="51"/>
  <c r="AH48" i="51"/>
  <c r="AH51" i="51"/>
  <c r="AH52" i="51"/>
  <c r="AH54" i="51"/>
  <c r="AH55" i="51"/>
  <c r="AH56" i="51"/>
  <c r="AH57" i="51"/>
  <c r="AH58" i="51"/>
  <c r="AH59" i="51"/>
  <c r="AH60" i="51"/>
  <c r="AH62" i="51"/>
  <c r="AH63" i="51"/>
  <c r="AH64" i="51"/>
  <c r="AH65" i="51"/>
  <c r="AH66" i="51"/>
  <c r="AH67" i="51"/>
  <c r="AH68" i="51"/>
  <c r="AH69" i="51"/>
  <c r="AA61" i="51"/>
  <c r="AA53" i="51"/>
  <c r="AA50" i="51"/>
  <c r="AA41" i="51"/>
  <c r="AA32" i="51"/>
  <c r="AA26" i="51"/>
  <c r="AA18" i="51"/>
  <c r="AA4" i="51"/>
  <c r="T61" i="51"/>
  <c r="T53" i="51"/>
  <c r="T50" i="51"/>
  <c r="T41" i="51"/>
  <c r="T32" i="51"/>
  <c r="T26" i="51"/>
  <c r="T18" i="51"/>
  <c r="T4" i="51"/>
  <c r="M61" i="51"/>
  <c r="M53" i="51"/>
  <c r="M50" i="51"/>
  <c r="M41" i="51"/>
  <c r="M32" i="51"/>
  <c r="M26" i="51"/>
  <c r="M18" i="51"/>
  <c r="M4" i="51"/>
  <c r="G4" i="51"/>
  <c r="G18" i="51" l="1"/>
  <c r="G32" i="51"/>
  <c r="G41" i="51"/>
  <c r="G61" i="51"/>
  <c r="G53" i="51"/>
  <c r="G26" i="51"/>
  <c r="G50" i="51"/>
  <c r="T49" i="51"/>
  <c r="T70" i="51" s="1"/>
  <c r="AA49" i="51"/>
  <c r="AA70" i="51" s="1"/>
  <c r="AH50" i="51"/>
  <c r="M49" i="51"/>
  <c r="M70" i="51" s="1"/>
  <c r="AH61" i="51"/>
  <c r="AH41" i="51"/>
  <c r="AH32" i="51"/>
  <c r="AH18" i="51"/>
  <c r="AH53" i="51"/>
  <c r="AH26" i="51"/>
  <c r="AH4" i="51"/>
  <c r="AI69" i="51"/>
  <c r="AG69" i="51"/>
  <c r="AF69" i="51"/>
  <c r="AI68" i="51"/>
  <c r="AG68" i="51"/>
  <c r="AF68" i="51"/>
  <c r="AI67" i="51"/>
  <c r="AG67" i="51"/>
  <c r="AF67" i="51"/>
  <c r="AI66" i="51"/>
  <c r="AG66" i="51"/>
  <c r="AF66" i="51"/>
  <c r="AI65" i="51"/>
  <c r="AG65" i="51"/>
  <c r="AF65" i="51"/>
  <c r="AI64" i="51"/>
  <c r="AG64" i="51"/>
  <c r="AF64" i="51"/>
  <c r="AI63" i="51"/>
  <c r="AG63" i="51"/>
  <c r="AF63" i="51"/>
  <c r="AI62" i="51"/>
  <c r="AG62" i="51"/>
  <c r="AF62" i="51"/>
  <c r="AI60" i="51"/>
  <c r="AG60" i="51"/>
  <c r="AF60" i="51"/>
  <c r="AI59" i="51"/>
  <c r="AG59" i="51"/>
  <c r="AF59" i="51"/>
  <c r="AI58" i="51"/>
  <c r="AG58" i="51"/>
  <c r="AF58" i="51"/>
  <c r="AI57" i="51"/>
  <c r="AG57" i="51"/>
  <c r="AF57" i="51"/>
  <c r="AI56" i="51"/>
  <c r="AG56" i="51"/>
  <c r="AF56" i="51"/>
  <c r="AI55" i="51"/>
  <c r="AG55" i="51"/>
  <c r="AF55" i="51"/>
  <c r="AI54" i="51"/>
  <c r="AG54" i="51"/>
  <c r="AF54" i="51"/>
  <c r="AI52" i="51"/>
  <c r="AG52" i="51"/>
  <c r="AF52" i="51"/>
  <c r="AI51" i="51"/>
  <c r="AG51" i="51"/>
  <c r="AF51" i="51"/>
  <c r="AI48" i="51"/>
  <c r="AG48" i="51"/>
  <c r="AF48" i="51"/>
  <c r="AI47" i="51"/>
  <c r="AG47" i="51"/>
  <c r="AF47" i="51"/>
  <c r="AI46" i="51"/>
  <c r="AG46" i="51"/>
  <c r="AF46" i="51"/>
  <c r="AI45" i="51"/>
  <c r="AG45" i="51"/>
  <c r="AF45" i="51"/>
  <c r="AI44" i="51"/>
  <c r="AG44" i="51"/>
  <c r="AF44" i="51"/>
  <c r="AI43" i="51"/>
  <c r="AG43" i="51"/>
  <c r="AF43" i="51"/>
  <c r="AI42" i="51"/>
  <c r="AG42" i="51"/>
  <c r="AF42" i="51"/>
  <c r="AI40" i="51"/>
  <c r="AG40" i="51"/>
  <c r="AF40" i="51"/>
  <c r="AI39" i="51"/>
  <c r="AG39" i="51"/>
  <c r="AF39" i="51"/>
  <c r="AI38" i="51"/>
  <c r="AG38" i="51"/>
  <c r="AF38" i="51"/>
  <c r="AI37" i="51"/>
  <c r="AG37" i="51"/>
  <c r="AF37" i="51"/>
  <c r="AI36" i="51"/>
  <c r="AG36" i="51"/>
  <c r="AF36" i="51"/>
  <c r="AI35" i="51"/>
  <c r="AG35" i="51"/>
  <c r="AF35" i="51"/>
  <c r="AI34" i="51"/>
  <c r="AG34" i="51"/>
  <c r="AF34" i="51"/>
  <c r="AI33" i="51"/>
  <c r="AG33" i="51"/>
  <c r="AF33" i="51"/>
  <c r="AG31" i="51"/>
  <c r="AF31" i="51"/>
  <c r="AG30" i="51"/>
  <c r="AF30" i="51"/>
  <c r="AG29" i="51"/>
  <c r="AF29" i="51"/>
  <c r="AG28" i="51"/>
  <c r="AF28" i="51"/>
  <c r="AG27" i="51"/>
  <c r="AF27" i="51"/>
  <c r="AI25" i="51"/>
  <c r="AG25" i="51"/>
  <c r="AF25" i="51"/>
  <c r="AI24" i="51"/>
  <c r="AG24" i="51"/>
  <c r="AF24" i="51"/>
  <c r="AI23" i="51"/>
  <c r="AG23" i="51"/>
  <c r="AF23" i="51"/>
  <c r="AI22" i="51"/>
  <c r="AG22" i="51"/>
  <c r="AF22" i="51"/>
  <c r="AI21" i="51"/>
  <c r="AG21" i="51"/>
  <c r="AF21" i="51"/>
  <c r="AI20" i="51"/>
  <c r="AG20" i="51"/>
  <c r="AF20" i="51"/>
  <c r="AI19" i="51"/>
  <c r="AG19" i="51"/>
  <c r="AF19" i="51"/>
  <c r="AI17" i="51"/>
  <c r="AG17" i="51"/>
  <c r="AF17" i="51"/>
  <c r="AI16" i="51"/>
  <c r="AG16" i="51"/>
  <c r="AF16" i="51"/>
  <c r="AI15" i="51"/>
  <c r="AG15" i="51"/>
  <c r="AF15" i="51"/>
  <c r="AI14" i="51"/>
  <c r="AG14" i="51"/>
  <c r="AF14" i="51"/>
  <c r="AI13" i="51"/>
  <c r="AG13" i="51"/>
  <c r="AF13" i="51"/>
  <c r="AI12" i="51"/>
  <c r="AG12" i="51"/>
  <c r="AF12" i="51"/>
  <c r="AI11" i="51"/>
  <c r="AG11" i="51"/>
  <c r="AF11" i="51"/>
  <c r="AI10" i="51"/>
  <c r="AG10" i="51"/>
  <c r="AF10" i="51"/>
  <c r="AI9" i="51"/>
  <c r="AG9" i="51"/>
  <c r="AF9" i="51"/>
  <c r="AI8" i="51"/>
  <c r="AG8" i="51"/>
  <c r="AF8" i="51"/>
  <c r="AI7" i="51"/>
  <c r="AG7" i="51"/>
  <c r="AF7" i="51"/>
  <c r="AI6" i="51"/>
  <c r="AG6" i="51"/>
  <c r="AF6" i="51"/>
  <c r="AI5" i="51"/>
  <c r="AG5" i="51"/>
  <c r="AF5" i="51"/>
  <c r="X69" i="51"/>
  <c r="X68" i="51"/>
  <c r="X67" i="51"/>
  <c r="X66" i="51"/>
  <c r="X65" i="51"/>
  <c r="X64" i="51"/>
  <c r="X63" i="51"/>
  <c r="X62" i="51"/>
  <c r="X60" i="51"/>
  <c r="X59" i="51"/>
  <c r="X58" i="51"/>
  <c r="X57" i="51"/>
  <c r="X56" i="51"/>
  <c r="X55" i="51"/>
  <c r="X54" i="51"/>
  <c r="X52" i="51"/>
  <c r="X51" i="51"/>
  <c r="X48" i="51"/>
  <c r="X47" i="51"/>
  <c r="X46" i="51"/>
  <c r="X45" i="51"/>
  <c r="X44" i="51"/>
  <c r="X43" i="51"/>
  <c r="X42" i="51"/>
  <c r="X40" i="51"/>
  <c r="X39" i="51"/>
  <c r="X38" i="51"/>
  <c r="X37" i="51"/>
  <c r="X36" i="51"/>
  <c r="X35" i="51"/>
  <c r="X34" i="51"/>
  <c r="X33" i="51"/>
  <c r="X31" i="51"/>
  <c r="AC31" i="51" s="1"/>
  <c r="X30" i="51"/>
  <c r="AC30" i="51" s="1"/>
  <c r="X29" i="51"/>
  <c r="AC29" i="51" s="1"/>
  <c r="X28" i="51"/>
  <c r="AC28" i="51" s="1"/>
  <c r="X27" i="51"/>
  <c r="AC27" i="51" s="1"/>
  <c r="X25" i="51"/>
  <c r="AD25" i="84" s="1"/>
  <c r="X24" i="51"/>
  <c r="AD24" i="84" s="1"/>
  <c r="X23" i="51"/>
  <c r="AD23" i="84" s="1"/>
  <c r="X22" i="51"/>
  <c r="AD22" i="84" s="1"/>
  <c r="X21" i="51"/>
  <c r="AD21" i="84" s="1"/>
  <c r="X20" i="51"/>
  <c r="AD20" i="84" s="1"/>
  <c r="X19" i="51"/>
  <c r="AD19" i="84" s="1"/>
  <c r="X17" i="51"/>
  <c r="AD17" i="84" s="1"/>
  <c r="X16" i="51"/>
  <c r="AD16" i="84" s="1"/>
  <c r="X15" i="51"/>
  <c r="AD15" i="84" s="1"/>
  <c r="X14" i="51"/>
  <c r="AD14" i="84" s="1"/>
  <c r="X13" i="51"/>
  <c r="AD13" i="84" s="1"/>
  <c r="X12" i="51"/>
  <c r="AD12" i="84" s="1"/>
  <c r="X11" i="51"/>
  <c r="AD11" i="84" s="1"/>
  <c r="X10" i="51"/>
  <c r="AD10" i="84" s="1"/>
  <c r="X9" i="51"/>
  <c r="AD9" i="84" s="1"/>
  <c r="X8" i="51"/>
  <c r="AD8" i="84" s="1"/>
  <c r="X7" i="51"/>
  <c r="AD7" i="84" s="1"/>
  <c r="X6" i="51"/>
  <c r="AD6" i="84" s="1"/>
  <c r="X5" i="51"/>
  <c r="AD5" i="84" s="1"/>
  <c r="Q69" i="51"/>
  <c r="Q68" i="51"/>
  <c r="Q67" i="51"/>
  <c r="Q66" i="51"/>
  <c r="Q65" i="51"/>
  <c r="Q64" i="51"/>
  <c r="Q63" i="51"/>
  <c r="Q62" i="51"/>
  <c r="Q60" i="51"/>
  <c r="Q59" i="51"/>
  <c r="Q58" i="51"/>
  <c r="Q57" i="51"/>
  <c r="Q56" i="51"/>
  <c r="Q55" i="51"/>
  <c r="Q54" i="51"/>
  <c r="Q52" i="51"/>
  <c r="Q51" i="51"/>
  <c r="Q48" i="51"/>
  <c r="Q47" i="51"/>
  <c r="Q46" i="51"/>
  <c r="Q45" i="51"/>
  <c r="Q44" i="51"/>
  <c r="Q43" i="51"/>
  <c r="Q42" i="51"/>
  <c r="Q40" i="51"/>
  <c r="Q39" i="51"/>
  <c r="Q38" i="51"/>
  <c r="Q37" i="51"/>
  <c r="Q36" i="51"/>
  <c r="Q35" i="51"/>
  <c r="Q34" i="51"/>
  <c r="Q33" i="51"/>
  <c r="Q31" i="51"/>
  <c r="V31" i="51" s="1"/>
  <c r="Q30" i="51"/>
  <c r="V30" i="51" s="1"/>
  <c r="Q29" i="51"/>
  <c r="V29" i="51" s="1"/>
  <c r="Q28" i="51"/>
  <c r="V28" i="51" s="1"/>
  <c r="Q27" i="51"/>
  <c r="V27" i="51" s="1"/>
  <c r="Q25" i="51"/>
  <c r="V25" i="84" s="1"/>
  <c r="Q24" i="51"/>
  <c r="V24" i="84" s="1"/>
  <c r="Q23" i="51"/>
  <c r="V23" i="84" s="1"/>
  <c r="Q22" i="51"/>
  <c r="V22" i="84" s="1"/>
  <c r="Q21" i="51"/>
  <c r="V21" i="84" s="1"/>
  <c r="Q20" i="51"/>
  <c r="V20" i="84" s="1"/>
  <c r="Q19" i="51"/>
  <c r="V19" i="84" s="1"/>
  <c r="Q17" i="51"/>
  <c r="V17" i="84" s="1"/>
  <c r="Q16" i="51"/>
  <c r="V16" i="84" s="1"/>
  <c r="Q15" i="51"/>
  <c r="V15" i="84" s="1"/>
  <c r="Q14" i="51"/>
  <c r="V14" i="84" s="1"/>
  <c r="Q13" i="51"/>
  <c r="V13" i="84" s="1"/>
  <c r="Q12" i="51"/>
  <c r="V12" i="84" s="1"/>
  <c r="Q11" i="51"/>
  <c r="V11" i="84" s="1"/>
  <c r="Q10" i="51"/>
  <c r="V10" i="84" s="1"/>
  <c r="Q9" i="51"/>
  <c r="V9" i="84" s="1"/>
  <c r="Q8" i="51"/>
  <c r="V8" i="84" s="1"/>
  <c r="Q7" i="51"/>
  <c r="V7" i="84" s="1"/>
  <c r="Q6" i="51"/>
  <c r="V6" i="84" s="1"/>
  <c r="Q5" i="51"/>
  <c r="V5" i="84" s="1"/>
  <c r="Z61" i="51"/>
  <c r="Y61" i="51"/>
  <c r="Z53" i="51"/>
  <c r="Y53" i="51"/>
  <c r="Z50" i="51"/>
  <c r="Y50" i="51"/>
  <c r="Z41" i="51"/>
  <c r="Y41" i="51"/>
  <c r="Z32" i="51"/>
  <c r="Y32" i="51"/>
  <c r="Z26" i="51"/>
  <c r="Y26" i="51"/>
  <c r="Z18" i="51"/>
  <c r="Y18" i="51"/>
  <c r="Z4" i="51"/>
  <c r="Y4" i="51"/>
  <c r="V64" i="51"/>
  <c r="S61" i="51"/>
  <c r="R61" i="51"/>
  <c r="S53" i="51"/>
  <c r="R53" i="51"/>
  <c r="S50" i="51"/>
  <c r="R50" i="51"/>
  <c r="S41" i="51"/>
  <c r="R41" i="51"/>
  <c r="S32" i="51"/>
  <c r="R32" i="51"/>
  <c r="S26" i="51"/>
  <c r="R26" i="51"/>
  <c r="S18" i="51"/>
  <c r="R18" i="51"/>
  <c r="S4" i="51"/>
  <c r="R4" i="51"/>
  <c r="L61" i="51"/>
  <c r="K61" i="51"/>
  <c r="L53" i="51"/>
  <c r="K53" i="51"/>
  <c r="L50" i="51"/>
  <c r="K50" i="51"/>
  <c r="L41" i="51"/>
  <c r="K41" i="51"/>
  <c r="L32" i="51"/>
  <c r="K32" i="51"/>
  <c r="L26" i="51"/>
  <c r="K26" i="51"/>
  <c r="L18" i="51"/>
  <c r="K18" i="51"/>
  <c r="L4" i="51"/>
  <c r="K4" i="51"/>
  <c r="C69" i="51"/>
  <c r="C68" i="51"/>
  <c r="C67" i="51"/>
  <c r="C66" i="51"/>
  <c r="C65" i="51"/>
  <c r="C64" i="51"/>
  <c r="C63" i="51"/>
  <c r="C62" i="51"/>
  <c r="C60" i="51"/>
  <c r="C59" i="51"/>
  <c r="C58" i="51"/>
  <c r="C57" i="51"/>
  <c r="C56" i="51"/>
  <c r="C55" i="51"/>
  <c r="C54" i="51"/>
  <c r="C52" i="51"/>
  <c r="C51" i="51"/>
  <c r="C48" i="51"/>
  <c r="C47" i="51"/>
  <c r="C46" i="51"/>
  <c r="C45" i="51"/>
  <c r="C44" i="51"/>
  <c r="C43" i="51"/>
  <c r="C42" i="51"/>
  <c r="C40" i="51"/>
  <c r="C39" i="51"/>
  <c r="C38" i="51"/>
  <c r="C37" i="51"/>
  <c r="C36" i="51"/>
  <c r="C35" i="51"/>
  <c r="C34" i="51"/>
  <c r="C33" i="51"/>
  <c r="C31" i="51"/>
  <c r="H31" i="51" s="1"/>
  <c r="C30" i="51"/>
  <c r="H30" i="51" s="1"/>
  <c r="C29" i="51"/>
  <c r="H29" i="51" s="1"/>
  <c r="C28" i="51"/>
  <c r="H28" i="51" s="1"/>
  <c r="C27" i="51"/>
  <c r="H27" i="51" s="1"/>
  <c r="C25" i="51"/>
  <c r="F25" i="84" s="1"/>
  <c r="C24" i="51"/>
  <c r="F24" i="84" s="1"/>
  <c r="C23" i="51"/>
  <c r="F23" i="84" s="1"/>
  <c r="C22" i="51"/>
  <c r="F22" i="84" s="1"/>
  <c r="C21" i="51"/>
  <c r="F21" i="84" s="1"/>
  <c r="C20" i="51"/>
  <c r="F20" i="84" s="1"/>
  <c r="C19" i="51"/>
  <c r="F19" i="84" s="1"/>
  <c r="C17" i="51"/>
  <c r="F17" i="84" s="1"/>
  <c r="C16" i="51"/>
  <c r="F16" i="84" s="1"/>
  <c r="C15" i="51"/>
  <c r="F15" i="84" s="1"/>
  <c r="C14" i="51"/>
  <c r="F14" i="84" s="1"/>
  <c r="C13" i="51"/>
  <c r="F13" i="84" s="1"/>
  <c r="C12" i="51"/>
  <c r="F12" i="84" s="1"/>
  <c r="C11" i="51"/>
  <c r="F11" i="84" s="1"/>
  <c r="C10" i="51"/>
  <c r="F10" i="84" s="1"/>
  <c r="C9" i="51"/>
  <c r="F9" i="84" s="1"/>
  <c r="C8" i="51"/>
  <c r="F8" i="84" s="1"/>
  <c r="C7" i="51"/>
  <c r="F7" i="84" s="1"/>
  <c r="C6" i="51"/>
  <c r="F6" i="84" s="1"/>
  <c r="C5" i="51"/>
  <c r="F5" i="84" s="1"/>
  <c r="L69" i="69"/>
  <c r="L68" i="69"/>
  <c r="L67" i="69"/>
  <c r="L66" i="69"/>
  <c r="L65" i="69"/>
  <c r="L64" i="69"/>
  <c r="L63" i="69"/>
  <c r="L62" i="69"/>
  <c r="L60" i="69"/>
  <c r="L59" i="69"/>
  <c r="L58" i="69"/>
  <c r="L57" i="69"/>
  <c r="L56" i="69"/>
  <c r="L55" i="69"/>
  <c r="L54" i="69"/>
  <c r="L52" i="69"/>
  <c r="L51" i="69"/>
  <c r="L48" i="69"/>
  <c r="L47" i="69"/>
  <c r="L46" i="69"/>
  <c r="L45" i="69"/>
  <c r="L44" i="69"/>
  <c r="L43" i="69"/>
  <c r="L42" i="69"/>
  <c r="L40" i="69"/>
  <c r="L39" i="69"/>
  <c r="L38" i="69"/>
  <c r="L37" i="69"/>
  <c r="L36" i="69"/>
  <c r="L35" i="69"/>
  <c r="L34" i="69"/>
  <c r="L33" i="69"/>
  <c r="L31" i="69"/>
  <c r="L30" i="69"/>
  <c r="L29" i="69"/>
  <c r="L28" i="69"/>
  <c r="L27" i="69"/>
  <c r="L25" i="69"/>
  <c r="L24" i="69"/>
  <c r="L23" i="69"/>
  <c r="L22" i="69"/>
  <c r="L21" i="69"/>
  <c r="L20" i="69"/>
  <c r="L19" i="69"/>
  <c r="L17" i="69"/>
  <c r="L16" i="69"/>
  <c r="L15" i="69"/>
  <c r="L14" i="69"/>
  <c r="L13" i="69"/>
  <c r="L12" i="69"/>
  <c r="L11" i="69"/>
  <c r="L10" i="69"/>
  <c r="L9" i="69"/>
  <c r="L8" i="69"/>
  <c r="L7" i="69"/>
  <c r="L6" i="69"/>
  <c r="K69" i="69"/>
  <c r="K68" i="69"/>
  <c r="K67" i="69"/>
  <c r="K66" i="69"/>
  <c r="K65" i="69"/>
  <c r="K64" i="69"/>
  <c r="K63" i="69"/>
  <c r="K62" i="69"/>
  <c r="K60" i="69"/>
  <c r="K59" i="69"/>
  <c r="K58" i="69"/>
  <c r="K57" i="69"/>
  <c r="K56" i="69"/>
  <c r="K55" i="69"/>
  <c r="K54" i="69"/>
  <c r="K52" i="69"/>
  <c r="K51" i="69"/>
  <c r="K48" i="69"/>
  <c r="K47" i="69"/>
  <c r="K46" i="69"/>
  <c r="K45" i="69"/>
  <c r="K44" i="69"/>
  <c r="K43" i="69"/>
  <c r="K42" i="69"/>
  <c r="K40" i="69"/>
  <c r="K39" i="69"/>
  <c r="K38" i="69"/>
  <c r="K37" i="69"/>
  <c r="K36" i="69"/>
  <c r="K35" i="69"/>
  <c r="K34" i="69"/>
  <c r="K33" i="69"/>
  <c r="K31" i="69"/>
  <c r="K30" i="69"/>
  <c r="K29" i="69"/>
  <c r="K28" i="69"/>
  <c r="K27" i="69"/>
  <c r="K25" i="69"/>
  <c r="K24" i="69"/>
  <c r="K23" i="69"/>
  <c r="K22" i="69"/>
  <c r="K21" i="69"/>
  <c r="K20" i="69"/>
  <c r="K19" i="69"/>
  <c r="K17" i="69"/>
  <c r="K16" i="69"/>
  <c r="K15" i="69"/>
  <c r="K14" i="69"/>
  <c r="K13" i="69"/>
  <c r="K12" i="69"/>
  <c r="K11" i="69"/>
  <c r="K10" i="69"/>
  <c r="K9" i="69"/>
  <c r="K8" i="69"/>
  <c r="K7" i="69"/>
  <c r="K6" i="69"/>
  <c r="K5" i="69"/>
  <c r="I61" i="69"/>
  <c r="I53" i="69"/>
  <c r="I50" i="69"/>
  <c r="I41" i="69"/>
  <c r="I32" i="69"/>
  <c r="I26" i="69"/>
  <c r="I18" i="69"/>
  <c r="I4" i="69"/>
  <c r="G61" i="69"/>
  <c r="G53" i="69"/>
  <c r="G50" i="69"/>
  <c r="G41" i="69"/>
  <c r="G32" i="69"/>
  <c r="G26" i="69"/>
  <c r="G18" i="69"/>
  <c r="G4" i="69"/>
  <c r="E61" i="69"/>
  <c r="C61" i="69"/>
  <c r="E53" i="69"/>
  <c r="C53" i="69"/>
  <c r="E50" i="69"/>
  <c r="C50" i="69"/>
  <c r="E41" i="69"/>
  <c r="C41" i="69"/>
  <c r="E32" i="69"/>
  <c r="C32" i="69"/>
  <c r="E26" i="69"/>
  <c r="C26" i="69"/>
  <c r="E18" i="69"/>
  <c r="C18" i="69"/>
  <c r="E4" i="69"/>
  <c r="C4" i="69"/>
  <c r="L50" i="69" l="1"/>
  <c r="M10" i="69"/>
  <c r="M14" i="69"/>
  <c r="M23" i="69"/>
  <c r="M33" i="69"/>
  <c r="M37" i="69"/>
  <c r="M42" i="69"/>
  <c r="M46" i="69"/>
  <c r="M52" i="69"/>
  <c r="M62" i="69"/>
  <c r="M66" i="69"/>
  <c r="AG50" i="51"/>
  <c r="M11" i="69"/>
  <c r="M24" i="69"/>
  <c r="M34" i="69"/>
  <c r="M47" i="69"/>
  <c r="M63" i="69"/>
  <c r="M7" i="69"/>
  <c r="M15" i="69"/>
  <c r="M20" i="69"/>
  <c r="M29" i="69"/>
  <c r="M38" i="69"/>
  <c r="M43" i="69"/>
  <c r="M54" i="69"/>
  <c r="M58" i="69"/>
  <c r="M67" i="69"/>
  <c r="G49" i="51"/>
  <c r="G70" i="51" s="1"/>
  <c r="L49" i="51"/>
  <c r="L70" i="51" s="1"/>
  <c r="R49" i="51"/>
  <c r="R70" i="51" s="1"/>
  <c r="K50" i="69"/>
  <c r="AC55" i="51"/>
  <c r="AC13" i="51"/>
  <c r="O9" i="51"/>
  <c r="O13" i="51"/>
  <c r="O17" i="51"/>
  <c r="O34" i="51"/>
  <c r="O38" i="51"/>
  <c r="O45" i="51"/>
  <c r="O52" i="51"/>
  <c r="O59" i="51"/>
  <c r="V23" i="51"/>
  <c r="V33" i="51"/>
  <c r="V37" i="51"/>
  <c r="V52" i="51"/>
  <c r="V57" i="51"/>
  <c r="AC9" i="51"/>
  <c r="AC17" i="51"/>
  <c r="AC22" i="51"/>
  <c r="AC45" i="51"/>
  <c r="AC51" i="51"/>
  <c r="AC65" i="51"/>
  <c r="AE22" i="51"/>
  <c r="AE36" i="51"/>
  <c r="AE51" i="51"/>
  <c r="AE56" i="51"/>
  <c r="AE60" i="51"/>
  <c r="O21" i="51"/>
  <c r="O25" i="51"/>
  <c r="O63" i="51"/>
  <c r="O67" i="51"/>
  <c r="V7" i="51"/>
  <c r="V11" i="51"/>
  <c r="V34" i="51"/>
  <c r="V38" i="51"/>
  <c r="V43" i="51"/>
  <c r="V47" i="51"/>
  <c r="V54" i="51"/>
  <c r="V58" i="51"/>
  <c r="V63" i="51"/>
  <c r="V67" i="51"/>
  <c r="AC23" i="51"/>
  <c r="AC37" i="51"/>
  <c r="AC57" i="51"/>
  <c r="O7" i="51"/>
  <c r="O11" i="51"/>
  <c r="O15" i="51"/>
  <c r="O22" i="51"/>
  <c r="O47" i="51"/>
  <c r="O64" i="51"/>
  <c r="O68" i="51"/>
  <c r="V15" i="51"/>
  <c r="V20" i="51"/>
  <c r="AC69" i="51"/>
  <c r="V8" i="51"/>
  <c r="V12" i="51"/>
  <c r="V21" i="51"/>
  <c r="V35" i="51"/>
  <c r="V39" i="51"/>
  <c r="V44" i="51"/>
  <c r="V48" i="51"/>
  <c r="V55" i="51"/>
  <c r="V59" i="51"/>
  <c r="V68" i="51"/>
  <c r="AC7" i="51"/>
  <c r="AC15" i="51"/>
  <c r="AC34" i="51"/>
  <c r="AC38" i="51"/>
  <c r="AC43" i="51"/>
  <c r="AC47" i="51"/>
  <c r="AC54" i="51"/>
  <c r="AC58" i="51"/>
  <c r="AC63" i="51"/>
  <c r="AC67" i="51"/>
  <c r="O8" i="51"/>
  <c r="O12" i="51"/>
  <c r="O16" i="51"/>
  <c r="O23" i="51"/>
  <c r="O37" i="51"/>
  <c r="O44" i="51"/>
  <c r="O48" i="51"/>
  <c r="O51" i="51"/>
  <c r="O54" i="51"/>
  <c r="O58" i="51"/>
  <c r="O65" i="51"/>
  <c r="O69" i="51"/>
  <c r="V16" i="51"/>
  <c r="V25" i="51"/>
  <c r="AC11" i="51"/>
  <c r="AC20" i="51"/>
  <c r="V9" i="51"/>
  <c r="V13" i="51"/>
  <c r="V17" i="51"/>
  <c r="V22" i="51"/>
  <c r="V45" i="51"/>
  <c r="V51" i="51"/>
  <c r="V65" i="51"/>
  <c r="V69" i="51"/>
  <c r="AC8" i="51"/>
  <c r="AC12" i="51"/>
  <c r="AC16" i="51"/>
  <c r="AC21" i="51"/>
  <c r="AC25" i="51"/>
  <c r="AC39" i="51"/>
  <c r="AC44" i="51"/>
  <c r="AC48" i="51"/>
  <c r="AC59" i="51"/>
  <c r="AC64" i="51"/>
  <c r="AC68" i="51"/>
  <c r="AF41" i="51"/>
  <c r="Y49" i="51"/>
  <c r="Y70" i="51" s="1"/>
  <c r="Z49" i="51"/>
  <c r="Z70" i="51" s="1"/>
  <c r="AC26" i="51"/>
  <c r="AF26" i="51"/>
  <c r="S49" i="51"/>
  <c r="S70" i="51" s="1"/>
  <c r="AH49" i="51"/>
  <c r="AH70" i="51" s="1"/>
  <c r="AF4" i="51"/>
  <c r="AG32" i="51"/>
  <c r="AG53" i="51"/>
  <c r="AF18" i="51"/>
  <c r="AG41" i="51"/>
  <c r="AF50" i="51"/>
  <c r="AF61" i="51"/>
  <c r="AG4" i="51"/>
  <c r="K49" i="51"/>
  <c r="K70" i="51" s="1"/>
  <c r="AG18" i="51"/>
  <c r="AG26" i="51"/>
  <c r="AF32" i="51"/>
  <c r="AF53" i="51"/>
  <c r="AG61" i="51"/>
  <c r="AI50" i="51"/>
  <c r="AI61" i="51"/>
  <c r="AI18" i="51"/>
  <c r="AI53" i="51"/>
  <c r="AI41" i="51"/>
  <c r="AI32" i="51"/>
  <c r="AI4" i="51"/>
  <c r="AE13" i="51"/>
  <c r="AE27" i="51"/>
  <c r="AE9" i="51"/>
  <c r="AE31" i="51"/>
  <c r="AE69" i="51"/>
  <c r="AE8" i="51"/>
  <c r="AE12" i="51"/>
  <c r="AE16" i="51"/>
  <c r="AE21" i="51"/>
  <c r="AE25" i="51"/>
  <c r="AE30" i="51"/>
  <c r="AE35" i="51"/>
  <c r="AE39" i="51"/>
  <c r="AE44" i="51"/>
  <c r="AE48" i="51"/>
  <c r="AE55" i="51"/>
  <c r="AE59" i="51"/>
  <c r="AE64" i="51"/>
  <c r="AE68" i="51"/>
  <c r="J4" i="51"/>
  <c r="AE33" i="51"/>
  <c r="AE57" i="51"/>
  <c r="V46" i="51"/>
  <c r="AC36" i="51"/>
  <c r="O36" i="51"/>
  <c r="AE17" i="51"/>
  <c r="AE45" i="51"/>
  <c r="AE65" i="51"/>
  <c r="V40" i="51"/>
  <c r="Q50" i="51"/>
  <c r="V56" i="51"/>
  <c r="AE14" i="51"/>
  <c r="AE28" i="51"/>
  <c r="J50" i="51"/>
  <c r="AE66" i="51"/>
  <c r="V60" i="51"/>
  <c r="AC40" i="51"/>
  <c r="AC56" i="51"/>
  <c r="Q26" i="51"/>
  <c r="X4" i="51"/>
  <c r="AE10" i="51"/>
  <c r="X18" i="51"/>
  <c r="X26" i="51"/>
  <c r="X32" i="51"/>
  <c r="X50" i="51"/>
  <c r="AE62" i="51"/>
  <c r="AE7" i="51"/>
  <c r="AE11" i="51"/>
  <c r="AE15" i="51"/>
  <c r="AE20" i="51"/>
  <c r="AE24" i="51"/>
  <c r="AE29" i="51"/>
  <c r="AE34" i="51"/>
  <c r="AE38" i="51"/>
  <c r="AE43" i="51"/>
  <c r="AE47" i="51"/>
  <c r="AE54" i="51"/>
  <c r="AE58" i="51"/>
  <c r="AE63" i="51"/>
  <c r="AE67" i="51"/>
  <c r="O6" i="51"/>
  <c r="O10" i="51"/>
  <c r="AE40" i="51"/>
  <c r="AE42" i="51"/>
  <c r="AE46" i="51"/>
  <c r="J53" i="51"/>
  <c r="O56" i="51"/>
  <c r="O60" i="51"/>
  <c r="O62" i="51"/>
  <c r="V36" i="51"/>
  <c r="V66" i="51"/>
  <c r="AC60" i="51"/>
  <c r="AE5" i="51"/>
  <c r="AC52" i="51"/>
  <c r="AE19" i="51"/>
  <c r="AE23" i="51"/>
  <c r="O20" i="51"/>
  <c r="O33" i="51"/>
  <c r="O57" i="51"/>
  <c r="V24" i="51"/>
  <c r="AC6" i="51"/>
  <c r="AC24" i="51"/>
  <c r="O14" i="51"/>
  <c r="O40" i="51"/>
  <c r="O42" i="51"/>
  <c r="O46" i="51"/>
  <c r="O66" i="51"/>
  <c r="AE6" i="51"/>
  <c r="AE37" i="51"/>
  <c r="AE52" i="51"/>
  <c r="J18" i="51"/>
  <c r="O24" i="51"/>
  <c r="J26" i="51"/>
  <c r="O43" i="51"/>
  <c r="Q53" i="51"/>
  <c r="AC46" i="51"/>
  <c r="Q4" i="51"/>
  <c r="Q18" i="51"/>
  <c r="M19" i="69"/>
  <c r="M8" i="69"/>
  <c r="M12" i="69"/>
  <c r="M16" i="69"/>
  <c r="M21" i="69"/>
  <c r="M25" i="69"/>
  <c r="M30" i="69"/>
  <c r="M35" i="69"/>
  <c r="M39" i="69"/>
  <c r="M44" i="69"/>
  <c r="M48" i="69"/>
  <c r="M55" i="69"/>
  <c r="M59" i="69"/>
  <c r="M64" i="69"/>
  <c r="M68" i="69"/>
  <c r="L4" i="69"/>
  <c r="L18" i="69"/>
  <c r="L26" i="69"/>
  <c r="L32" i="69"/>
  <c r="L41" i="69"/>
  <c r="L61" i="69"/>
  <c r="M5" i="69"/>
  <c r="M9" i="69"/>
  <c r="M13" i="69"/>
  <c r="M17" i="69"/>
  <c r="M22" i="69"/>
  <c r="M27" i="69"/>
  <c r="M31" i="69"/>
  <c r="M36" i="69"/>
  <c r="M40" i="69"/>
  <c r="M45" i="69"/>
  <c r="M56" i="69"/>
  <c r="M60" i="69"/>
  <c r="M65" i="69"/>
  <c r="M69" i="69"/>
  <c r="L53" i="69"/>
  <c r="AC62" i="51"/>
  <c r="AC66" i="51"/>
  <c r="X53" i="51"/>
  <c r="AC42" i="51"/>
  <c r="AC33" i="51"/>
  <c r="AC14" i="51"/>
  <c r="AC10" i="51"/>
  <c r="V62" i="51"/>
  <c r="V14" i="51"/>
  <c r="V10" i="51"/>
  <c r="V6" i="51"/>
  <c r="AC5" i="51"/>
  <c r="AC19" i="51"/>
  <c r="AC35" i="51"/>
  <c r="X41" i="51"/>
  <c r="X61" i="51"/>
  <c r="Q32" i="51"/>
  <c r="V42" i="51"/>
  <c r="Q41" i="51"/>
  <c r="Q61" i="51"/>
  <c r="V5" i="51"/>
  <c r="V19" i="51"/>
  <c r="O55" i="51"/>
  <c r="O39" i="51"/>
  <c r="O35" i="51"/>
  <c r="O26" i="51"/>
  <c r="J32" i="51"/>
  <c r="O5" i="51"/>
  <c r="O19" i="51"/>
  <c r="J41" i="51"/>
  <c r="J61" i="51"/>
  <c r="C4" i="51"/>
  <c r="C26" i="51"/>
  <c r="C32" i="51"/>
  <c r="C41" i="51"/>
  <c r="C53" i="51"/>
  <c r="C61" i="51"/>
  <c r="C18" i="51"/>
  <c r="C50" i="51"/>
  <c r="I49" i="69"/>
  <c r="I70" i="69" s="1"/>
  <c r="G49" i="69"/>
  <c r="G70" i="69" s="1"/>
  <c r="K41" i="69"/>
  <c r="K53" i="69"/>
  <c r="K61" i="69"/>
  <c r="M57" i="69"/>
  <c r="M51" i="69"/>
  <c r="K32" i="69"/>
  <c r="K26" i="69"/>
  <c r="M28" i="69"/>
  <c r="K18" i="69"/>
  <c r="K4" i="69"/>
  <c r="M6" i="69"/>
  <c r="C49" i="69"/>
  <c r="C70" i="69" s="1"/>
  <c r="E49" i="69"/>
  <c r="E70" i="69" s="1"/>
  <c r="AA20" i="60"/>
  <c r="AA19" i="60"/>
  <c r="AA18" i="60"/>
  <c r="AE50" i="51" l="1"/>
  <c r="O50" i="51"/>
  <c r="L49" i="69"/>
  <c r="V50" i="51"/>
  <c r="AC50" i="51"/>
  <c r="AE41" i="51"/>
  <c r="AC41" i="51"/>
  <c r="V26" i="51"/>
  <c r="AG49" i="51"/>
  <c r="AG70" i="51" s="1"/>
  <c r="AF49" i="51"/>
  <c r="AF70" i="51" s="1"/>
  <c r="AC18" i="51"/>
  <c r="AE32" i="51"/>
  <c r="V18" i="51"/>
  <c r="V61" i="51"/>
  <c r="O41" i="51"/>
  <c r="O61" i="51"/>
  <c r="V32" i="51"/>
  <c r="V53" i="51"/>
  <c r="AE4" i="51"/>
  <c r="AC61" i="51"/>
  <c r="AE53" i="51"/>
  <c r="O32" i="51"/>
  <c r="AC32" i="51"/>
  <c r="J49" i="51"/>
  <c r="J70" i="51" s="1"/>
  <c r="O4" i="51"/>
  <c r="V41" i="51"/>
  <c r="AE61" i="51"/>
  <c r="AC53" i="51"/>
  <c r="AE26" i="51"/>
  <c r="X49" i="51"/>
  <c r="X70" i="51" s="1"/>
  <c r="O53" i="51"/>
  <c r="O18" i="51"/>
  <c r="AE18" i="51"/>
  <c r="Q49" i="51"/>
  <c r="Q70" i="51" s="1"/>
  <c r="AC4" i="51"/>
  <c r="V4" i="51"/>
  <c r="C49" i="51"/>
  <c r="C70" i="51" s="1"/>
  <c r="K49" i="69"/>
  <c r="K70" i="69" s="1"/>
  <c r="V6" i="60"/>
  <c r="V7" i="60"/>
  <c r="V8" i="60"/>
  <c r="V20" i="60"/>
  <c r="V21" i="60"/>
  <c r="V25" i="60"/>
  <c r="V28" i="60"/>
  <c r="V33" i="60"/>
  <c r="V34" i="60"/>
  <c r="V5" i="60"/>
  <c r="V13" i="60"/>
  <c r="V14" i="60"/>
  <c r="V15" i="60"/>
  <c r="V16" i="60"/>
  <c r="V17" i="60"/>
  <c r="V22" i="60"/>
  <c r="V23" i="60"/>
  <c r="V24" i="60"/>
  <c r="V27" i="60"/>
  <c r="V39" i="60"/>
  <c r="V40" i="60"/>
  <c r="V10" i="60"/>
  <c r="V11" i="60"/>
  <c r="V12" i="60"/>
  <c r="V36" i="60"/>
  <c r="V37" i="60"/>
  <c r="V38" i="60"/>
  <c r="V46" i="60"/>
  <c r="V47" i="60"/>
  <c r="V48" i="60"/>
  <c r="V9" i="60"/>
  <c r="V19" i="60"/>
  <c r="V29" i="60"/>
  <c r="V30" i="60"/>
  <c r="V31" i="60"/>
  <c r="V35" i="60"/>
  <c r="V42" i="60"/>
  <c r="V43" i="60"/>
  <c r="V44" i="60"/>
  <c r="V45" i="60"/>
  <c r="L70" i="69" l="1"/>
  <c r="AC49" i="51"/>
  <c r="AC70" i="51" s="1"/>
  <c r="AE49" i="51"/>
  <c r="AE70" i="51" s="1"/>
  <c r="V49" i="51"/>
  <c r="V70" i="51" s="1"/>
  <c r="O49" i="51"/>
  <c r="O70" i="51" s="1"/>
  <c r="C106" i="34" l="1"/>
  <c r="H69" i="51" l="1"/>
  <c r="H68" i="51"/>
  <c r="H67" i="51"/>
  <c r="H66" i="51"/>
  <c r="H65" i="51"/>
  <c r="H64" i="51"/>
  <c r="H63" i="51"/>
  <c r="H62" i="51"/>
  <c r="H60" i="51"/>
  <c r="H59" i="51"/>
  <c r="H58" i="51"/>
  <c r="H57" i="51"/>
  <c r="H56" i="51"/>
  <c r="H55" i="51"/>
  <c r="H54" i="51"/>
  <c r="H52" i="51"/>
  <c r="H51" i="51"/>
  <c r="H48" i="51"/>
  <c r="H47" i="51"/>
  <c r="H46" i="51"/>
  <c r="H45" i="51"/>
  <c r="H44" i="51"/>
  <c r="H43" i="51"/>
  <c r="H42" i="51"/>
  <c r="H40" i="51"/>
  <c r="H39" i="51"/>
  <c r="H38" i="51"/>
  <c r="H37" i="51"/>
  <c r="H36" i="51"/>
  <c r="H35" i="51"/>
  <c r="H34" i="51"/>
  <c r="H33" i="51"/>
  <c r="H25" i="51"/>
  <c r="H24" i="51"/>
  <c r="H23" i="51"/>
  <c r="H22" i="51"/>
  <c r="H21" i="51"/>
  <c r="H20" i="51"/>
  <c r="H19" i="51"/>
  <c r="H6" i="51"/>
  <c r="H7" i="51"/>
  <c r="H8" i="51"/>
  <c r="H9" i="51"/>
  <c r="H10" i="51"/>
  <c r="H11" i="51"/>
  <c r="H12" i="51"/>
  <c r="H13" i="51"/>
  <c r="H14" i="51"/>
  <c r="H15" i="51"/>
  <c r="H16" i="51"/>
  <c r="H17" i="51"/>
  <c r="H5" i="51"/>
  <c r="H32" i="51" l="1"/>
  <c r="H61" i="51"/>
  <c r="H41" i="51"/>
  <c r="H4" i="51"/>
  <c r="H18" i="51"/>
  <c r="H50" i="51"/>
  <c r="H53" i="51"/>
  <c r="AJ5" i="51"/>
  <c r="AJ14" i="51"/>
  <c r="AJ6" i="51"/>
  <c r="AJ37" i="51"/>
  <c r="AJ57" i="51"/>
  <c r="AJ10" i="51"/>
  <c r="AJ22" i="51"/>
  <c r="AJ46" i="51"/>
  <c r="AJ52" i="51"/>
  <c r="AJ66" i="51"/>
  <c r="AJ34" i="51"/>
  <c r="AJ67" i="51"/>
  <c r="AJ9" i="51"/>
  <c r="AJ23" i="51"/>
  <c r="AJ43" i="51"/>
  <c r="AJ54" i="51"/>
  <c r="AJ58" i="51"/>
  <c r="AJ16" i="51"/>
  <c r="AJ12" i="51"/>
  <c r="AJ8" i="51"/>
  <c r="AJ20" i="51"/>
  <c r="AJ24" i="51"/>
  <c r="AJ35" i="51"/>
  <c r="AJ39" i="51"/>
  <c r="AJ44" i="51"/>
  <c r="AJ48" i="51"/>
  <c r="AJ55" i="51"/>
  <c r="AJ59" i="51"/>
  <c r="AJ64" i="51"/>
  <c r="AJ68" i="51"/>
  <c r="AJ17" i="51"/>
  <c r="AJ13" i="51"/>
  <c r="AJ19" i="51"/>
  <c r="AJ38" i="51"/>
  <c r="AJ47" i="51"/>
  <c r="AJ63" i="51"/>
  <c r="AJ15" i="51"/>
  <c r="AJ11" i="51"/>
  <c r="AJ7" i="51"/>
  <c r="AJ21" i="51"/>
  <c r="AJ25" i="51"/>
  <c r="AJ36" i="51"/>
  <c r="AJ40" i="51"/>
  <c r="AJ45" i="51"/>
  <c r="AJ51" i="51"/>
  <c r="AJ50" i="51" s="1"/>
  <c r="AJ56" i="51"/>
  <c r="AJ60" i="51"/>
  <c r="AJ65" i="51"/>
  <c r="AJ69" i="51"/>
  <c r="AI27" i="51"/>
  <c r="AI28" i="51"/>
  <c r="AJ33" i="51"/>
  <c r="AJ42" i="51"/>
  <c r="AJ62" i="51"/>
  <c r="AI31" i="51"/>
  <c r="AI29" i="51"/>
  <c r="AI30" i="51"/>
  <c r="H26" i="51" l="1"/>
  <c r="H49" i="51" s="1"/>
  <c r="H70" i="51" s="1"/>
  <c r="AJ53" i="51"/>
  <c r="AJ4" i="51"/>
  <c r="AJ18" i="51"/>
  <c r="AJ28" i="51"/>
  <c r="AJ61" i="51"/>
  <c r="AJ32" i="51"/>
  <c r="AJ31" i="51"/>
  <c r="AJ29" i="51"/>
  <c r="AJ30" i="51"/>
  <c r="AJ41" i="51"/>
  <c r="AJ27" i="51"/>
  <c r="AI26" i="51"/>
  <c r="AI49" i="51" s="1"/>
  <c r="AI70" i="51" s="1"/>
  <c r="AJ26" i="51" l="1"/>
  <c r="AJ49" i="51" s="1"/>
  <c r="AJ70" i="51" s="1"/>
  <c r="D39" i="87" l="1"/>
  <c r="A45" i="2" l="1"/>
  <c r="A44" i="2"/>
  <c r="A43" i="2"/>
  <c r="A42" i="2"/>
  <c r="A37" i="2"/>
  <c r="V69" i="38" l="1"/>
  <c r="U69" i="38"/>
  <c r="S69" i="38"/>
  <c r="Q69" i="38"/>
  <c r="O69" i="38"/>
  <c r="V68" i="38"/>
  <c r="U68" i="38"/>
  <c r="S68" i="38"/>
  <c r="Q68" i="38"/>
  <c r="O68" i="38"/>
  <c r="V67" i="38"/>
  <c r="U67" i="38"/>
  <c r="S67" i="38"/>
  <c r="Q67" i="38"/>
  <c r="O67" i="38"/>
  <c r="V66" i="38"/>
  <c r="U66" i="38"/>
  <c r="S66" i="38"/>
  <c r="Q66" i="38"/>
  <c r="O66" i="38"/>
  <c r="V65" i="38"/>
  <c r="U65" i="38"/>
  <c r="S65" i="38"/>
  <c r="Q65" i="38"/>
  <c r="O65" i="38"/>
  <c r="V64" i="38"/>
  <c r="U64" i="38"/>
  <c r="S64" i="38"/>
  <c r="Q64" i="38"/>
  <c r="O64" i="38"/>
  <c r="V63" i="38"/>
  <c r="U63" i="38"/>
  <c r="S63" i="38"/>
  <c r="Q63" i="38"/>
  <c r="O63" i="38"/>
  <c r="V62" i="38"/>
  <c r="O62" i="38"/>
  <c r="V54" i="38"/>
  <c r="V59" i="38" s="1"/>
  <c r="U54" i="38"/>
  <c r="U59" i="38" s="1"/>
  <c r="S54" i="38"/>
  <c r="S59" i="38" s="1"/>
  <c r="Q54" i="38"/>
  <c r="O54" i="38"/>
  <c r="O58" i="38" s="1"/>
  <c r="V51" i="38"/>
  <c r="V52" i="38" s="1"/>
  <c r="U51" i="38"/>
  <c r="U52" i="38" s="1"/>
  <c r="S51" i="38"/>
  <c r="S52" i="38" s="1"/>
  <c r="Q51" i="38"/>
  <c r="Q52" i="38" s="1"/>
  <c r="O51" i="38"/>
  <c r="O52" i="38" s="1"/>
  <c r="V5" i="38"/>
  <c r="T5" i="38"/>
  <c r="R5" i="38"/>
  <c r="U60" i="38"/>
  <c r="S60" i="38"/>
  <c r="D5" i="46"/>
  <c r="D7" i="46"/>
  <c r="E5" i="46"/>
  <c r="E7" i="46"/>
  <c r="F5" i="46"/>
  <c r="F7" i="46"/>
  <c r="G5" i="46"/>
  <c r="G7" i="46"/>
  <c r="H5" i="46"/>
  <c r="H7" i="46"/>
  <c r="I5" i="46"/>
  <c r="I7" i="46"/>
  <c r="J5" i="46"/>
  <c r="J7" i="46"/>
  <c r="K5" i="46"/>
  <c r="K7" i="46"/>
  <c r="L5" i="46"/>
  <c r="L7" i="46"/>
  <c r="M5" i="46"/>
  <c r="M7" i="46"/>
  <c r="C5" i="46"/>
  <c r="C7" i="46"/>
  <c r="AA20" i="34"/>
  <c r="AA18" i="34"/>
  <c r="AA20" i="45"/>
  <c r="AA18" i="45"/>
  <c r="AA20" i="43"/>
  <c r="AA20" i="44"/>
  <c r="AA18" i="43"/>
  <c r="AA18" i="44"/>
  <c r="AA19" i="34"/>
  <c r="AA19" i="45"/>
  <c r="M13" i="46"/>
  <c r="M12" i="46"/>
  <c r="M11" i="46"/>
  <c r="M10" i="46"/>
  <c r="M9" i="46"/>
  <c r="M8" i="46"/>
  <c r="L13" i="46"/>
  <c r="L12" i="46"/>
  <c r="L11" i="46"/>
  <c r="L10" i="46"/>
  <c r="L9" i="46"/>
  <c r="L8" i="46"/>
  <c r="K13" i="46"/>
  <c r="K12" i="46"/>
  <c r="K11" i="46"/>
  <c r="K10" i="46"/>
  <c r="K9" i="46"/>
  <c r="K8" i="46"/>
  <c r="J13" i="46"/>
  <c r="J12" i="46"/>
  <c r="J11" i="46"/>
  <c r="J10" i="46"/>
  <c r="J9" i="46"/>
  <c r="J8" i="46"/>
  <c r="I13" i="46"/>
  <c r="I12" i="46"/>
  <c r="I11" i="46"/>
  <c r="I10" i="46"/>
  <c r="I9" i="46"/>
  <c r="I8" i="46"/>
  <c r="H13" i="46"/>
  <c r="H12" i="46"/>
  <c r="H11" i="46"/>
  <c r="H10" i="46"/>
  <c r="H9" i="46"/>
  <c r="H8" i="46"/>
  <c r="G13" i="46"/>
  <c r="G12" i="46"/>
  <c r="G11" i="46"/>
  <c r="G10" i="46"/>
  <c r="G9" i="46"/>
  <c r="G8" i="46"/>
  <c r="F13" i="46"/>
  <c r="F12" i="46"/>
  <c r="F11" i="46"/>
  <c r="F10" i="46"/>
  <c r="F9" i="46"/>
  <c r="F8" i="46"/>
  <c r="E13" i="46"/>
  <c r="E12" i="46"/>
  <c r="E11" i="46"/>
  <c r="E10" i="46"/>
  <c r="E9" i="46"/>
  <c r="E8" i="46"/>
  <c r="D13" i="46"/>
  <c r="D12" i="46"/>
  <c r="D11" i="46"/>
  <c r="D9" i="46"/>
  <c r="D8" i="46"/>
  <c r="CN60" i="38"/>
  <c r="CM60" i="38"/>
  <c r="CK60" i="38"/>
  <c r="CI60" i="38"/>
  <c r="CG60" i="38"/>
  <c r="CN59" i="38"/>
  <c r="CM59" i="38"/>
  <c r="CK59" i="38"/>
  <c r="CI59" i="38"/>
  <c r="CG59" i="38"/>
  <c r="CN58" i="38"/>
  <c r="CM58" i="38"/>
  <c r="CK58" i="38"/>
  <c r="CI58" i="38"/>
  <c r="CG58" i="38"/>
  <c r="CN57" i="38"/>
  <c r="CM57" i="38"/>
  <c r="CK57" i="38"/>
  <c r="CI57" i="38"/>
  <c r="CG57" i="38"/>
  <c r="CN56" i="38"/>
  <c r="CM56" i="38"/>
  <c r="CK56" i="38"/>
  <c r="CI56" i="38"/>
  <c r="CG56" i="38"/>
  <c r="CN55" i="38"/>
  <c r="CM55" i="38"/>
  <c r="CK55" i="38"/>
  <c r="CI55" i="38"/>
  <c r="CG55" i="38"/>
  <c r="CD60" i="38"/>
  <c r="CC60" i="38"/>
  <c r="CA60" i="38"/>
  <c r="BY60" i="38"/>
  <c r="BW60" i="38"/>
  <c r="CD59" i="38"/>
  <c r="CC59" i="38"/>
  <c r="CA59" i="38"/>
  <c r="BY59" i="38"/>
  <c r="BW59" i="38"/>
  <c r="CD58" i="38"/>
  <c r="CC58" i="38"/>
  <c r="CA58" i="38"/>
  <c r="BY58" i="38"/>
  <c r="BW58" i="38"/>
  <c r="CD57" i="38"/>
  <c r="CC57" i="38"/>
  <c r="CA57" i="38"/>
  <c r="BY57" i="38"/>
  <c r="BW57" i="38"/>
  <c r="CD56" i="38"/>
  <c r="CC56" i="38"/>
  <c r="CA56" i="38"/>
  <c r="BY56" i="38"/>
  <c r="BW56" i="38"/>
  <c r="CD55" i="38"/>
  <c r="CC55" i="38"/>
  <c r="CA55" i="38"/>
  <c r="BY55" i="38"/>
  <c r="BW55" i="38"/>
  <c r="BT60" i="38"/>
  <c r="BS60" i="38"/>
  <c r="BQ60" i="38"/>
  <c r="BO60" i="38"/>
  <c r="BM60" i="38"/>
  <c r="BT59" i="38"/>
  <c r="BS59" i="38"/>
  <c r="BQ59" i="38"/>
  <c r="BO59" i="38"/>
  <c r="BM59" i="38"/>
  <c r="BT58" i="38"/>
  <c r="BS58" i="38"/>
  <c r="BQ58" i="38"/>
  <c r="BO58" i="38"/>
  <c r="BM58" i="38"/>
  <c r="BT57" i="38"/>
  <c r="BS57" i="38"/>
  <c r="BQ57" i="38"/>
  <c r="BO57" i="38"/>
  <c r="BM57" i="38"/>
  <c r="BT56" i="38"/>
  <c r="BS56" i="38"/>
  <c r="BQ56" i="38"/>
  <c r="BO56" i="38"/>
  <c r="BM56" i="38"/>
  <c r="BT55" i="38"/>
  <c r="BS55" i="38"/>
  <c r="BQ55" i="38"/>
  <c r="BO55" i="38"/>
  <c r="BM55" i="38"/>
  <c r="BJ60" i="38"/>
  <c r="BI60" i="38"/>
  <c r="BG60" i="38"/>
  <c r="BE60" i="38"/>
  <c r="BC60" i="38"/>
  <c r="BJ59" i="38"/>
  <c r="BI59" i="38"/>
  <c r="BG59" i="38"/>
  <c r="BE59" i="38"/>
  <c r="BC59" i="38"/>
  <c r="BJ58" i="38"/>
  <c r="BI58" i="38"/>
  <c r="BG58" i="38"/>
  <c r="BE58" i="38"/>
  <c r="BC58" i="38"/>
  <c r="BJ57" i="38"/>
  <c r="BI57" i="38"/>
  <c r="BG57" i="38"/>
  <c r="BE57" i="38"/>
  <c r="BC57" i="38"/>
  <c r="BJ56" i="38"/>
  <c r="BI56" i="38"/>
  <c r="BG56" i="38"/>
  <c r="BE56" i="38"/>
  <c r="BC56" i="38"/>
  <c r="BJ55" i="38"/>
  <c r="BI55" i="38"/>
  <c r="BG55" i="38"/>
  <c r="BE55" i="38"/>
  <c r="BC55" i="38"/>
  <c r="AZ60" i="38"/>
  <c r="AY60" i="38"/>
  <c r="AW60" i="38"/>
  <c r="AU60" i="38"/>
  <c r="AS60" i="38"/>
  <c r="AZ59" i="38"/>
  <c r="AY59" i="38"/>
  <c r="AW59" i="38"/>
  <c r="AU59" i="38"/>
  <c r="AS59" i="38"/>
  <c r="AZ58" i="38"/>
  <c r="AY58" i="38"/>
  <c r="AW58" i="38"/>
  <c r="AU58" i="38"/>
  <c r="AS58" i="38"/>
  <c r="AZ57" i="38"/>
  <c r="AY57" i="38"/>
  <c r="AW57" i="38"/>
  <c r="AU57" i="38"/>
  <c r="AS57" i="38"/>
  <c r="AZ56" i="38"/>
  <c r="AY56" i="38"/>
  <c r="AW56" i="38"/>
  <c r="AU56" i="38"/>
  <c r="AS56" i="38"/>
  <c r="AZ55" i="38"/>
  <c r="AY55" i="38"/>
  <c r="AW55" i="38"/>
  <c r="AU55" i="38"/>
  <c r="AS55" i="38"/>
  <c r="AP60" i="38"/>
  <c r="AO60" i="38"/>
  <c r="AM60" i="38"/>
  <c r="AK60" i="38"/>
  <c r="AI60" i="38"/>
  <c r="AP59" i="38"/>
  <c r="AO59" i="38"/>
  <c r="AM59" i="38"/>
  <c r="AK59" i="38"/>
  <c r="AI59" i="38"/>
  <c r="AP58" i="38"/>
  <c r="AO58" i="38"/>
  <c r="AM58" i="38"/>
  <c r="AK58" i="38"/>
  <c r="AI58" i="38"/>
  <c r="AP57" i="38"/>
  <c r="AO57" i="38"/>
  <c r="AM57" i="38"/>
  <c r="AK57" i="38"/>
  <c r="AI57" i="38"/>
  <c r="AP56" i="38"/>
  <c r="AO56" i="38"/>
  <c r="AM56" i="38"/>
  <c r="AK56" i="38"/>
  <c r="AI56" i="38"/>
  <c r="AP55" i="38"/>
  <c r="AO55" i="38"/>
  <c r="AM55" i="38"/>
  <c r="AK55" i="38"/>
  <c r="AI55" i="38"/>
  <c r="AF60" i="38"/>
  <c r="AE60" i="38"/>
  <c r="AC60" i="38"/>
  <c r="AA60" i="38"/>
  <c r="Y60" i="38"/>
  <c r="AF59" i="38"/>
  <c r="AE59" i="38"/>
  <c r="AC59" i="38"/>
  <c r="AA59" i="38"/>
  <c r="Y59" i="38"/>
  <c r="AF58" i="38"/>
  <c r="AE58" i="38"/>
  <c r="AC58" i="38"/>
  <c r="AA58" i="38"/>
  <c r="Y58" i="38"/>
  <c r="AF57" i="38"/>
  <c r="AE57" i="38"/>
  <c r="AC57" i="38"/>
  <c r="AA57" i="38"/>
  <c r="Y57" i="38"/>
  <c r="AF56" i="38"/>
  <c r="AE56" i="38"/>
  <c r="AC56" i="38"/>
  <c r="AA56" i="38"/>
  <c r="Y56" i="38"/>
  <c r="AF55" i="38"/>
  <c r="AE55" i="38"/>
  <c r="AC55" i="38"/>
  <c r="AA55" i="38"/>
  <c r="Y55" i="38"/>
  <c r="L60" i="38"/>
  <c r="K60" i="38"/>
  <c r="I60" i="38"/>
  <c r="G60" i="38"/>
  <c r="E60" i="38"/>
  <c r="L59" i="38"/>
  <c r="K59" i="38"/>
  <c r="I59" i="38"/>
  <c r="G59" i="38"/>
  <c r="E59" i="38"/>
  <c r="L58" i="38"/>
  <c r="K58" i="38"/>
  <c r="I58" i="38"/>
  <c r="G58" i="38"/>
  <c r="E58" i="38"/>
  <c r="L57" i="38"/>
  <c r="K57" i="38"/>
  <c r="I57" i="38"/>
  <c r="G57" i="38"/>
  <c r="E57" i="38"/>
  <c r="L56" i="38"/>
  <c r="K56" i="38"/>
  <c r="I56" i="38"/>
  <c r="G56" i="38"/>
  <c r="E56" i="38"/>
  <c r="L55" i="38"/>
  <c r="K55" i="38"/>
  <c r="I55" i="38"/>
  <c r="G55" i="38"/>
  <c r="E55" i="38"/>
  <c r="CN52" i="38"/>
  <c r="CM52" i="38"/>
  <c r="CK52" i="38"/>
  <c r="CI52" i="38"/>
  <c r="CG52" i="38"/>
  <c r="CD52" i="38"/>
  <c r="CC52" i="38"/>
  <c r="CA52" i="38"/>
  <c r="BY52" i="38"/>
  <c r="BW52" i="38"/>
  <c r="BT52" i="38"/>
  <c r="BS52" i="38"/>
  <c r="BQ52" i="38"/>
  <c r="BO52" i="38"/>
  <c r="BM52" i="38"/>
  <c r="BJ52" i="38"/>
  <c r="BI52" i="38"/>
  <c r="BG52" i="38"/>
  <c r="BE52" i="38"/>
  <c r="BC52" i="38"/>
  <c r="AZ52" i="38"/>
  <c r="AY52" i="38"/>
  <c r="AW52" i="38"/>
  <c r="AU52" i="38"/>
  <c r="AS52" i="38"/>
  <c r="AP52" i="38"/>
  <c r="AO52" i="38"/>
  <c r="AM52" i="38"/>
  <c r="AK52" i="38"/>
  <c r="AI52" i="38"/>
  <c r="AF52" i="38"/>
  <c r="AE52" i="38"/>
  <c r="AC52" i="38"/>
  <c r="AA52" i="38"/>
  <c r="Y52" i="38"/>
  <c r="L52" i="38"/>
  <c r="K52" i="38"/>
  <c r="I52" i="38"/>
  <c r="G52" i="38"/>
  <c r="E52" i="38"/>
  <c r="AF48" i="38"/>
  <c r="AD48" i="38"/>
  <c r="AB48" i="38"/>
  <c r="Z48" i="38"/>
  <c r="X48" i="38"/>
  <c r="AF47" i="38"/>
  <c r="AD47" i="38"/>
  <c r="AB47" i="38"/>
  <c r="Z47" i="38"/>
  <c r="X47" i="38"/>
  <c r="AF46" i="38"/>
  <c r="AD46" i="38"/>
  <c r="AB46" i="38"/>
  <c r="Z46" i="38"/>
  <c r="X46" i="38"/>
  <c r="AF45" i="38"/>
  <c r="AD45" i="38"/>
  <c r="AB45" i="38"/>
  <c r="Z45" i="38"/>
  <c r="X45" i="38"/>
  <c r="AF44" i="38"/>
  <c r="AD44" i="38"/>
  <c r="AB44" i="38"/>
  <c r="Z44" i="38"/>
  <c r="X44" i="38"/>
  <c r="AF43" i="38"/>
  <c r="AD43" i="38"/>
  <c r="AB43" i="38"/>
  <c r="Z43" i="38"/>
  <c r="X43" i="38"/>
  <c r="AF42" i="38"/>
  <c r="AD42" i="38"/>
  <c r="AB42" i="38"/>
  <c r="Z42" i="38"/>
  <c r="X42" i="38"/>
  <c r="AF40" i="38"/>
  <c r="AD40" i="38"/>
  <c r="AB40" i="38"/>
  <c r="Z40" i="38"/>
  <c r="X40" i="38"/>
  <c r="AF39" i="38"/>
  <c r="AD39" i="38"/>
  <c r="AB39" i="38"/>
  <c r="Z39" i="38"/>
  <c r="X39" i="38"/>
  <c r="AF38" i="38"/>
  <c r="AD38" i="38"/>
  <c r="AB38" i="38"/>
  <c r="Z38" i="38"/>
  <c r="X38" i="38"/>
  <c r="AF37" i="38"/>
  <c r="AD37" i="38"/>
  <c r="AB37" i="38"/>
  <c r="Z37" i="38"/>
  <c r="X37" i="38"/>
  <c r="AF36" i="38"/>
  <c r="AD36" i="38"/>
  <c r="AB36" i="38"/>
  <c r="Z36" i="38"/>
  <c r="X36" i="38"/>
  <c r="AF35" i="38"/>
  <c r="AD35" i="38"/>
  <c r="AB35" i="38"/>
  <c r="Z35" i="38"/>
  <c r="X35" i="38"/>
  <c r="AF34" i="38"/>
  <c r="AD34" i="38"/>
  <c r="AB34" i="38"/>
  <c r="Z34" i="38"/>
  <c r="X34" i="38"/>
  <c r="AF33" i="38"/>
  <c r="AD33" i="38"/>
  <c r="AB33" i="38"/>
  <c r="Z33" i="38"/>
  <c r="X33" i="38"/>
  <c r="AF31" i="38"/>
  <c r="AD31" i="38"/>
  <c r="AB31" i="38"/>
  <c r="Z31" i="38"/>
  <c r="X31" i="38"/>
  <c r="AF30" i="38"/>
  <c r="AD30" i="38"/>
  <c r="AB30" i="38"/>
  <c r="Z30" i="38"/>
  <c r="X30" i="38"/>
  <c r="AF29" i="38"/>
  <c r="AD29" i="38"/>
  <c r="AB29" i="38"/>
  <c r="Z29" i="38"/>
  <c r="X29" i="38"/>
  <c r="AF28" i="38"/>
  <c r="AD28" i="38"/>
  <c r="AB28" i="38"/>
  <c r="Z28" i="38"/>
  <c r="X28" i="38"/>
  <c r="AF27" i="38"/>
  <c r="AD27" i="38"/>
  <c r="AB27" i="38"/>
  <c r="Z27" i="38"/>
  <c r="X27" i="38"/>
  <c r="AF25" i="38"/>
  <c r="AD25" i="38"/>
  <c r="AB25" i="38"/>
  <c r="Z25" i="38"/>
  <c r="X25" i="38"/>
  <c r="AF24" i="38"/>
  <c r="AD24" i="38"/>
  <c r="AB24" i="38"/>
  <c r="Z24" i="38"/>
  <c r="X24" i="38"/>
  <c r="AF23" i="38"/>
  <c r="AD23" i="38"/>
  <c r="AB23" i="38"/>
  <c r="Z23" i="38"/>
  <c r="X23" i="38"/>
  <c r="AF22" i="38"/>
  <c r="AD22" i="38"/>
  <c r="AB22" i="38"/>
  <c r="Z22" i="38"/>
  <c r="X22" i="38"/>
  <c r="AF21" i="38"/>
  <c r="AD21" i="38"/>
  <c r="AB21" i="38"/>
  <c r="Z21" i="38"/>
  <c r="X21" i="38"/>
  <c r="AF20" i="38"/>
  <c r="AD20" i="38"/>
  <c r="AB20" i="38"/>
  <c r="Z20" i="38"/>
  <c r="X20" i="38"/>
  <c r="AF19" i="38"/>
  <c r="AD19" i="38"/>
  <c r="AB19" i="38"/>
  <c r="Z19" i="38"/>
  <c r="X19" i="38"/>
  <c r="AF17" i="38"/>
  <c r="AD17" i="38"/>
  <c r="AB17" i="38"/>
  <c r="Z17" i="38"/>
  <c r="X17" i="38"/>
  <c r="AF16" i="38"/>
  <c r="AD16" i="38"/>
  <c r="AB16" i="38"/>
  <c r="Z16" i="38"/>
  <c r="X16" i="38"/>
  <c r="AF15" i="38"/>
  <c r="AD15" i="38"/>
  <c r="AB15" i="38"/>
  <c r="Z15" i="38"/>
  <c r="X15" i="38"/>
  <c r="AF14" i="38"/>
  <c r="AD14" i="38"/>
  <c r="AB14" i="38"/>
  <c r="Z14" i="38"/>
  <c r="X14" i="38"/>
  <c r="AF13" i="38"/>
  <c r="AD13" i="38"/>
  <c r="AB13" i="38"/>
  <c r="Z13" i="38"/>
  <c r="X13" i="38"/>
  <c r="AF12" i="38"/>
  <c r="AD12" i="38"/>
  <c r="AB12" i="38"/>
  <c r="Z12" i="38"/>
  <c r="X12" i="38"/>
  <c r="AF11" i="38"/>
  <c r="AD11" i="38"/>
  <c r="AB11" i="38"/>
  <c r="Z11" i="38"/>
  <c r="X11" i="38"/>
  <c r="AF10" i="38"/>
  <c r="AD10" i="38"/>
  <c r="AB10" i="38"/>
  <c r="Z10" i="38"/>
  <c r="X10" i="38"/>
  <c r="AF9" i="38"/>
  <c r="AD9" i="38"/>
  <c r="AB9" i="38"/>
  <c r="Z9" i="38"/>
  <c r="X9" i="38"/>
  <c r="AF8" i="38"/>
  <c r="AD8" i="38"/>
  <c r="AB8" i="38"/>
  <c r="Z8" i="38"/>
  <c r="X8" i="38"/>
  <c r="AF7" i="38"/>
  <c r="AD7" i="38"/>
  <c r="AB7" i="38"/>
  <c r="Z7" i="38"/>
  <c r="X7" i="38"/>
  <c r="AF6" i="38"/>
  <c r="AD6" i="38"/>
  <c r="AB6" i="38"/>
  <c r="Z6" i="38"/>
  <c r="X6" i="38"/>
  <c r="C13" i="46"/>
  <c r="C12" i="46"/>
  <c r="C11" i="46"/>
  <c r="C10" i="46"/>
  <c r="C9" i="46"/>
  <c r="C8" i="46"/>
  <c r="AA19" i="43"/>
  <c r="AA19" i="44"/>
  <c r="O57" i="38" l="1"/>
  <c r="O59" i="38"/>
  <c r="O55" i="38"/>
  <c r="V55" i="38"/>
  <c r="V57" i="38"/>
  <c r="O60" i="38"/>
  <c r="O56" i="38"/>
  <c r="V56" i="38"/>
  <c r="V58" i="38"/>
  <c r="M6" i="46"/>
  <c r="D6" i="46"/>
  <c r="I6" i="46"/>
  <c r="E6" i="46"/>
  <c r="V47" i="44"/>
  <c r="V34" i="44"/>
  <c r="V46" i="44"/>
  <c r="V35" i="44"/>
  <c r="V24" i="44"/>
  <c r="V16" i="44"/>
  <c r="V8" i="44"/>
  <c r="V25" i="44"/>
  <c r="V10" i="44"/>
  <c r="V25" i="43"/>
  <c r="V42" i="44"/>
  <c r="V39" i="44"/>
  <c r="V47" i="43"/>
  <c r="V42" i="43"/>
  <c r="V35" i="43"/>
  <c r="V16" i="43"/>
  <c r="V8" i="43"/>
  <c r="V17" i="44"/>
  <c r="V48" i="43"/>
  <c r="V46" i="43"/>
  <c r="V45" i="43"/>
  <c r="V44" i="43"/>
  <c r="V39" i="43"/>
  <c r="V37" i="43"/>
  <c r="V36" i="43"/>
  <c r="V34" i="43"/>
  <c r="V33" i="43"/>
  <c r="V29" i="43"/>
  <c r="V24" i="43"/>
  <c r="V20" i="43"/>
  <c r="V19" i="43"/>
  <c r="V15" i="43"/>
  <c r="V12" i="43"/>
  <c r="V10" i="43"/>
  <c r="V5" i="43"/>
  <c r="V22" i="44"/>
  <c r="V21" i="44"/>
  <c r="V7" i="44"/>
  <c r="V6" i="44"/>
  <c r="V48" i="44"/>
  <c r="V45" i="44"/>
  <c r="V44" i="44"/>
  <c r="V37" i="44"/>
  <c r="V36" i="44"/>
  <c r="V33" i="44"/>
  <c r="V29" i="44"/>
  <c r="V20" i="44"/>
  <c r="V19" i="44"/>
  <c r="V15" i="44"/>
  <c r="V12" i="44"/>
  <c r="V5" i="44"/>
  <c r="V43" i="43"/>
  <c r="V31" i="44"/>
  <c r="V13" i="44"/>
  <c r="J6" i="46"/>
  <c r="V27" i="43"/>
  <c r="V40" i="43"/>
  <c r="K6" i="46"/>
  <c r="S55" i="38"/>
  <c r="S56" i="38"/>
  <c r="S57" i="38"/>
  <c r="S58" i="38"/>
  <c r="U55" i="38"/>
  <c r="U56" i="38"/>
  <c r="U57" i="38"/>
  <c r="U58" i="38"/>
  <c r="V17" i="43"/>
  <c r="V11" i="43"/>
  <c r="V48" i="34"/>
  <c r="V5" i="34"/>
  <c r="V40" i="44"/>
  <c r="V40" i="34"/>
  <c r="V38" i="34"/>
  <c r="V31" i="34"/>
  <c r="V29" i="34"/>
  <c r="C6" i="46"/>
  <c r="L6" i="46"/>
  <c r="G6" i="46"/>
  <c r="V21" i="34"/>
  <c r="V16" i="34"/>
  <c r="V15" i="34"/>
  <c r="V12" i="34"/>
  <c r="V6" i="34"/>
  <c r="H6" i="46"/>
  <c r="V31" i="43"/>
  <c r="V30" i="43"/>
  <c r="V22" i="43"/>
  <c r="V14" i="43"/>
  <c r="V43" i="44"/>
  <c r="V25" i="34"/>
  <c r="V10" i="34"/>
  <c r="V36" i="34"/>
  <c r="V38" i="43"/>
  <c r="V9" i="43"/>
  <c r="V27" i="44"/>
  <c r="V45" i="34"/>
  <c r="V43" i="34"/>
  <c r="V35" i="34"/>
  <c r="V8" i="34"/>
  <c r="V13" i="43"/>
  <c r="V7" i="43"/>
  <c r="V38" i="44"/>
  <c r="V28" i="44"/>
  <c r="V11" i="44"/>
  <c r="V9" i="44"/>
  <c r="V30" i="44"/>
  <c r="V23" i="44"/>
  <c r="V20" i="34"/>
  <c r="V9" i="34"/>
  <c r="V28" i="43"/>
  <c r="V23" i="43"/>
  <c r="V6" i="43"/>
  <c r="V14" i="44"/>
  <c r="V44" i="34"/>
  <c r="V30" i="34"/>
  <c r="V22" i="34"/>
  <c r="V19" i="34"/>
  <c r="V13" i="34"/>
  <c r="V21" i="43"/>
  <c r="V27" i="34"/>
  <c r="V17" i="34"/>
  <c r="V46" i="34"/>
  <c r="V28" i="34"/>
  <c r="V42" i="34"/>
  <c r="V24" i="34"/>
  <c r="V14" i="34"/>
  <c r="V47" i="34"/>
  <c r="V37" i="34"/>
  <c r="V23" i="34"/>
  <c r="V7" i="34"/>
  <c r="V11" i="34"/>
  <c r="Q58" i="38"/>
  <c r="Q60" i="38"/>
  <c r="Q56" i="38"/>
  <c r="Q59" i="38"/>
  <c r="Q55" i="38"/>
  <c r="Q57" i="38"/>
  <c r="V60" i="38"/>
  <c r="V39" i="34" l="1"/>
  <c r="V34" i="34" l="1"/>
  <c r="V33" i="34"/>
  <c r="C38" i="67" l="1"/>
  <c r="C38" i="87" l="1"/>
  <c r="E38" i="87" s="1"/>
  <c r="C36" i="67" l="1"/>
  <c r="C36" i="87" s="1"/>
  <c r="C37" i="67"/>
  <c r="C37" i="87" s="1"/>
  <c r="E37" i="87" s="1"/>
  <c r="C33" i="67"/>
  <c r="C33" i="87" s="1"/>
  <c r="C34" i="67"/>
  <c r="C34" i="87" s="1"/>
  <c r="C32" i="67"/>
  <c r="C32" i="87" s="1"/>
  <c r="C30" i="67"/>
  <c r="C30" i="87" s="1"/>
  <c r="E30" i="87" s="1"/>
  <c r="C31" i="67"/>
  <c r="C31" i="87" s="1"/>
  <c r="C35" i="67"/>
  <c r="C35" i="87" s="1"/>
  <c r="C5" i="84"/>
  <c r="E31" i="87" l="1"/>
  <c r="C28" i="84"/>
  <c r="E33" i="87"/>
  <c r="E32" i="87"/>
  <c r="C39" i="84"/>
  <c r="E35" i="87"/>
  <c r="C56" i="84"/>
  <c r="E34" i="87"/>
  <c r="C51" i="84"/>
  <c r="E36" i="87"/>
  <c r="C64" i="84"/>
  <c r="C23" i="84"/>
  <c r="C17" i="84"/>
  <c r="C9" i="84"/>
  <c r="C7" i="84"/>
  <c r="C14" i="84"/>
  <c r="C15" i="84"/>
  <c r="C10" i="84"/>
  <c r="C12" i="84"/>
  <c r="C8" i="84"/>
  <c r="C16" i="84"/>
  <c r="C6" i="84"/>
  <c r="C11" i="84"/>
  <c r="C13" i="84"/>
  <c r="C52" i="84"/>
  <c r="C36" i="84" l="1"/>
  <c r="C35" i="84"/>
  <c r="C66" i="84"/>
  <c r="C42" i="84"/>
  <c r="C57" i="84"/>
  <c r="C59" i="84"/>
  <c r="C45" i="84"/>
  <c r="C63" i="84"/>
  <c r="C37" i="84"/>
  <c r="C33" i="84"/>
  <c r="C38" i="84"/>
  <c r="C40" i="84"/>
  <c r="C34" i="84"/>
  <c r="C29" i="84"/>
  <c r="C30" i="84"/>
  <c r="C27" i="84"/>
  <c r="C31" i="84"/>
  <c r="E41" i="84"/>
  <c r="U41" i="84"/>
  <c r="AC41" i="84"/>
  <c r="M41" i="84"/>
  <c r="C46" i="84"/>
  <c r="C58" i="84"/>
  <c r="C69" i="84"/>
  <c r="C67" i="84"/>
  <c r="C48" i="84"/>
  <c r="C43" i="84"/>
  <c r="U61" i="84"/>
  <c r="AC61" i="84"/>
  <c r="M61" i="84"/>
  <c r="E61" i="84"/>
  <c r="C65" i="84"/>
  <c r="C55" i="84"/>
  <c r="C68" i="84"/>
  <c r="C47" i="84"/>
  <c r="AC50" i="84"/>
  <c r="U50" i="84"/>
  <c r="E50" i="84"/>
  <c r="M50" i="84"/>
  <c r="U32" i="84"/>
  <c r="AC32" i="84"/>
  <c r="E32" i="84"/>
  <c r="AC26" i="84"/>
  <c r="U26" i="84"/>
  <c r="M26" i="84"/>
  <c r="E26" i="84"/>
  <c r="AC53" i="84"/>
  <c r="U53" i="84"/>
  <c r="M53" i="84"/>
  <c r="E53" i="84"/>
  <c r="C60" i="84"/>
  <c r="C54" i="84"/>
  <c r="C62" i="84"/>
  <c r="C44" i="84"/>
  <c r="C22" i="84"/>
  <c r="C24" i="84"/>
  <c r="C19" i="84"/>
  <c r="C25" i="84"/>
  <c r="C20" i="84"/>
  <c r="C21" i="84"/>
  <c r="AH5" i="84"/>
  <c r="AI5" i="84" s="1"/>
  <c r="C5" i="44" s="1"/>
  <c r="R5" i="84"/>
  <c r="S5" i="84" s="1"/>
  <c r="C5" i="43" s="1"/>
  <c r="Z5" i="84"/>
  <c r="AA5" i="84" s="1"/>
  <c r="AM5" i="84"/>
  <c r="AK5" i="84"/>
  <c r="AN5" i="84"/>
  <c r="AL5" i="84"/>
  <c r="J5" i="84"/>
  <c r="C5" i="60" l="1"/>
  <c r="X5" i="60" s="1"/>
  <c r="M48" i="84"/>
  <c r="M43" i="84"/>
  <c r="M42" i="84"/>
  <c r="M47" i="84"/>
  <c r="M46" i="84"/>
  <c r="M45" i="84"/>
  <c r="M44" i="84"/>
  <c r="AC57" i="84"/>
  <c r="AC59" i="84"/>
  <c r="AC58" i="84"/>
  <c r="AC55" i="84"/>
  <c r="AC54" i="84"/>
  <c r="AC56" i="84"/>
  <c r="AC60" i="84"/>
  <c r="AC28" i="84"/>
  <c r="AC29" i="84"/>
  <c r="AC31" i="84"/>
  <c r="AC30" i="84"/>
  <c r="AC27" i="84"/>
  <c r="U40" i="84"/>
  <c r="U33" i="84"/>
  <c r="U38" i="84"/>
  <c r="U37" i="84"/>
  <c r="U34" i="84"/>
  <c r="U35" i="84"/>
  <c r="U39" i="84"/>
  <c r="U36" i="84"/>
  <c r="AC52" i="84"/>
  <c r="AC51" i="84"/>
  <c r="M69" i="84"/>
  <c r="M66" i="84"/>
  <c r="M62" i="84"/>
  <c r="M64" i="84"/>
  <c r="M65" i="84"/>
  <c r="M68" i="84"/>
  <c r="M63" i="84"/>
  <c r="M67" i="84"/>
  <c r="AC48" i="84"/>
  <c r="AC45" i="84"/>
  <c r="AC42" i="84"/>
  <c r="AC47" i="84"/>
  <c r="AC46" i="84"/>
  <c r="AC44" i="84"/>
  <c r="AC43" i="84"/>
  <c r="U57" i="84"/>
  <c r="U55" i="84"/>
  <c r="U54" i="84"/>
  <c r="U59" i="84"/>
  <c r="U58" i="84"/>
  <c r="U56" i="84"/>
  <c r="U60" i="84"/>
  <c r="U28" i="84"/>
  <c r="U29" i="84"/>
  <c r="U30" i="84"/>
  <c r="U31" i="84"/>
  <c r="U27" i="84"/>
  <c r="AC40" i="84"/>
  <c r="AC37" i="84"/>
  <c r="AC34" i="84"/>
  <c r="AC33" i="84"/>
  <c r="AC38" i="84"/>
  <c r="AC36" i="84"/>
  <c r="AC35" i="84"/>
  <c r="AC39" i="84"/>
  <c r="U51" i="84"/>
  <c r="U52" i="84"/>
  <c r="E69" i="84"/>
  <c r="E62" i="84"/>
  <c r="E64" i="84"/>
  <c r="E66" i="84"/>
  <c r="E63" i="84"/>
  <c r="E68" i="84"/>
  <c r="E67" i="84"/>
  <c r="E65" i="84"/>
  <c r="E60" i="84"/>
  <c r="E58" i="84"/>
  <c r="E55" i="84"/>
  <c r="E56" i="84"/>
  <c r="E59" i="84"/>
  <c r="E57" i="84"/>
  <c r="E54" i="84"/>
  <c r="E29" i="84"/>
  <c r="E28" i="84"/>
  <c r="E30" i="84"/>
  <c r="E27" i="84"/>
  <c r="E31" i="84"/>
  <c r="M40" i="84"/>
  <c r="M37" i="84"/>
  <c r="M33" i="84"/>
  <c r="M38" i="84"/>
  <c r="M35" i="84"/>
  <c r="M36" i="84"/>
  <c r="M34" i="84"/>
  <c r="M39" i="84"/>
  <c r="M52" i="84"/>
  <c r="M51" i="84"/>
  <c r="AC69" i="84"/>
  <c r="AC66" i="84"/>
  <c r="AC63" i="84"/>
  <c r="AC67" i="84"/>
  <c r="AC62" i="84"/>
  <c r="AC68" i="84"/>
  <c r="AC65" i="84"/>
  <c r="AC64" i="84"/>
  <c r="U48" i="84"/>
  <c r="U47" i="84"/>
  <c r="U44" i="84"/>
  <c r="U46" i="84"/>
  <c r="U45" i="84"/>
  <c r="U43" i="84"/>
  <c r="U42" i="84"/>
  <c r="M57" i="84"/>
  <c r="M58" i="84"/>
  <c r="M54" i="84"/>
  <c r="M55" i="84"/>
  <c r="M59" i="84"/>
  <c r="M56" i="84"/>
  <c r="M60" i="84"/>
  <c r="M31" i="84"/>
  <c r="M29" i="84"/>
  <c r="M28" i="84"/>
  <c r="M27" i="84"/>
  <c r="M30" i="84"/>
  <c r="E37" i="84"/>
  <c r="E34" i="84"/>
  <c r="E40" i="84"/>
  <c r="E33" i="84"/>
  <c r="E38" i="84"/>
  <c r="E39" i="84"/>
  <c r="E36" i="84"/>
  <c r="E35" i="84"/>
  <c r="E52" i="84"/>
  <c r="E51" i="84"/>
  <c r="U69" i="84"/>
  <c r="U62" i="84"/>
  <c r="U67" i="84"/>
  <c r="U66" i="84"/>
  <c r="U63" i="84"/>
  <c r="U64" i="84"/>
  <c r="U68" i="84"/>
  <c r="U65" i="84"/>
  <c r="E48" i="84"/>
  <c r="E42" i="84"/>
  <c r="E43" i="84"/>
  <c r="E46" i="84"/>
  <c r="E47" i="84"/>
  <c r="E45" i="84"/>
  <c r="E44" i="84"/>
  <c r="AM22" i="84"/>
  <c r="R24" i="84"/>
  <c r="S24" i="84" s="1"/>
  <c r="C24" i="43" s="1"/>
  <c r="Z24" i="84"/>
  <c r="AA24" i="84" s="1"/>
  <c r="C24" i="60" s="1"/>
  <c r="AH24" i="84"/>
  <c r="R19" i="84"/>
  <c r="J21" i="84"/>
  <c r="K21" i="84" s="1"/>
  <c r="C21" i="34" s="1"/>
  <c r="W5" i="43"/>
  <c r="Y5" i="43" s="1"/>
  <c r="AO5" i="84"/>
  <c r="K5" i="84"/>
  <c r="W5" i="44"/>
  <c r="Y5" i="44" s="1"/>
  <c r="X5" i="44"/>
  <c r="AN14" i="84"/>
  <c r="AH8" i="84"/>
  <c r="AI8" i="84" s="1"/>
  <c r="C8" i="44" s="1"/>
  <c r="AN10" i="84"/>
  <c r="AM11" i="84"/>
  <c r="Z14" i="84"/>
  <c r="AA14" i="84" s="1"/>
  <c r="C14" i="60" s="1"/>
  <c r="AG4" i="84"/>
  <c r="Z7" i="84"/>
  <c r="AA7" i="84" s="1"/>
  <c r="C7" i="60" s="1"/>
  <c r="R12" i="84"/>
  <c r="S12" i="84" s="1"/>
  <c r="C12" i="43" s="1"/>
  <c r="Z12" i="84"/>
  <c r="AA12" i="84" s="1"/>
  <c r="C12" i="60" s="1"/>
  <c r="Z9" i="84"/>
  <c r="AA9" i="84" s="1"/>
  <c r="C9" i="60" s="1"/>
  <c r="AN9" i="84"/>
  <c r="AM9" i="84"/>
  <c r="AH10" i="84"/>
  <c r="AI10" i="84" s="1"/>
  <c r="C10" i="44" s="1"/>
  <c r="Q4" i="84"/>
  <c r="X4" i="84"/>
  <c r="AN7" i="84"/>
  <c r="AN12" i="84"/>
  <c r="AH12" i="84"/>
  <c r="AI12" i="84" s="1"/>
  <c r="C12" i="44" s="1"/>
  <c r="AM12" i="84"/>
  <c r="Z17" i="84"/>
  <c r="AA17" i="84" s="1"/>
  <c r="C17" i="60" s="1"/>
  <c r="R17" i="84"/>
  <c r="S17" i="84" s="1"/>
  <c r="C17" i="43" s="1"/>
  <c r="Z16" i="84"/>
  <c r="AA16" i="84" s="1"/>
  <c r="C16" i="60" s="1"/>
  <c r="R16" i="84"/>
  <c r="S16" i="84" s="1"/>
  <c r="C16" i="43" s="1"/>
  <c r="AN16" i="84"/>
  <c r="AH14" i="84"/>
  <c r="AI14" i="84" s="1"/>
  <c r="C14" i="44" s="1"/>
  <c r="Z8" i="84"/>
  <c r="AA8" i="84" s="1"/>
  <c r="C8" i="60" s="1"/>
  <c r="Z13" i="84"/>
  <c r="AA13" i="84" s="1"/>
  <c r="C13" i="60" s="1"/>
  <c r="R13" i="84"/>
  <c r="S13" i="84" s="1"/>
  <c r="C13" i="43" s="1"/>
  <c r="Z15" i="84"/>
  <c r="AA15" i="84" s="1"/>
  <c r="C15" i="60" s="1"/>
  <c r="R15" i="84"/>
  <c r="S15" i="84" s="1"/>
  <c r="C15" i="43" s="1"/>
  <c r="AN15" i="84"/>
  <c r="AH15" i="84"/>
  <c r="AI15" i="84" s="1"/>
  <c r="C15" i="44" s="1"/>
  <c r="AH9" i="84"/>
  <c r="AI9" i="84" s="1"/>
  <c r="C9" i="44" s="1"/>
  <c r="AM10" i="84"/>
  <c r="R11" i="84"/>
  <c r="S11" i="84" s="1"/>
  <c r="C11" i="43" s="1"/>
  <c r="AN17" i="84"/>
  <c r="R9" i="84"/>
  <c r="S9" i="84" s="1"/>
  <c r="C9" i="43" s="1"/>
  <c r="Z10" i="84"/>
  <c r="AA10" i="84" s="1"/>
  <c r="C10" i="60" s="1"/>
  <c r="AF4" i="84"/>
  <c r="Z11" i="84"/>
  <c r="AA11" i="84" s="1"/>
  <c r="C11" i="60" s="1"/>
  <c r="AM17" i="84"/>
  <c r="AM16" i="84"/>
  <c r="AH16" i="84"/>
  <c r="AI16" i="84" s="1"/>
  <c r="C16" i="44" s="1"/>
  <c r="AM8" i="84"/>
  <c r="AN13" i="84"/>
  <c r="AH13" i="84"/>
  <c r="AI13" i="84" s="1"/>
  <c r="C13" i="44" s="1"/>
  <c r="AM15" i="84"/>
  <c r="R7" i="84"/>
  <c r="S7" i="84" s="1"/>
  <c r="C7" i="43" s="1"/>
  <c r="R10" i="84"/>
  <c r="S10" i="84" s="1"/>
  <c r="C10" i="43" s="1"/>
  <c r="P4" i="84"/>
  <c r="Y4" i="84"/>
  <c r="AM7" i="84"/>
  <c r="AH7" i="84"/>
  <c r="AI7" i="84" s="1"/>
  <c r="C7" i="44" s="1"/>
  <c r="AH11" i="84"/>
  <c r="AI11" i="84" s="1"/>
  <c r="C11" i="44" s="1"/>
  <c r="AN11" i="84"/>
  <c r="AH17" i="84"/>
  <c r="AI17" i="84" s="1"/>
  <c r="C17" i="44" s="1"/>
  <c r="AM14" i="84"/>
  <c r="R14" i="84"/>
  <c r="S14" i="84" s="1"/>
  <c r="C14" i="43" s="1"/>
  <c r="R8" i="84"/>
  <c r="S8" i="84" s="1"/>
  <c r="C8" i="43" s="1"/>
  <c r="AN8" i="84"/>
  <c r="AM13" i="84"/>
  <c r="Z23" i="84"/>
  <c r="AA23" i="84" s="1"/>
  <c r="C23" i="60" s="1"/>
  <c r="AM23" i="84"/>
  <c r="R23" i="84"/>
  <c r="S23" i="84" s="1"/>
  <c r="C23" i="43" s="1"/>
  <c r="AK11" i="84"/>
  <c r="AK22" i="84"/>
  <c r="AL10" i="84"/>
  <c r="J10" i="84"/>
  <c r="K10" i="84" s="1"/>
  <c r="C10" i="34" s="1"/>
  <c r="AK16" i="84"/>
  <c r="AL9" i="84"/>
  <c r="J9" i="84"/>
  <c r="K9" i="84" s="1"/>
  <c r="C9" i="34" s="1"/>
  <c r="N4" i="84"/>
  <c r="AL6" i="84"/>
  <c r="J6" i="84"/>
  <c r="K6" i="84" s="1"/>
  <c r="C6" i="34" s="1"/>
  <c r="G4" i="84"/>
  <c r="AK10" i="84"/>
  <c r="AN6" i="84"/>
  <c r="I4" i="84"/>
  <c r="AK9" i="84"/>
  <c r="F4" i="84"/>
  <c r="AK6" i="84"/>
  <c r="O4" i="84"/>
  <c r="R6" i="84"/>
  <c r="AE4" i="84"/>
  <c r="AH6" i="84"/>
  <c r="AK12" i="84"/>
  <c r="AK23" i="84"/>
  <c r="AL23" i="84"/>
  <c r="J23" i="84"/>
  <c r="K23" i="84" s="1"/>
  <c r="C23" i="34" s="1"/>
  <c r="J22" i="84"/>
  <c r="AN24" i="84"/>
  <c r="J24" i="84"/>
  <c r="K24" i="84" s="1"/>
  <c r="C24" i="34" s="1"/>
  <c r="AK17" i="84"/>
  <c r="AH20" i="84"/>
  <c r="V4" i="84"/>
  <c r="AD4" i="84"/>
  <c r="H4" i="84"/>
  <c r="AM6" i="84"/>
  <c r="F18" i="84"/>
  <c r="AK7" i="84"/>
  <c r="J11" i="84"/>
  <c r="AL11" i="84"/>
  <c r="AN23" i="84"/>
  <c r="AN22" i="84"/>
  <c r="J13" i="84"/>
  <c r="K13" i="84" s="1"/>
  <c r="C13" i="34" s="1"/>
  <c r="AL13" i="84"/>
  <c r="J15" i="84"/>
  <c r="K15" i="84" s="1"/>
  <c r="C15" i="34" s="1"/>
  <c r="AL15" i="84"/>
  <c r="Z6" i="84"/>
  <c r="AA6" i="84" s="1"/>
  <c r="C6" i="60" s="1"/>
  <c r="W4" i="84"/>
  <c r="AL7" i="84"/>
  <c r="J7" i="84"/>
  <c r="AL12" i="84"/>
  <c r="J12" i="84"/>
  <c r="AH23" i="84"/>
  <c r="AI23" i="84" s="1"/>
  <c r="C23" i="44" s="1"/>
  <c r="J17" i="84"/>
  <c r="AL17" i="84"/>
  <c r="J16" i="84"/>
  <c r="AL16" i="84"/>
  <c r="AK14" i="84"/>
  <c r="J14" i="84"/>
  <c r="AL14" i="84"/>
  <c r="AK8" i="84"/>
  <c r="AL8" i="84"/>
  <c r="J8" i="84"/>
  <c r="AK13" i="84"/>
  <c r="AK15" i="84"/>
  <c r="Y48" i="84" l="1"/>
  <c r="W48" i="84"/>
  <c r="X48" i="84"/>
  <c r="V48" i="84"/>
  <c r="Q48" i="84"/>
  <c r="O48" i="84"/>
  <c r="P48" i="84"/>
  <c r="R48" i="84" s="1"/>
  <c r="N48" i="84"/>
  <c r="I48" i="84"/>
  <c r="G48" i="84"/>
  <c r="H48" i="84"/>
  <c r="J48" i="84" s="1"/>
  <c r="F48" i="84"/>
  <c r="AG48" i="84"/>
  <c r="AE48" i="84"/>
  <c r="AF48" i="84"/>
  <c r="AD48" i="84"/>
  <c r="C23" i="45"/>
  <c r="S23" i="45" s="1"/>
  <c r="C15" i="45"/>
  <c r="S15" i="45" s="1"/>
  <c r="C9" i="45"/>
  <c r="S9" i="45" s="1"/>
  <c r="C13" i="45"/>
  <c r="S13" i="45" s="1"/>
  <c r="C10" i="45"/>
  <c r="S10" i="45" s="1"/>
  <c r="W5" i="60"/>
  <c r="Y5" i="60" s="1"/>
  <c r="X5" i="43"/>
  <c r="AP5" i="84"/>
  <c r="C5" i="34"/>
  <c r="C5" i="45" s="1"/>
  <c r="S5" i="45" s="1"/>
  <c r="G43" i="84"/>
  <c r="F43" i="84"/>
  <c r="I43" i="84"/>
  <c r="H43" i="84"/>
  <c r="W64" i="84"/>
  <c r="V64" i="84"/>
  <c r="Y64" i="84"/>
  <c r="X64" i="84"/>
  <c r="O30" i="84"/>
  <c r="P30" i="84"/>
  <c r="N30" i="84"/>
  <c r="Q30" i="84"/>
  <c r="W46" i="84"/>
  <c r="V46" i="84"/>
  <c r="Y46" i="84"/>
  <c r="X46" i="84"/>
  <c r="P52" i="84"/>
  <c r="O52" i="84"/>
  <c r="Q52" i="84"/>
  <c r="N52" i="84"/>
  <c r="F28" i="84"/>
  <c r="I28" i="84"/>
  <c r="H28" i="84"/>
  <c r="G28" i="84"/>
  <c r="G60" i="84"/>
  <c r="F60" i="84"/>
  <c r="I60" i="84"/>
  <c r="H60" i="84"/>
  <c r="G67" i="84"/>
  <c r="F67" i="84"/>
  <c r="I67" i="84"/>
  <c r="H67" i="84"/>
  <c r="G64" i="84"/>
  <c r="F64" i="84"/>
  <c r="I64" i="84"/>
  <c r="H64" i="84"/>
  <c r="W51" i="84"/>
  <c r="V51" i="84"/>
  <c r="Y51" i="84"/>
  <c r="X51" i="84"/>
  <c r="AD38" i="84"/>
  <c r="AG38" i="84"/>
  <c r="AF38" i="84"/>
  <c r="AE38" i="84"/>
  <c r="AD40" i="84"/>
  <c r="AG40" i="84"/>
  <c r="AF40" i="84"/>
  <c r="AE40" i="84"/>
  <c r="W29" i="84"/>
  <c r="Y29" i="84"/>
  <c r="X29" i="84"/>
  <c r="V29" i="84"/>
  <c r="W58" i="84"/>
  <c r="V58" i="84"/>
  <c r="Y58" i="84"/>
  <c r="X58" i="84"/>
  <c r="W57" i="84"/>
  <c r="V57" i="84"/>
  <c r="Y57" i="84"/>
  <c r="X57" i="84"/>
  <c r="AD47" i="84"/>
  <c r="AG47" i="84"/>
  <c r="AF47" i="84"/>
  <c r="AE47" i="84"/>
  <c r="P63" i="84"/>
  <c r="O63" i="84"/>
  <c r="N63" i="84"/>
  <c r="Q63" i="84"/>
  <c r="P62" i="84"/>
  <c r="O62" i="84"/>
  <c r="Q62" i="84"/>
  <c r="N62" i="84"/>
  <c r="AD52" i="84"/>
  <c r="AG52" i="84"/>
  <c r="AF52" i="84"/>
  <c r="AE52" i="84"/>
  <c r="W34" i="84"/>
  <c r="Y34" i="84"/>
  <c r="X34" i="84"/>
  <c r="V34" i="84"/>
  <c r="AD29" i="84"/>
  <c r="AG29" i="84"/>
  <c r="AF29" i="84"/>
  <c r="AE29" i="84"/>
  <c r="AD54" i="84"/>
  <c r="AG54" i="84"/>
  <c r="AF54" i="84"/>
  <c r="AE54" i="84"/>
  <c r="AD57" i="84"/>
  <c r="AG57" i="84"/>
  <c r="AF57" i="84"/>
  <c r="AE57" i="84"/>
  <c r="G45" i="84"/>
  <c r="F45" i="84"/>
  <c r="I45" i="84"/>
  <c r="H45" i="84"/>
  <c r="G42" i="84"/>
  <c r="F42" i="84"/>
  <c r="I42" i="84"/>
  <c r="H42" i="84"/>
  <c r="W63" i="84"/>
  <c r="V63" i="84"/>
  <c r="Y63" i="84"/>
  <c r="X63" i="84"/>
  <c r="W69" i="84"/>
  <c r="V69" i="84"/>
  <c r="Y69" i="84"/>
  <c r="X69" i="84"/>
  <c r="F36" i="84"/>
  <c r="I36" i="84"/>
  <c r="H36" i="84"/>
  <c r="G36" i="84"/>
  <c r="G40" i="84"/>
  <c r="F40" i="84"/>
  <c r="I40" i="84"/>
  <c r="H40" i="84"/>
  <c r="O27" i="84"/>
  <c r="Q27" i="84"/>
  <c r="P27" i="84"/>
  <c r="N27" i="84"/>
  <c r="P60" i="84"/>
  <c r="O60" i="84"/>
  <c r="N60" i="84"/>
  <c r="Q60" i="84"/>
  <c r="P54" i="84"/>
  <c r="O54" i="84"/>
  <c r="N54" i="84"/>
  <c r="Q54" i="84"/>
  <c r="W42" i="84"/>
  <c r="V42" i="84"/>
  <c r="Y42" i="84"/>
  <c r="X42" i="84"/>
  <c r="W44" i="84"/>
  <c r="V44" i="84"/>
  <c r="Y44" i="84"/>
  <c r="X44" i="84"/>
  <c r="AD68" i="84"/>
  <c r="AG68" i="84"/>
  <c r="AF68" i="84"/>
  <c r="AE68" i="84"/>
  <c r="AD66" i="84"/>
  <c r="AG66" i="84"/>
  <c r="AF66" i="84"/>
  <c r="AE66" i="84"/>
  <c r="P39" i="84"/>
  <c r="O39" i="84"/>
  <c r="N39" i="84"/>
  <c r="Q39" i="84"/>
  <c r="P38" i="84"/>
  <c r="O38" i="84"/>
  <c r="Q38" i="84"/>
  <c r="N38" i="84"/>
  <c r="F31" i="84"/>
  <c r="I31" i="84"/>
  <c r="H31" i="84"/>
  <c r="G31" i="84"/>
  <c r="F29" i="84"/>
  <c r="G29" i="84"/>
  <c r="I29" i="84"/>
  <c r="H29" i="84"/>
  <c r="G56" i="84"/>
  <c r="F56" i="84"/>
  <c r="I56" i="84"/>
  <c r="H56" i="84"/>
  <c r="G68" i="84"/>
  <c r="F68" i="84"/>
  <c r="I68" i="84"/>
  <c r="H68" i="84"/>
  <c r="G62" i="84"/>
  <c r="F62" i="84"/>
  <c r="I62" i="84"/>
  <c r="H62" i="84"/>
  <c r="AD39" i="84"/>
  <c r="AG39" i="84"/>
  <c r="AF39" i="84"/>
  <c r="AE39" i="84"/>
  <c r="AD33" i="84"/>
  <c r="AG33" i="84"/>
  <c r="AF33" i="84"/>
  <c r="AE33" i="84"/>
  <c r="Y27" i="84"/>
  <c r="X27" i="84"/>
  <c r="W27" i="84"/>
  <c r="V27" i="84"/>
  <c r="W28" i="84"/>
  <c r="Y28" i="84"/>
  <c r="X28" i="84"/>
  <c r="V28" i="84"/>
  <c r="W59" i="84"/>
  <c r="V59" i="84"/>
  <c r="Y59" i="84"/>
  <c r="X59" i="84"/>
  <c r="AD43" i="84"/>
  <c r="AG43" i="84"/>
  <c r="AF43" i="84"/>
  <c r="AE43" i="84"/>
  <c r="AD42" i="84"/>
  <c r="AG42" i="84"/>
  <c r="AF42" i="84"/>
  <c r="AE42" i="84"/>
  <c r="P68" i="84"/>
  <c r="O68" i="84"/>
  <c r="Q68" i="84"/>
  <c r="N68" i="84"/>
  <c r="P66" i="84"/>
  <c r="O66" i="84"/>
  <c r="Q66" i="84"/>
  <c r="N66" i="84"/>
  <c r="W36" i="84"/>
  <c r="V36" i="84"/>
  <c r="Y36" i="84"/>
  <c r="X36" i="84"/>
  <c r="W37" i="84"/>
  <c r="V37" i="84"/>
  <c r="Y37" i="84"/>
  <c r="X37" i="84"/>
  <c r="AD27" i="84"/>
  <c r="AG27" i="84"/>
  <c r="AF27" i="84"/>
  <c r="AE27" i="84"/>
  <c r="AD28" i="84"/>
  <c r="AG28" i="84"/>
  <c r="AF28" i="84"/>
  <c r="AE28" i="84"/>
  <c r="AD55" i="84"/>
  <c r="AG55" i="84"/>
  <c r="AF55" i="84"/>
  <c r="AE55" i="84"/>
  <c r="P44" i="84"/>
  <c r="O44" i="84"/>
  <c r="N44" i="84"/>
  <c r="Q44" i="84"/>
  <c r="P42" i="84"/>
  <c r="O42" i="84"/>
  <c r="N42" i="84"/>
  <c r="Q42" i="84"/>
  <c r="G44" i="84"/>
  <c r="F44" i="84"/>
  <c r="I44" i="84"/>
  <c r="H44" i="84"/>
  <c r="F35" i="84"/>
  <c r="H35" i="84"/>
  <c r="G35" i="84"/>
  <c r="I35" i="84"/>
  <c r="P31" i="84"/>
  <c r="O31" i="84"/>
  <c r="Q31" i="84"/>
  <c r="N31" i="84"/>
  <c r="AD65" i="84"/>
  <c r="AG65" i="84"/>
  <c r="AF65" i="84"/>
  <c r="AE65" i="84"/>
  <c r="AD63" i="84"/>
  <c r="AG63" i="84"/>
  <c r="AF63" i="84"/>
  <c r="AE63" i="84"/>
  <c r="P35" i="84"/>
  <c r="O35" i="84"/>
  <c r="N35" i="84"/>
  <c r="Q35" i="84"/>
  <c r="G59" i="84"/>
  <c r="F59" i="84"/>
  <c r="I59" i="84"/>
  <c r="H59" i="84"/>
  <c r="P47" i="84"/>
  <c r="O47" i="84"/>
  <c r="Q47" i="84"/>
  <c r="N47" i="84"/>
  <c r="G47" i="84"/>
  <c r="F47" i="84"/>
  <c r="I47" i="84"/>
  <c r="H47" i="84"/>
  <c r="W65" i="84"/>
  <c r="V65" i="84"/>
  <c r="Y65" i="84"/>
  <c r="X65" i="84"/>
  <c r="W66" i="84"/>
  <c r="V66" i="84"/>
  <c r="Y66" i="84"/>
  <c r="X66" i="84"/>
  <c r="G51" i="84"/>
  <c r="F51" i="84"/>
  <c r="I51" i="84"/>
  <c r="H51" i="84"/>
  <c r="F39" i="84"/>
  <c r="H39" i="84"/>
  <c r="G39" i="84"/>
  <c r="I39" i="84"/>
  <c r="F34" i="84"/>
  <c r="G34" i="84"/>
  <c r="I34" i="84"/>
  <c r="H34" i="84"/>
  <c r="O28" i="84"/>
  <c r="Q28" i="84"/>
  <c r="P28" i="84"/>
  <c r="N28" i="84"/>
  <c r="P56" i="84"/>
  <c r="O56" i="84"/>
  <c r="N56" i="84"/>
  <c r="Q56" i="84"/>
  <c r="P58" i="84"/>
  <c r="O58" i="84"/>
  <c r="N58" i="84"/>
  <c r="Q58" i="84"/>
  <c r="W43" i="84"/>
  <c r="V43" i="84"/>
  <c r="Y43" i="84"/>
  <c r="X43" i="84"/>
  <c r="W47" i="84"/>
  <c r="V47" i="84"/>
  <c r="Y47" i="84"/>
  <c r="X47" i="84"/>
  <c r="AD62" i="84"/>
  <c r="AG62" i="84"/>
  <c r="AF62" i="84"/>
  <c r="AE62" i="84"/>
  <c r="AD69" i="84"/>
  <c r="AG69" i="84"/>
  <c r="AF69" i="84"/>
  <c r="AE69" i="84"/>
  <c r="P34" i="84"/>
  <c r="O34" i="84"/>
  <c r="Q34" i="84"/>
  <c r="N34" i="84"/>
  <c r="P33" i="84"/>
  <c r="O33" i="84"/>
  <c r="N33" i="84"/>
  <c r="Q33" i="84"/>
  <c r="F27" i="84"/>
  <c r="I27" i="84"/>
  <c r="H27" i="84"/>
  <c r="G27" i="84"/>
  <c r="G54" i="84"/>
  <c r="F54" i="84"/>
  <c r="I54" i="84"/>
  <c r="H54" i="84"/>
  <c r="G55" i="84"/>
  <c r="F55" i="84"/>
  <c r="I55" i="84"/>
  <c r="H55" i="84"/>
  <c r="G63" i="84"/>
  <c r="F63" i="84"/>
  <c r="I63" i="84"/>
  <c r="H63" i="84"/>
  <c r="G69" i="84"/>
  <c r="F69" i="84"/>
  <c r="I69" i="84"/>
  <c r="H69" i="84"/>
  <c r="AD35" i="84"/>
  <c r="AG35" i="84"/>
  <c r="AF35" i="84"/>
  <c r="AE35" i="84"/>
  <c r="AD34" i="84"/>
  <c r="AG34" i="84"/>
  <c r="AF34" i="84"/>
  <c r="AE34" i="84"/>
  <c r="W31" i="84"/>
  <c r="Y31" i="84"/>
  <c r="X31" i="84"/>
  <c r="V31" i="84"/>
  <c r="W60" i="84"/>
  <c r="V60" i="84"/>
  <c r="Y60" i="84"/>
  <c r="X60" i="84"/>
  <c r="W54" i="84"/>
  <c r="V54" i="84"/>
  <c r="Y54" i="84"/>
  <c r="X54" i="84"/>
  <c r="AD44" i="84"/>
  <c r="AG44" i="84"/>
  <c r="AF44" i="84"/>
  <c r="AE44" i="84"/>
  <c r="AD45" i="84"/>
  <c r="AG45" i="84"/>
  <c r="AF45" i="84"/>
  <c r="AE45" i="84"/>
  <c r="P65" i="84"/>
  <c r="O65" i="84"/>
  <c r="N65" i="84"/>
  <c r="Q65" i="84"/>
  <c r="P69" i="84"/>
  <c r="O69" i="84"/>
  <c r="N69" i="84"/>
  <c r="Q69" i="84"/>
  <c r="W39" i="84"/>
  <c r="V39" i="84"/>
  <c r="Y39" i="84"/>
  <c r="X39" i="84"/>
  <c r="W38" i="84"/>
  <c r="V38" i="84"/>
  <c r="Y38" i="84"/>
  <c r="X38" i="84"/>
  <c r="AD30" i="84"/>
  <c r="AG30" i="84"/>
  <c r="AF30" i="84"/>
  <c r="AE30" i="84"/>
  <c r="AD60" i="84"/>
  <c r="AG60" i="84"/>
  <c r="AF60" i="84"/>
  <c r="AE60" i="84"/>
  <c r="AD58" i="84"/>
  <c r="AG58" i="84"/>
  <c r="AF58" i="84"/>
  <c r="AE58" i="84"/>
  <c r="P45" i="84"/>
  <c r="O45" i="84"/>
  <c r="Q45" i="84"/>
  <c r="N45" i="84"/>
  <c r="P43" i="84"/>
  <c r="O43" i="84"/>
  <c r="Q43" i="84"/>
  <c r="N43" i="84"/>
  <c r="W62" i="84"/>
  <c r="V62" i="84"/>
  <c r="Y62" i="84"/>
  <c r="X62" i="84"/>
  <c r="F33" i="84"/>
  <c r="I33" i="84"/>
  <c r="H33" i="84"/>
  <c r="G33" i="84"/>
  <c r="P55" i="84"/>
  <c r="O55" i="84"/>
  <c r="Q55" i="84"/>
  <c r="N55" i="84"/>
  <c r="P40" i="84"/>
  <c r="O40" i="84"/>
  <c r="Q40" i="84"/>
  <c r="N40" i="84"/>
  <c r="W40" i="84"/>
  <c r="V40" i="84"/>
  <c r="Y40" i="84"/>
  <c r="X40" i="84"/>
  <c r="G46" i="84"/>
  <c r="F46" i="84"/>
  <c r="I46" i="84"/>
  <c r="H46" i="84"/>
  <c r="W68" i="84"/>
  <c r="V68" i="84"/>
  <c r="Y68" i="84"/>
  <c r="X68" i="84"/>
  <c r="W67" i="84"/>
  <c r="V67" i="84"/>
  <c r="Y67" i="84"/>
  <c r="X67" i="84"/>
  <c r="G52" i="84"/>
  <c r="F52" i="84"/>
  <c r="I52" i="84"/>
  <c r="H52" i="84"/>
  <c r="F38" i="84"/>
  <c r="G38" i="84"/>
  <c r="I38" i="84"/>
  <c r="H38" i="84"/>
  <c r="F37" i="84"/>
  <c r="I37" i="84"/>
  <c r="H37" i="84"/>
  <c r="G37" i="84"/>
  <c r="O29" i="84"/>
  <c r="N29" i="84"/>
  <c r="Q29" i="84"/>
  <c r="P29" i="84"/>
  <c r="P59" i="84"/>
  <c r="O59" i="84"/>
  <c r="Q59" i="84"/>
  <c r="N59" i="84"/>
  <c r="P57" i="84"/>
  <c r="O57" i="84"/>
  <c r="Q57" i="84"/>
  <c r="N57" i="84"/>
  <c r="W45" i="84"/>
  <c r="V45" i="84"/>
  <c r="Y45" i="84"/>
  <c r="X45" i="84"/>
  <c r="AD64" i="84"/>
  <c r="AG64" i="84"/>
  <c r="AF64" i="84"/>
  <c r="AE64" i="84"/>
  <c r="AD67" i="84"/>
  <c r="AG67" i="84"/>
  <c r="AF67" i="84"/>
  <c r="AE67" i="84"/>
  <c r="P51" i="84"/>
  <c r="P50" i="84" s="1"/>
  <c r="O51" i="84"/>
  <c r="N51" i="84"/>
  <c r="Q51" i="84"/>
  <c r="P36" i="84"/>
  <c r="O36" i="84"/>
  <c r="Q36" i="84"/>
  <c r="N36" i="84"/>
  <c r="P37" i="84"/>
  <c r="O37" i="84"/>
  <c r="N37" i="84"/>
  <c r="Q37" i="84"/>
  <c r="F30" i="84"/>
  <c r="H30" i="84"/>
  <c r="G30" i="84"/>
  <c r="I30" i="84"/>
  <c r="G57" i="84"/>
  <c r="F57" i="84"/>
  <c r="I57" i="84"/>
  <c r="H57" i="84"/>
  <c r="G58" i="84"/>
  <c r="F58" i="84"/>
  <c r="I58" i="84"/>
  <c r="H58" i="84"/>
  <c r="G65" i="84"/>
  <c r="F65" i="84"/>
  <c r="I65" i="84"/>
  <c r="H65" i="84"/>
  <c r="G66" i="84"/>
  <c r="F66" i="84"/>
  <c r="I66" i="84"/>
  <c r="H66" i="84"/>
  <c r="W52" i="84"/>
  <c r="V52" i="84"/>
  <c r="Y52" i="84"/>
  <c r="X52" i="84"/>
  <c r="AD36" i="84"/>
  <c r="AG36" i="84"/>
  <c r="AF36" i="84"/>
  <c r="AE36" i="84"/>
  <c r="AD37" i="84"/>
  <c r="AG37" i="84"/>
  <c r="AF37" i="84"/>
  <c r="AE37" i="84"/>
  <c r="W30" i="84"/>
  <c r="Y30" i="84"/>
  <c r="X30" i="84"/>
  <c r="V30" i="84"/>
  <c r="W56" i="84"/>
  <c r="V56" i="84"/>
  <c r="Y56" i="84"/>
  <c r="X56" i="84"/>
  <c r="W55" i="84"/>
  <c r="V55" i="84"/>
  <c r="Y55" i="84"/>
  <c r="X55" i="84"/>
  <c r="AD46" i="84"/>
  <c r="AG46" i="84"/>
  <c r="AF46" i="84"/>
  <c r="AE46" i="84"/>
  <c r="P67" i="84"/>
  <c r="O67" i="84"/>
  <c r="N67" i="84"/>
  <c r="Q67" i="84"/>
  <c r="P64" i="84"/>
  <c r="O64" i="84"/>
  <c r="Q64" i="84"/>
  <c r="N64" i="84"/>
  <c r="AD51" i="84"/>
  <c r="AD50" i="84" s="1"/>
  <c r="AG51" i="84"/>
  <c r="AG50" i="84" s="1"/>
  <c r="AF51" i="84"/>
  <c r="AF50" i="84" s="1"/>
  <c r="AE51" i="84"/>
  <c r="W35" i="84"/>
  <c r="Y35" i="84"/>
  <c r="X35" i="84"/>
  <c r="V35" i="84"/>
  <c r="W33" i="84"/>
  <c r="Y33" i="84"/>
  <c r="X33" i="84"/>
  <c r="V33" i="84"/>
  <c r="AD31" i="84"/>
  <c r="AG31" i="84"/>
  <c r="AF31" i="84"/>
  <c r="AE31" i="84"/>
  <c r="AD56" i="84"/>
  <c r="AG56" i="84"/>
  <c r="AF56" i="84"/>
  <c r="AE56" i="84"/>
  <c r="AD59" i="84"/>
  <c r="AG59" i="84"/>
  <c r="AF59" i="84"/>
  <c r="AE59" i="84"/>
  <c r="P46" i="84"/>
  <c r="O46" i="84"/>
  <c r="N46" i="84"/>
  <c r="Q46" i="84"/>
  <c r="R22" i="84"/>
  <c r="S22" i="84" s="1"/>
  <c r="C22" i="43" s="1"/>
  <c r="AL24" i="84"/>
  <c r="Z19" i="84"/>
  <c r="AA19" i="84" s="1"/>
  <c r="C19" i="60" s="1"/>
  <c r="AK21" i="84"/>
  <c r="S19" i="84"/>
  <c r="C19" i="43" s="1"/>
  <c r="AG18" i="84"/>
  <c r="AH22" i="84"/>
  <c r="AI22" i="84" s="1"/>
  <c r="C22" i="44" s="1"/>
  <c r="AM19" i="84"/>
  <c r="Z22" i="84"/>
  <c r="AA22" i="84" s="1"/>
  <c r="C22" i="60" s="1"/>
  <c r="W22" i="60" s="1"/>
  <c r="Y22" i="60" s="1"/>
  <c r="O18" i="84"/>
  <c r="AL22" i="84"/>
  <c r="AH19" i="84"/>
  <c r="AI19" i="84" s="1"/>
  <c r="C19" i="44" s="1"/>
  <c r="Z20" i="84"/>
  <c r="AA20" i="84" s="1"/>
  <c r="C20" i="60" s="1"/>
  <c r="AI24" i="84"/>
  <c r="C24" i="44" s="1"/>
  <c r="C24" i="45" s="1"/>
  <c r="S24" i="45" s="1"/>
  <c r="AE18" i="84"/>
  <c r="AM20" i="84"/>
  <c r="AH21" i="84"/>
  <c r="AI21" i="84" s="1"/>
  <c r="C21" i="44" s="1"/>
  <c r="W18" i="84"/>
  <c r="I18" i="84"/>
  <c r="AF18" i="84"/>
  <c r="J20" i="84"/>
  <c r="K20" i="84" s="1"/>
  <c r="C20" i="34" s="1"/>
  <c r="AM21" i="84"/>
  <c r="J19" i="84"/>
  <c r="AN19" i="84"/>
  <c r="AN20" i="84"/>
  <c r="Y18" i="84"/>
  <c r="AN21" i="84"/>
  <c r="AL25" i="84"/>
  <c r="AL21" i="84"/>
  <c r="Z21" i="84"/>
  <c r="AA21" i="84" s="1"/>
  <c r="C21" i="60" s="1"/>
  <c r="H18" i="84"/>
  <c r="Z25" i="84"/>
  <c r="AA25" i="84" s="1"/>
  <c r="C25" i="60" s="1"/>
  <c r="AK24" i="84"/>
  <c r="AL20" i="84"/>
  <c r="AM24" i="84"/>
  <c r="J25" i="84"/>
  <c r="K25" i="84" s="1"/>
  <c r="C25" i="34" s="1"/>
  <c r="X18" i="84"/>
  <c r="AK25" i="84"/>
  <c r="AM25" i="84"/>
  <c r="AN25" i="84"/>
  <c r="V18" i="84"/>
  <c r="N18" i="84"/>
  <c r="R21" i="84"/>
  <c r="S21" i="84" s="1"/>
  <c r="C21" i="43" s="1"/>
  <c r="Q18" i="84"/>
  <c r="AD18" i="84"/>
  <c r="AH25" i="84"/>
  <c r="AI25" i="84" s="1"/>
  <c r="C25" i="44" s="1"/>
  <c r="AK19" i="84"/>
  <c r="AL19" i="84"/>
  <c r="R25" i="84"/>
  <c r="S25" i="84" s="1"/>
  <c r="C25" i="43" s="1"/>
  <c r="G18" i="84"/>
  <c r="AK20" i="84"/>
  <c r="R20" i="84"/>
  <c r="S20" i="84" s="1"/>
  <c r="C20" i="43" s="1"/>
  <c r="P18" i="84"/>
  <c r="AI20" i="84"/>
  <c r="C20" i="44" s="1"/>
  <c r="AO7" i="84"/>
  <c r="AO8" i="84"/>
  <c r="AO17" i="84"/>
  <c r="AO14" i="84"/>
  <c r="AO11" i="84"/>
  <c r="AO13" i="84"/>
  <c r="AH4" i="84"/>
  <c r="AO12" i="84"/>
  <c r="AO9" i="84"/>
  <c r="K8" i="84"/>
  <c r="C8" i="34" s="1"/>
  <c r="C8" i="45" s="1"/>
  <c r="S8" i="45" s="1"/>
  <c r="K14" i="84"/>
  <c r="AO16" i="84"/>
  <c r="AM4" i="84"/>
  <c r="K17" i="84"/>
  <c r="C17" i="34" s="1"/>
  <c r="C17" i="45" s="1"/>
  <c r="S17" i="45" s="1"/>
  <c r="K12" i="84"/>
  <c r="AK4" i="84"/>
  <c r="AL4" i="84"/>
  <c r="Z4" i="84"/>
  <c r="AO15" i="84"/>
  <c r="K7" i="84"/>
  <c r="C7" i="34" s="1"/>
  <c r="C7" i="45" s="1"/>
  <c r="S7" i="45" s="1"/>
  <c r="R4" i="84"/>
  <c r="AN4" i="84"/>
  <c r="S6" i="84"/>
  <c r="C6" i="43" s="1"/>
  <c r="AI6" i="84"/>
  <c r="C6" i="44" s="1"/>
  <c r="K16" i="84"/>
  <c r="AO10" i="84"/>
  <c r="K11" i="84"/>
  <c r="C11" i="34" s="1"/>
  <c r="C11" i="45" s="1"/>
  <c r="S11" i="45" s="1"/>
  <c r="W15" i="43"/>
  <c r="Y15" i="43" s="1"/>
  <c r="X15" i="43"/>
  <c r="X15" i="60"/>
  <c r="W15" i="60"/>
  <c r="Y15" i="60" s="1"/>
  <c r="W23" i="43"/>
  <c r="Y23" i="43" s="1"/>
  <c r="X23" i="43"/>
  <c r="X14" i="44"/>
  <c r="W14" i="44"/>
  <c r="Y14" i="44" s="1"/>
  <c r="W7" i="44"/>
  <c r="Y7" i="44" s="1"/>
  <c r="X7" i="44"/>
  <c r="W16" i="43"/>
  <c r="Y16" i="43" s="1"/>
  <c r="W11" i="44"/>
  <c r="Y11" i="44" s="1"/>
  <c r="X11" i="44"/>
  <c r="W10" i="43"/>
  <c r="Y10" i="43" s="1"/>
  <c r="X10" i="43"/>
  <c r="W12" i="43"/>
  <c r="Y12" i="43" s="1"/>
  <c r="X12" i="43"/>
  <c r="X13" i="44"/>
  <c r="W13" i="44"/>
  <c r="Y13" i="44" s="1"/>
  <c r="W10" i="44"/>
  <c r="Y10" i="44" s="1"/>
  <c r="X10" i="44"/>
  <c r="X10" i="60"/>
  <c r="W10" i="60"/>
  <c r="Y10" i="60" s="1"/>
  <c r="W13" i="43"/>
  <c r="Y13" i="43" s="1"/>
  <c r="AP15" i="84"/>
  <c r="X8" i="43"/>
  <c r="W8" i="43"/>
  <c r="Y8" i="43" s="1"/>
  <c r="W7" i="60"/>
  <c r="Y7" i="60" s="1"/>
  <c r="X7" i="60"/>
  <c r="W11" i="60"/>
  <c r="Y11" i="60" s="1"/>
  <c r="X11" i="60"/>
  <c r="W7" i="43"/>
  <c r="Y7" i="43" s="1"/>
  <c r="X7" i="43"/>
  <c r="AP9" i="84"/>
  <c r="W17" i="44"/>
  <c r="Y17" i="44" s="1"/>
  <c r="X17" i="44"/>
  <c r="AA4" i="84"/>
  <c r="AO24" i="84"/>
  <c r="AP23" i="84"/>
  <c r="W16" i="60"/>
  <c r="Y16" i="60" s="1"/>
  <c r="X16" i="60"/>
  <c r="W13" i="60"/>
  <c r="Y13" i="60" s="1"/>
  <c r="X13" i="60"/>
  <c r="W14" i="43"/>
  <c r="Y14" i="43" s="1"/>
  <c r="W11" i="43"/>
  <c r="Y11" i="43" s="1"/>
  <c r="X11" i="43"/>
  <c r="W15" i="44"/>
  <c r="Y15" i="44" s="1"/>
  <c r="X15" i="44"/>
  <c r="X8" i="60"/>
  <c r="W8" i="60"/>
  <c r="Y8" i="60" s="1"/>
  <c r="W12" i="44"/>
  <c r="Y12" i="44" s="1"/>
  <c r="X12" i="44"/>
  <c r="AP10" i="84"/>
  <c r="W8" i="44"/>
  <c r="Y8" i="44" s="1"/>
  <c r="X8" i="44"/>
  <c r="W17" i="43"/>
  <c r="Y17" i="43" s="1"/>
  <c r="X17" i="43"/>
  <c r="W12" i="60"/>
  <c r="Y12" i="60" s="1"/>
  <c r="X12" i="60"/>
  <c r="X14" i="60"/>
  <c r="W14" i="60"/>
  <c r="Y14" i="60" s="1"/>
  <c r="W17" i="60"/>
  <c r="Y17" i="60" s="1"/>
  <c r="X17" i="60"/>
  <c r="X16" i="44"/>
  <c r="W16" i="44"/>
  <c r="Y16" i="44" s="1"/>
  <c r="X9" i="43"/>
  <c r="W9" i="43"/>
  <c r="Y9" i="43" s="1"/>
  <c r="X9" i="60"/>
  <c r="W9" i="60"/>
  <c r="Y9" i="60" s="1"/>
  <c r="W9" i="44"/>
  <c r="Y9" i="44" s="1"/>
  <c r="X9" i="44"/>
  <c r="AP13" i="84"/>
  <c r="AO23" i="84"/>
  <c r="J4" i="84"/>
  <c r="AO6" i="84"/>
  <c r="K22" i="84"/>
  <c r="C22" i="34" s="1"/>
  <c r="AK48" i="84" l="1"/>
  <c r="AL48" i="84"/>
  <c r="S48" i="84"/>
  <c r="C48" i="43" s="1"/>
  <c r="W48" i="43" s="1"/>
  <c r="Y48" i="43" s="1"/>
  <c r="AM48" i="84"/>
  <c r="AH48" i="84"/>
  <c r="AI48" i="84" s="1"/>
  <c r="C48" i="44" s="1"/>
  <c r="W48" i="44" s="1"/>
  <c r="Y48" i="44" s="1"/>
  <c r="Z48" i="84"/>
  <c r="AA48" i="84" s="1"/>
  <c r="C48" i="60" s="1"/>
  <c r="X48" i="60" s="1"/>
  <c r="K48" i="84"/>
  <c r="C48" i="34" s="1"/>
  <c r="AN48" i="84"/>
  <c r="AG41" i="84"/>
  <c r="V41" i="84"/>
  <c r="AD41" i="84"/>
  <c r="W41" i="84"/>
  <c r="AE41" i="84"/>
  <c r="X41" i="84"/>
  <c r="AF41" i="84"/>
  <c r="Y41" i="84"/>
  <c r="X48" i="44"/>
  <c r="C21" i="45"/>
  <c r="S21" i="45" s="1"/>
  <c r="C6" i="45"/>
  <c r="S6" i="45" s="1"/>
  <c r="M24" i="45"/>
  <c r="J24" i="45"/>
  <c r="G24" i="45"/>
  <c r="P24" i="45"/>
  <c r="C20" i="45"/>
  <c r="S20" i="45" s="1"/>
  <c r="C22" i="45"/>
  <c r="S22" i="45" s="1"/>
  <c r="C25" i="45"/>
  <c r="S25" i="45" s="1"/>
  <c r="P23" i="45"/>
  <c r="M23" i="45"/>
  <c r="G23" i="45"/>
  <c r="J23" i="45"/>
  <c r="G17" i="45"/>
  <c r="P17" i="45"/>
  <c r="J17" i="45"/>
  <c r="M17" i="45"/>
  <c r="G13" i="45"/>
  <c r="J13" i="45"/>
  <c r="P13" i="45"/>
  <c r="M13" i="45"/>
  <c r="G5" i="45"/>
  <c r="P5" i="45"/>
  <c r="M5" i="45"/>
  <c r="J5" i="45"/>
  <c r="G9" i="45"/>
  <c r="M9" i="45"/>
  <c r="J9" i="45"/>
  <c r="P9" i="45"/>
  <c r="M7" i="45"/>
  <c r="P7" i="45"/>
  <c r="J7" i="45"/>
  <c r="G7" i="45"/>
  <c r="M15" i="45"/>
  <c r="P15" i="45"/>
  <c r="J15" i="45"/>
  <c r="G15" i="45"/>
  <c r="J8" i="45"/>
  <c r="G8" i="45"/>
  <c r="P8" i="45"/>
  <c r="M8" i="45"/>
  <c r="M11" i="45"/>
  <c r="G11" i="45"/>
  <c r="P11" i="45"/>
  <c r="J11" i="45"/>
  <c r="P10" i="45"/>
  <c r="G10" i="45"/>
  <c r="M10" i="45"/>
  <c r="J10" i="45"/>
  <c r="X48" i="43"/>
  <c r="AM66" i="84"/>
  <c r="AM65" i="84"/>
  <c r="AM38" i="84"/>
  <c r="AH63" i="84"/>
  <c r="AI63" i="84" s="1"/>
  <c r="C63" i="44" s="1"/>
  <c r="X63" i="44" s="1"/>
  <c r="AH42" i="84"/>
  <c r="AI42" i="84" s="1"/>
  <c r="C42" i="44" s="1"/>
  <c r="AH43" i="84"/>
  <c r="AI43" i="84" s="1"/>
  <c r="C43" i="44" s="1"/>
  <c r="AH66" i="84"/>
  <c r="AI66" i="84" s="1"/>
  <c r="AH68" i="84"/>
  <c r="AI68" i="84" s="1"/>
  <c r="C68" i="44" s="1"/>
  <c r="X68" i="44" s="1"/>
  <c r="AH47" i="84"/>
  <c r="AN66" i="84"/>
  <c r="AN65" i="84"/>
  <c r="AN38" i="84"/>
  <c r="AN63" i="84"/>
  <c r="AH65" i="84"/>
  <c r="AI65" i="84" s="1"/>
  <c r="X14" i="43"/>
  <c r="X13" i="43"/>
  <c r="X16" i="43"/>
  <c r="AP11" i="84"/>
  <c r="X22" i="60"/>
  <c r="AH55" i="84"/>
  <c r="AI55" i="84" s="1"/>
  <c r="C55" i="44" s="1"/>
  <c r="W55" i="44" s="1"/>
  <c r="Y55" i="44" s="1"/>
  <c r="AH57" i="84"/>
  <c r="AI57" i="84" s="1"/>
  <c r="C57" i="44" s="1"/>
  <c r="AN58" i="84"/>
  <c r="AN57" i="84"/>
  <c r="AH52" i="84"/>
  <c r="AI52" i="84" s="1"/>
  <c r="C52" i="44" s="1"/>
  <c r="AH39" i="84"/>
  <c r="AI39" i="84" s="1"/>
  <c r="C39" i="44" s="1"/>
  <c r="AH40" i="84"/>
  <c r="AI40" i="84" s="1"/>
  <c r="C40" i="44" s="1"/>
  <c r="AH28" i="84"/>
  <c r="AI28" i="84" s="1"/>
  <c r="AH29" i="84"/>
  <c r="AI29" i="84" s="1"/>
  <c r="AP12" i="84"/>
  <c r="C12" i="34"/>
  <c r="C12" i="45" s="1"/>
  <c r="S12" i="45" s="1"/>
  <c r="AP14" i="84"/>
  <c r="C14" i="34"/>
  <c r="C14" i="45" s="1"/>
  <c r="S14" i="45" s="1"/>
  <c r="AP16" i="84"/>
  <c r="C16" i="34"/>
  <c r="C16" i="45" s="1"/>
  <c r="S16" i="45" s="1"/>
  <c r="X32" i="84"/>
  <c r="AN69" i="84"/>
  <c r="AI47" i="84"/>
  <c r="AH38" i="84"/>
  <c r="AI38" i="84" s="1"/>
  <c r="C38" i="44" s="1"/>
  <c r="W38" i="44" s="1"/>
  <c r="Y38" i="44" s="1"/>
  <c r="AN46" i="84"/>
  <c r="AM68" i="84"/>
  <c r="X50" i="84"/>
  <c r="Z28" i="84"/>
  <c r="AA28" i="84" s="1"/>
  <c r="Z34" i="84"/>
  <c r="AA34" i="84" s="1"/>
  <c r="Q50" i="84"/>
  <c r="AM40" i="84"/>
  <c r="AM43" i="84"/>
  <c r="AK57" i="84"/>
  <c r="AK63" i="84"/>
  <c r="R52" i="84"/>
  <c r="S52" i="84" s="1"/>
  <c r="AM56" i="84"/>
  <c r="AM29" i="84"/>
  <c r="J31" i="84"/>
  <c r="K31" i="84" s="1"/>
  <c r="AL31" i="84"/>
  <c r="Q53" i="84"/>
  <c r="N26" i="84"/>
  <c r="J36" i="84"/>
  <c r="AL36" i="84"/>
  <c r="AA18" i="84"/>
  <c r="J30" i="84"/>
  <c r="K30" i="84" s="1"/>
  <c r="AL30" i="84"/>
  <c r="AN54" i="84"/>
  <c r="I53" i="84"/>
  <c r="AF61" i="84"/>
  <c r="AN34" i="84"/>
  <c r="AN51" i="84"/>
  <c r="I50" i="84"/>
  <c r="AN47" i="84"/>
  <c r="AM59" i="84"/>
  <c r="AM44" i="84"/>
  <c r="AH27" i="84"/>
  <c r="AI27" i="84" s="1"/>
  <c r="AE26" i="84"/>
  <c r="V26" i="84"/>
  <c r="AM62" i="84"/>
  <c r="H61" i="84"/>
  <c r="N50" i="84"/>
  <c r="AM37" i="84"/>
  <c r="Y61" i="84"/>
  <c r="AN55" i="84"/>
  <c r="AM27" i="84"/>
  <c r="H26" i="84"/>
  <c r="AL39" i="84"/>
  <c r="J39" i="84"/>
  <c r="AN35" i="84"/>
  <c r="Q41" i="84"/>
  <c r="AH33" i="84"/>
  <c r="AE32" i="84"/>
  <c r="AN52" i="84"/>
  <c r="H32" i="84"/>
  <c r="AM33" i="84"/>
  <c r="Y53" i="84"/>
  <c r="N32" i="84"/>
  <c r="AE53" i="84"/>
  <c r="AH54" i="84"/>
  <c r="AM64" i="84"/>
  <c r="AM67" i="84"/>
  <c r="AM60" i="84"/>
  <c r="J28" i="84"/>
  <c r="K28" i="84" s="1"/>
  <c r="AL28" i="84"/>
  <c r="R46" i="84"/>
  <c r="S46" i="84" s="1"/>
  <c r="C46" i="43" s="1"/>
  <c r="Y32" i="84"/>
  <c r="R64" i="84"/>
  <c r="S64" i="84" s="1"/>
  <c r="C64" i="43" s="1"/>
  <c r="R67" i="84"/>
  <c r="S67" i="84" s="1"/>
  <c r="C67" i="43" s="1"/>
  <c r="AK66" i="84"/>
  <c r="AK65" i="84"/>
  <c r="AK58" i="84"/>
  <c r="AM30" i="84"/>
  <c r="R37" i="84"/>
  <c r="S37" i="84" s="1"/>
  <c r="C37" i="43" s="1"/>
  <c r="W37" i="43" s="1"/>
  <c r="Y37" i="43" s="1"/>
  <c r="R36" i="84"/>
  <c r="S36" i="84" s="1"/>
  <c r="O50" i="84"/>
  <c r="R51" i="84"/>
  <c r="R57" i="84"/>
  <c r="S57" i="84" s="1"/>
  <c r="C57" i="43" s="1"/>
  <c r="X57" i="43" s="1"/>
  <c r="R59" i="84"/>
  <c r="S59" i="84" s="1"/>
  <c r="C59" i="43" s="1"/>
  <c r="W59" i="43" s="1"/>
  <c r="Y59" i="43" s="1"/>
  <c r="AN37" i="84"/>
  <c r="J38" i="84"/>
  <c r="AL38" i="84"/>
  <c r="AK52" i="84"/>
  <c r="AK46" i="84"/>
  <c r="R40" i="84"/>
  <c r="S40" i="84" s="1"/>
  <c r="C40" i="43" s="1"/>
  <c r="R55" i="84"/>
  <c r="S55" i="84" s="1"/>
  <c r="C55" i="43" s="1"/>
  <c r="W55" i="43" s="1"/>
  <c r="Y55" i="43" s="1"/>
  <c r="I32" i="84"/>
  <c r="AN33" i="84"/>
  <c r="V61" i="84"/>
  <c r="R43" i="84"/>
  <c r="S43" i="84" s="1"/>
  <c r="C43" i="43" s="1"/>
  <c r="R45" i="84"/>
  <c r="S45" i="84" s="1"/>
  <c r="C45" i="43" s="1"/>
  <c r="R69" i="84"/>
  <c r="S69" i="84" s="1"/>
  <c r="C69" i="43" s="1"/>
  <c r="R65" i="84"/>
  <c r="S65" i="84" s="1"/>
  <c r="C65" i="43" s="1"/>
  <c r="V53" i="84"/>
  <c r="AK69" i="84"/>
  <c r="AK55" i="84"/>
  <c r="AK54" i="84"/>
  <c r="F53" i="84"/>
  <c r="I26" i="84"/>
  <c r="AN27" i="84"/>
  <c r="O32" i="84"/>
  <c r="R33" i="84"/>
  <c r="R34" i="84"/>
  <c r="S34" i="84" s="1"/>
  <c r="AG61" i="84"/>
  <c r="R58" i="84"/>
  <c r="S58" i="84" s="1"/>
  <c r="R56" i="84"/>
  <c r="S56" i="84" s="1"/>
  <c r="AL34" i="84"/>
  <c r="J34" i="84"/>
  <c r="AM39" i="84"/>
  <c r="F50" i="84"/>
  <c r="AK51" i="84"/>
  <c r="AK47" i="84"/>
  <c r="AN59" i="84"/>
  <c r="J35" i="84"/>
  <c r="AL35" i="84"/>
  <c r="AN44" i="84"/>
  <c r="N41" i="84"/>
  <c r="AF26" i="84"/>
  <c r="W26" i="84"/>
  <c r="Z27" i="84"/>
  <c r="AA27" i="84" s="1"/>
  <c r="AF32" i="84"/>
  <c r="AN62" i="84"/>
  <c r="I61" i="84"/>
  <c r="AN68" i="84"/>
  <c r="AN56" i="84"/>
  <c r="AN29" i="84"/>
  <c r="AM31" i="84"/>
  <c r="N53" i="84"/>
  <c r="P26" i="84"/>
  <c r="AN40" i="84"/>
  <c r="AM36" i="84"/>
  <c r="I41" i="84"/>
  <c r="AN42" i="84"/>
  <c r="AN45" i="84"/>
  <c r="AF53" i="84"/>
  <c r="Q61" i="84"/>
  <c r="Y50" i="84"/>
  <c r="AN64" i="84"/>
  <c r="AN67" i="84"/>
  <c r="AN60" i="84"/>
  <c r="AM28" i="84"/>
  <c r="AN43" i="84"/>
  <c r="AM42" i="84"/>
  <c r="H41" i="84"/>
  <c r="AM45" i="84"/>
  <c r="N61" i="84"/>
  <c r="Z33" i="84"/>
  <c r="W32" i="84"/>
  <c r="Z35" i="84"/>
  <c r="AA35" i="84" s="1"/>
  <c r="C35" i="60" s="1"/>
  <c r="W35" i="60" s="1"/>
  <c r="Y35" i="60" s="1"/>
  <c r="Z55" i="84"/>
  <c r="AA55" i="84" s="1"/>
  <c r="C55" i="60" s="1"/>
  <c r="W55" i="60" s="1"/>
  <c r="Y55" i="60" s="1"/>
  <c r="Z56" i="84"/>
  <c r="AA56" i="84" s="1"/>
  <c r="Z30" i="84"/>
  <c r="Z52" i="84"/>
  <c r="AA52" i="84" s="1"/>
  <c r="C52" i="60" s="1"/>
  <c r="W52" i="60" s="1"/>
  <c r="Y52" i="60" s="1"/>
  <c r="J66" i="84"/>
  <c r="AL66" i="84"/>
  <c r="AL65" i="84"/>
  <c r="J65" i="84"/>
  <c r="AL58" i="84"/>
  <c r="J58" i="84"/>
  <c r="J57" i="84"/>
  <c r="AL57" i="84"/>
  <c r="AK30" i="84"/>
  <c r="Z45" i="84"/>
  <c r="R29" i="84"/>
  <c r="S29" i="84" s="1"/>
  <c r="AK37" i="84"/>
  <c r="AK38" i="84"/>
  <c r="AL52" i="84"/>
  <c r="J52" i="84"/>
  <c r="Z67" i="84"/>
  <c r="AA67" i="84" s="1"/>
  <c r="C67" i="60" s="1"/>
  <c r="Z68" i="84"/>
  <c r="AA68" i="84" s="1"/>
  <c r="C68" i="60" s="1"/>
  <c r="J46" i="84"/>
  <c r="AL46" i="84"/>
  <c r="Z40" i="84"/>
  <c r="AA40" i="84" s="1"/>
  <c r="C40" i="60" s="1"/>
  <c r="W40" i="60" s="1"/>
  <c r="Y40" i="60" s="1"/>
  <c r="F32" i="84"/>
  <c r="AK33" i="84"/>
  <c r="W61" i="84"/>
  <c r="Z62" i="84"/>
  <c r="Z38" i="84"/>
  <c r="AA38" i="84" s="1"/>
  <c r="C38" i="60" s="1"/>
  <c r="Z39" i="84"/>
  <c r="AA39" i="84" s="1"/>
  <c r="Z54" i="84"/>
  <c r="W53" i="84"/>
  <c r="Z60" i="84"/>
  <c r="AA60" i="84" s="1"/>
  <c r="Z31" i="84"/>
  <c r="AL69" i="84"/>
  <c r="J69" i="84"/>
  <c r="J63" i="84"/>
  <c r="AL63" i="84"/>
  <c r="J55" i="84"/>
  <c r="AL55" i="84"/>
  <c r="AL54" i="84"/>
  <c r="G53" i="84"/>
  <c r="J54" i="84"/>
  <c r="F26" i="84"/>
  <c r="AK27" i="84"/>
  <c r="P32" i="84"/>
  <c r="AD61" i="84"/>
  <c r="Z47" i="84"/>
  <c r="AA47" i="84" s="1"/>
  <c r="C47" i="60" s="1"/>
  <c r="Z43" i="84"/>
  <c r="AA43" i="84" s="1"/>
  <c r="C43" i="60" s="1"/>
  <c r="R28" i="84"/>
  <c r="AK34" i="84"/>
  <c r="AK39" i="84"/>
  <c r="AL51" i="84"/>
  <c r="J51" i="84"/>
  <c r="G50" i="84"/>
  <c r="Z66" i="84"/>
  <c r="AA66" i="84" s="1"/>
  <c r="C66" i="60" s="1"/>
  <c r="Z65" i="84"/>
  <c r="AA65" i="84" s="1"/>
  <c r="C65" i="60" s="1"/>
  <c r="AL47" i="84"/>
  <c r="J47" i="84"/>
  <c r="R47" i="84"/>
  <c r="S47" i="84" s="1"/>
  <c r="C47" i="43" s="1"/>
  <c r="AK59" i="84"/>
  <c r="R35" i="84"/>
  <c r="S35" i="84" s="1"/>
  <c r="R31" i="84"/>
  <c r="S31" i="84" s="1"/>
  <c r="AM35" i="84"/>
  <c r="AK44" i="84"/>
  <c r="R42" i="84"/>
  <c r="O41" i="84"/>
  <c r="R44" i="84"/>
  <c r="S44" i="84" s="1"/>
  <c r="C44" i="43" s="1"/>
  <c r="AG26" i="84"/>
  <c r="R66" i="84"/>
  <c r="S66" i="84" s="1"/>
  <c r="C66" i="43" s="1"/>
  <c r="R68" i="84"/>
  <c r="S68" i="84" s="1"/>
  <c r="C68" i="43" s="1"/>
  <c r="X26" i="84"/>
  <c r="AG32" i="84"/>
  <c r="F61" i="84"/>
  <c r="AK62" i="84"/>
  <c r="AK68" i="84"/>
  <c r="AK56" i="84"/>
  <c r="J29" i="84"/>
  <c r="K29" i="84" s="1"/>
  <c r="AL29" i="84"/>
  <c r="AN31" i="84"/>
  <c r="R38" i="84"/>
  <c r="S38" i="84" s="1"/>
  <c r="R39" i="84"/>
  <c r="S39" i="84" s="1"/>
  <c r="O53" i="84"/>
  <c r="R54" i="84"/>
  <c r="R60" i="84"/>
  <c r="S60" i="84" s="1"/>
  <c r="Q26" i="84"/>
  <c r="AK40" i="84"/>
  <c r="AN36" i="84"/>
  <c r="AK42" i="84"/>
  <c r="F41" i="84"/>
  <c r="AK45" i="84"/>
  <c r="AG53" i="84"/>
  <c r="O61" i="84"/>
  <c r="R62" i="84"/>
  <c r="R63" i="84"/>
  <c r="S63" i="84" s="1"/>
  <c r="C63" i="43" s="1"/>
  <c r="W63" i="43" s="1"/>
  <c r="Y63" i="43" s="1"/>
  <c r="V50" i="84"/>
  <c r="AK64" i="84"/>
  <c r="AK67" i="84"/>
  <c r="AK60" i="84"/>
  <c r="AN28" i="84"/>
  <c r="AK43" i="84"/>
  <c r="AO19" i="84"/>
  <c r="AH59" i="84"/>
  <c r="AI59" i="84" s="1"/>
  <c r="C59" i="44" s="1"/>
  <c r="AH56" i="84"/>
  <c r="AI56" i="84" s="1"/>
  <c r="AH31" i="84"/>
  <c r="AI31" i="84" s="1"/>
  <c r="V32" i="84"/>
  <c r="AH51" i="84"/>
  <c r="AE50" i="84"/>
  <c r="AH46" i="84"/>
  <c r="AI46" i="84" s="1"/>
  <c r="C46" i="44" s="1"/>
  <c r="AH37" i="84"/>
  <c r="AI37" i="84" s="1"/>
  <c r="C37" i="44" s="1"/>
  <c r="AH36" i="84"/>
  <c r="AI36" i="84" s="1"/>
  <c r="AM58" i="84"/>
  <c r="AM57" i="84"/>
  <c r="AN30" i="84"/>
  <c r="AH67" i="84"/>
  <c r="AI67" i="84" s="1"/>
  <c r="C67" i="44" s="1"/>
  <c r="AH64" i="84"/>
  <c r="AI64" i="84" s="1"/>
  <c r="C64" i="44" s="1"/>
  <c r="AL37" i="84"/>
  <c r="J37" i="84"/>
  <c r="AM52" i="84"/>
  <c r="AM46" i="84"/>
  <c r="G32" i="84"/>
  <c r="AL33" i="84"/>
  <c r="J33" i="84"/>
  <c r="X61" i="84"/>
  <c r="AH58" i="84"/>
  <c r="AI58" i="84" s="1"/>
  <c r="C58" i="44" s="1"/>
  <c r="X58" i="44" s="1"/>
  <c r="AH60" i="84"/>
  <c r="AI60" i="84" s="1"/>
  <c r="AH30" i="84"/>
  <c r="AI30" i="84" s="1"/>
  <c r="AH45" i="84"/>
  <c r="AI45" i="84" s="1"/>
  <c r="C45" i="44" s="1"/>
  <c r="AH44" i="84"/>
  <c r="AI44" i="84" s="1"/>
  <c r="C44" i="44" s="1"/>
  <c r="X53" i="84"/>
  <c r="AH34" i="84"/>
  <c r="AI34" i="84" s="1"/>
  <c r="AH35" i="84"/>
  <c r="AI35" i="84" s="1"/>
  <c r="AM69" i="84"/>
  <c r="AM63" i="84"/>
  <c r="AM55" i="84"/>
  <c r="H53" i="84"/>
  <c r="AM54" i="84"/>
  <c r="G26" i="84"/>
  <c r="AL27" i="84"/>
  <c r="J27" i="84"/>
  <c r="K27" i="84" s="1"/>
  <c r="Q32" i="84"/>
  <c r="AH69" i="84"/>
  <c r="AI69" i="84" s="1"/>
  <c r="C69" i="44" s="1"/>
  <c r="AH62" i="84"/>
  <c r="AE61" i="84"/>
  <c r="AM34" i="84"/>
  <c r="AN39" i="84"/>
  <c r="H50" i="84"/>
  <c r="AM51" i="84"/>
  <c r="AM47" i="84"/>
  <c r="J59" i="84"/>
  <c r="AL59" i="84"/>
  <c r="AK35" i="84"/>
  <c r="J44" i="84"/>
  <c r="AL44" i="84"/>
  <c r="P41" i="84"/>
  <c r="AD26" i="84"/>
  <c r="Z37" i="84"/>
  <c r="AA37" i="84" s="1"/>
  <c r="C37" i="60" s="1"/>
  <c r="Z36" i="84"/>
  <c r="AA36" i="84" s="1"/>
  <c r="C36" i="60" s="1"/>
  <c r="X36" i="60" s="1"/>
  <c r="Z59" i="84"/>
  <c r="AA59" i="84" s="1"/>
  <c r="Y26" i="84"/>
  <c r="AD32" i="84"/>
  <c r="AL62" i="84"/>
  <c r="J62" i="84"/>
  <c r="G61" i="84"/>
  <c r="AL68" i="84"/>
  <c r="J68" i="84"/>
  <c r="AL56" i="84"/>
  <c r="J56" i="84"/>
  <c r="AK29" i="84"/>
  <c r="AK31" i="84"/>
  <c r="Z44" i="84"/>
  <c r="AA44" i="84" s="1"/>
  <c r="C44" i="60" s="1"/>
  <c r="Z42" i="84"/>
  <c r="P53" i="84"/>
  <c r="R27" i="84"/>
  <c r="S27" i="84" s="1"/>
  <c r="O26" i="84"/>
  <c r="J40" i="84"/>
  <c r="AL40" i="84"/>
  <c r="AK36" i="84"/>
  <c r="Z69" i="84"/>
  <c r="AA69" i="84" s="1"/>
  <c r="C69" i="60" s="1"/>
  <c r="Z63" i="84"/>
  <c r="AA63" i="84" s="1"/>
  <c r="C63" i="60" s="1"/>
  <c r="G41" i="84"/>
  <c r="AL42" i="84"/>
  <c r="J42" i="84"/>
  <c r="AL45" i="84"/>
  <c r="J45" i="84"/>
  <c r="K45" i="84" s="1"/>
  <c r="C45" i="34" s="1"/>
  <c r="AD53" i="84"/>
  <c r="P61" i="84"/>
  <c r="Z57" i="84"/>
  <c r="AA57" i="84" s="1"/>
  <c r="Z58" i="84"/>
  <c r="AA58" i="84" s="1"/>
  <c r="Z29" i="84"/>
  <c r="AA29" i="84" s="1"/>
  <c r="Z51" i="84"/>
  <c r="W50" i="84"/>
  <c r="J64" i="84"/>
  <c r="AL64" i="84"/>
  <c r="AL67" i="84"/>
  <c r="J67" i="84"/>
  <c r="J60" i="84"/>
  <c r="AL60" i="84"/>
  <c r="AK28" i="84"/>
  <c r="Z46" i="84"/>
  <c r="AA46" i="84" s="1"/>
  <c r="C46" i="60" s="1"/>
  <c r="R30" i="84"/>
  <c r="Z64" i="84"/>
  <c r="AA64" i="84" s="1"/>
  <c r="C64" i="60" s="1"/>
  <c r="AL43" i="84"/>
  <c r="J43" i="84"/>
  <c r="AO22" i="84"/>
  <c r="AP24" i="84"/>
  <c r="AO21" i="84"/>
  <c r="Z18" i="84"/>
  <c r="K19" i="84"/>
  <c r="K18" i="84" s="1"/>
  <c r="AH18" i="84"/>
  <c r="AO20" i="84"/>
  <c r="J18" i="84"/>
  <c r="AL18" i="84"/>
  <c r="AN18" i="84"/>
  <c r="S18" i="84"/>
  <c r="AM18" i="84"/>
  <c r="AP21" i="84"/>
  <c r="AP8" i="84"/>
  <c r="AK18" i="84"/>
  <c r="R18" i="84"/>
  <c r="AO25" i="84"/>
  <c r="AI18" i="84"/>
  <c r="AP17" i="84"/>
  <c r="AI4" i="84"/>
  <c r="AP7" i="84"/>
  <c r="AO4" i="84"/>
  <c r="K4" i="84"/>
  <c r="AP6" i="84"/>
  <c r="S4" i="84"/>
  <c r="W22" i="44"/>
  <c r="Y22" i="44" s="1"/>
  <c r="X22" i="44"/>
  <c r="X22" i="43"/>
  <c r="W22" i="43"/>
  <c r="Y22" i="43" s="1"/>
  <c r="W25" i="44"/>
  <c r="Y25" i="44" s="1"/>
  <c r="X25" i="44"/>
  <c r="X20" i="60"/>
  <c r="W20" i="60"/>
  <c r="Y20" i="60" s="1"/>
  <c r="W25" i="60"/>
  <c r="Y25" i="60" s="1"/>
  <c r="X25" i="60"/>
  <c r="X23" i="44"/>
  <c r="W23" i="44"/>
  <c r="Y23" i="44" s="1"/>
  <c r="W24" i="44"/>
  <c r="Y24" i="44" s="1"/>
  <c r="X24" i="44"/>
  <c r="W24" i="60"/>
  <c r="Y24" i="60" s="1"/>
  <c r="X24" i="60"/>
  <c r="W23" i="60"/>
  <c r="Y23" i="60" s="1"/>
  <c r="X23" i="60"/>
  <c r="W20" i="44"/>
  <c r="Y20" i="44" s="1"/>
  <c r="X20" i="44"/>
  <c r="W25" i="43"/>
  <c r="Y25" i="43" s="1"/>
  <c r="X25" i="43"/>
  <c r="AP20" i="84"/>
  <c r="W21" i="44"/>
  <c r="Y21" i="44" s="1"/>
  <c r="X21" i="44"/>
  <c r="AP25" i="84"/>
  <c r="W21" i="60"/>
  <c r="Y21" i="60" s="1"/>
  <c r="X21" i="60"/>
  <c r="W20" i="43"/>
  <c r="Y20" i="43" s="1"/>
  <c r="X20" i="43"/>
  <c r="AP22" i="84"/>
  <c r="W21" i="43"/>
  <c r="Y21" i="43" s="1"/>
  <c r="X21" i="43"/>
  <c r="X24" i="43"/>
  <c r="W24" i="43"/>
  <c r="Y24" i="43" s="1"/>
  <c r="C48" i="45" l="1"/>
  <c r="S48" i="45" s="1"/>
  <c r="AO48" i="84"/>
  <c r="AP48" i="84"/>
  <c r="W48" i="60"/>
  <c r="Y48" i="60" s="1"/>
  <c r="S28" i="84"/>
  <c r="C28" i="43" s="1"/>
  <c r="C31" i="43"/>
  <c r="X31" i="43" s="1"/>
  <c r="C29" i="43"/>
  <c r="W29" i="43" s="1"/>
  <c r="Y29" i="43" s="1"/>
  <c r="S30" i="84"/>
  <c r="C30" i="43" s="1"/>
  <c r="P6" i="45"/>
  <c r="G21" i="45"/>
  <c r="X35" i="60"/>
  <c r="X40" i="60"/>
  <c r="M21" i="45"/>
  <c r="X55" i="43"/>
  <c r="P21" i="45"/>
  <c r="J21" i="45"/>
  <c r="P48" i="45"/>
  <c r="G48" i="45"/>
  <c r="J48" i="45"/>
  <c r="X52" i="60"/>
  <c r="G6" i="45"/>
  <c r="J6" i="45"/>
  <c r="M6" i="45"/>
  <c r="W58" i="44"/>
  <c r="Y58" i="44" s="1"/>
  <c r="X38" i="44"/>
  <c r="X49" i="84"/>
  <c r="X70" i="84" s="1"/>
  <c r="E34" i="2" s="1"/>
  <c r="M20" i="45"/>
  <c r="P20" i="45"/>
  <c r="J20" i="45"/>
  <c r="G20" i="45"/>
  <c r="G22" i="45"/>
  <c r="M22" i="45"/>
  <c r="J22" i="45"/>
  <c r="P22" i="45"/>
  <c r="J25" i="45"/>
  <c r="G25" i="45"/>
  <c r="P25" i="45"/>
  <c r="M25" i="45"/>
  <c r="P14" i="45"/>
  <c r="J14" i="45"/>
  <c r="M14" i="45"/>
  <c r="G14" i="45"/>
  <c r="J16" i="45"/>
  <c r="M16" i="45"/>
  <c r="G16" i="45"/>
  <c r="P16" i="45"/>
  <c r="J12" i="45"/>
  <c r="P12" i="45"/>
  <c r="G12" i="45"/>
  <c r="M12" i="45"/>
  <c r="AM50" i="84"/>
  <c r="AP28" i="84"/>
  <c r="W57" i="43"/>
  <c r="Y57" i="43" s="1"/>
  <c r="AA30" i="84"/>
  <c r="C28" i="44"/>
  <c r="W28" i="44" s="1"/>
  <c r="Y28" i="44" s="1"/>
  <c r="C28" i="60"/>
  <c r="W28" i="60" s="1"/>
  <c r="Y28" i="60" s="1"/>
  <c r="AP29" i="84"/>
  <c r="C31" i="44"/>
  <c r="W31" i="44" s="1"/>
  <c r="Y31" i="44" s="1"/>
  <c r="C29" i="44"/>
  <c r="X29" i="44" s="1"/>
  <c r="C29" i="60"/>
  <c r="X29" i="60" s="1"/>
  <c r="C30" i="44"/>
  <c r="X30" i="44" s="1"/>
  <c r="AA31" i="84"/>
  <c r="AP31" i="84" s="1"/>
  <c r="X59" i="43"/>
  <c r="X57" i="44"/>
  <c r="W57" i="44"/>
  <c r="Y57" i="44" s="1"/>
  <c r="W52" i="44"/>
  <c r="Y52" i="44" s="1"/>
  <c r="X52" i="44"/>
  <c r="W37" i="60"/>
  <c r="Y37" i="60" s="1"/>
  <c r="R50" i="84"/>
  <c r="N49" i="84"/>
  <c r="N70" i="84" s="1"/>
  <c r="X55" i="60"/>
  <c r="W68" i="44"/>
  <c r="Y68" i="44" s="1"/>
  <c r="W63" i="44"/>
  <c r="Y63" i="44" s="1"/>
  <c r="X37" i="43"/>
  <c r="X39" i="44"/>
  <c r="W39" i="44"/>
  <c r="Y39" i="44" s="1"/>
  <c r="X55" i="44"/>
  <c r="G49" i="84"/>
  <c r="G70" i="84" s="1"/>
  <c r="C33" i="2" s="1"/>
  <c r="I49" i="84"/>
  <c r="I70" i="84" s="1"/>
  <c r="C35" i="2" s="1"/>
  <c r="X40" i="44"/>
  <c r="W40" i="44"/>
  <c r="Y40" i="44" s="1"/>
  <c r="AP19" i="84"/>
  <c r="AP18" i="84" s="1"/>
  <c r="C19" i="34"/>
  <c r="C19" i="45" s="1"/>
  <c r="S19" i="45" s="1"/>
  <c r="AF49" i="84"/>
  <c r="AF70" i="84" s="1"/>
  <c r="F34" i="2" s="1"/>
  <c r="AE49" i="84"/>
  <c r="AE70" i="84" s="1"/>
  <c r="F33" i="2" s="1"/>
  <c r="V49" i="84"/>
  <c r="V70" i="84" s="1"/>
  <c r="Y49" i="84"/>
  <c r="Y70" i="84" s="1"/>
  <c r="E35" i="2" s="1"/>
  <c r="X63" i="43"/>
  <c r="O49" i="84"/>
  <c r="O70" i="84" s="1"/>
  <c r="D33" i="2" s="1"/>
  <c r="C60" i="44"/>
  <c r="X60" i="44" s="1"/>
  <c r="C47" i="44"/>
  <c r="W47" i="44" s="1"/>
  <c r="Y47" i="44" s="1"/>
  <c r="AD49" i="84"/>
  <c r="AD70" i="84" s="1"/>
  <c r="C35" i="44"/>
  <c r="X35" i="44" s="1"/>
  <c r="C56" i="44"/>
  <c r="W56" i="44" s="1"/>
  <c r="Y56" i="44" s="1"/>
  <c r="C66" i="44"/>
  <c r="X66" i="44" s="1"/>
  <c r="C34" i="44"/>
  <c r="W34" i="44" s="1"/>
  <c r="Y34" i="44" s="1"/>
  <c r="C36" i="44"/>
  <c r="X36" i="44" s="1"/>
  <c r="AG49" i="84"/>
  <c r="AG70" i="84" s="1"/>
  <c r="F35" i="2" s="1"/>
  <c r="C65" i="44"/>
  <c r="X65" i="44" s="1"/>
  <c r="C34" i="60"/>
  <c r="W34" i="60" s="1"/>
  <c r="Y34" i="60" s="1"/>
  <c r="AO46" i="84"/>
  <c r="C60" i="60"/>
  <c r="X60" i="60" s="1"/>
  <c r="C57" i="60"/>
  <c r="X57" i="60" s="1"/>
  <c r="C39" i="60"/>
  <c r="X39" i="60" s="1"/>
  <c r="C59" i="60"/>
  <c r="X59" i="60" s="1"/>
  <c r="C56" i="60"/>
  <c r="W56" i="60" s="1"/>
  <c r="Y56" i="60" s="1"/>
  <c r="W36" i="60"/>
  <c r="Y36" i="60" s="1"/>
  <c r="C58" i="60"/>
  <c r="X58" i="60" s="1"/>
  <c r="C52" i="43"/>
  <c r="W52" i="43" s="1"/>
  <c r="Y52" i="43" s="1"/>
  <c r="AK41" i="84"/>
  <c r="C60" i="43"/>
  <c r="W60" i="43" s="1"/>
  <c r="Y60" i="43" s="1"/>
  <c r="C38" i="43"/>
  <c r="W38" i="43" s="1"/>
  <c r="Y38" i="43" s="1"/>
  <c r="C34" i="43"/>
  <c r="C36" i="43"/>
  <c r="W36" i="43" s="1"/>
  <c r="Y36" i="43" s="1"/>
  <c r="AN61" i="84"/>
  <c r="C56" i="43"/>
  <c r="W56" i="43" s="1"/>
  <c r="Y56" i="43" s="1"/>
  <c r="S51" i="84"/>
  <c r="C58" i="43"/>
  <c r="W58" i="43" s="1"/>
  <c r="Y58" i="43" s="1"/>
  <c r="Q49" i="84"/>
  <c r="Q70" i="84" s="1"/>
  <c r="D35" i="2" s="1"/>
  <c r="C39" i="43"/>
  <c r="W39" i="43" s="1"/>
  <c r="Y39" i="43" s="1"/>
  <c r="C35" i="43"/>
  <c r="X35" i="43" s="1"/>
  <c r="W64" i="44"/>
  <c r="Y64" i="44" s="1"/>
  <c r="X64" i="44"/>
  <c r="W43" i="60"/>
  <c r="Y43" i="60" s="1"/>
  <c r="X43" i="60"/>
  <c r="K42" i="84"/>
  <c r="C42" i="34" s="1"/>
  <c r="J41" i="84"/>
  <c r="AO42" i="84"/>
  <c r="W44" i="60"/>
  <c r="Y44" i="60" s="1"/>
  <c r="X44" i="60"/>
  <c r="K62" i="84"/>
  <c r="C62" i="34" s="1"/>
  <c r="J61" i="84"/>
  <c r="AO62" i="84"/>
  <c r="W69" i="60"/>
  <c r="Y69" i="60" s="1"/>
  <c r="X69" i="60"/>
  <c r="C27" i="34"/>
  <c r="J26" i="84"/>
  <c r="AO27" i="84"/>
  <c r="W66" i="43"/>
  <c r="Y66" i="43" s="1"/>
  <c r="X66" i="43"/>
  <c r="S42" i="84"/>
  <c r="C42" i="43" s="1"/>
  <c r="R41" i="84"/>
  <c r="K51" i="84"/>
  <c r="C51" i="34" s="1"/>
  <c r="AO51" i="84"/>
  <c r="J50" i="84"/>
  <c r="AO45" i="84"/>
  <c r="AA45" i="84"/>
  <c r="C45" i="60" s="1"/>
  <c r="C45" i="45" s="1"/>
  <c r="S45" i="45" s="1"/>
  <c r="K57" i="84"/>
  <c r="C57" i="34" s="1"/>
  <c r="AO57" i="84"/>
  <c r="K35" i="84"/>
  <c r="C35" i="34" s="1"/>
  <c r="AO35" i="84"/>
  <c r="W45" i="43"/>
  <c r="Y45" i="43" s="1"/>
  <c r="K46" i="84"/>
  <c r="C46" i="34" s="1"/>
  <c r="C46" i="45" s="1"/>
  <c r="S46" i="45" s="1"/>
  <c r="AI41" i="84"/>
  <c r="H49" i="84"/>
  <c r="H70" i="84" s="1"/>
  <c r="C34" i="2" s="1"/>
  <c r="K64" i="84"/>
  <c r="C64" i="34" s="1"/>
  <c r="C64" i="45" s="1"/>
  <c r="S64" i="45" s="1"/>
  <c r="AO64" i="84"/>
  <c r="AL41" i="84"/>
  <c r="C27" i="43"/>
  <c r="R26" i="84"/>
  <c r="K68" i="84"/>
  <c r="C68" i="34" s="1"/>
  <c r="C68" i="45" s="1"/>
  <c r="S68" i="45" s="1"/>
  <c r="AO68" i="84"/>
  <c r="W67" i="44"/>
  <c r="Y67" i="44" s="1"/>
  <c r="X67" i="44"/>
  <c r="AK26" i="84"/>
  <c r="AN41" i="84"/>
  <c r="W43" i="43"/>
  <c r="Y43" i="43" s="1"/>
  <c r="K43" i="84"/>
  <c r="C43" i="34" s="1"/>
  <c r="C43" i="45" s="1"/>
  <c r="S43" i="45" s="1"/>
  <c r="AO43" i="84"/>
  <c r="K67" i="84"/>
  <c r="C67" i="34" s="1"/>
  <c r="C67" i="45" s="1"/>
  <c r="S67" i="45" s="1"/>
  <c r="AO67" i="84"/>
  <c r="AO59" i="84"/>
  <c r="K59" i="84"/>
  <c r="C59" i="34" s="1"/>
  <c r="C59" i="45" s="1"/>
  <c r="S59" i="45" s="1"/>
  <c r="X69" i="44"/>
  <c r="W69" i="44"/>
  <c r="Y69" i="44" s="1"/>
  <c r="AL32" i="84"/>
  <c r="AO37" i="84"/>
  <c r="K37" i="84"/>
  <c r="C37" i="34" s="1"/>
  <c r="C37" i="45" s="1"/>
  <c r="S37" i="45" s="1"/>
  <c r="W37" i="44"/>
  <c r="Y37" i="44" s="1"/>
  <c r="X37" i="44"/>
  <c r="S54" i="84"/>
  <c r="C54" i="43" s="1"/>
  <c r="R53" i="84"/>
  <c r="W44" i="43"/>
  <c r="Y44" i="43" s="1"/>
  <c r="X47" i="43"/>
  <c r="W47" i="43"/>
  <c r="Y47" i="43" s="1"/>
  <c r="W66" i="60"/>
  <c r="Y66" i="60" s="1"/>
  <c r="X66" i="60"/>
  <c r="W47" i="60"/>
  <c r="Y47" i="60" s="1"/>
  <c r="F49" i="84"/>
  <c r="F70" i="84" s="1"/>
  <c r="K69" i="84"/>
  <c r="C69" i="34" s="1"/>
  <c r="C69" i="45" s="1"/>
  <c r="S69" i="45" s="1"/>
  <c r="AO69" i="84"/>
  <c r="AA62" i="84"/>
  <c r="C62" i="60" s="1"/>
  <c r="Z61" i="84"/>
  <c r="W67" i="60"/>
  <c r="Y67" i="60" s="1"/>
  <c r="X67" i="60"/>
  <c r="AO66" i="84"/>
  <c r="AM41" i="84"/>
  <c r="Z26" i="84"/>
  <c r="C27" i="60"/>
  <c r="K34" i="84"/>
  <c r="C34" i="34" s="1"/>
  <c r="AO34" i="84"/>
  <c r="AK53" i="84"/>
  <c r="W65" i="43"/>
  <c r="Y65" i="43" s="1"/>
  <c r="W40" i="43"/>
  <c r="Y40" i="43" s="1"/>
  <c r="K66" i="84"/>
  <c r="C66" i="34" s="1"/>
  <c r="K39" i="84"/>
  <c r="C39" i="34" s="1"/>
  <c r="AO39" i="84"/>
  <c r="AM61" i="84"/>
  <c r="AN50" i="84"/>
  <c r="AN53" i="84"/>
  <c r="W64" i="60"/>
  <c r="Y64" i="60" s="1"/>
  <c r="X64" i="60"/>
  <c r="X45" i="44"/>
  <c r="W45" i="44"/>
  <c r="Y45" i="44" s="1"/>
  <c r="X46" i="60"/>
  <c r="W46" i="60"/>
  <c r="Y46" i="60" s="1"/>
  <c r="S62" i="84"/>
  <c r="C62" i="43" s="1"/>
  <c r="R61" i="84"/>
  <c r="AO29" i="84"/>
  <c r="AK32" i="84"/>
  <c r="W67" i="43"/>
  <c r="Y67" i="43" s="1"/>
  <c r="C30" i="34"/>
  <c r="AO30" i="84"/>
  <c r="C29" i="34"/>
  <c r="AO60" i="84"/>
  <c r="K60" i="84"/>
  <c r="C60" i="34" s="1"/>
  <c r="AL61" i="84"/>
  <c r="AI62" i="84"/>
  <c r="C62" i="44" s="1"/>
  <c r="AH61" i="84"/>
  <c r="AL26" i="84"/>
  <c r="AO33" i="84"/>
  <c r="J32" i="84"/>
  <c r="K33" i="84"/>
  <c r="C33" i="34" s="1"/>
  <c r="AI51" i="84"/>
  <c r="C51" i="44" s="1"/>
  <c r="AH50" i="84"/>
  <c r="X65" i="60"/>
  <c r="W65" i="60"/>
  <c r="Y65" i="60" s="1"/>
  <c r="AL50" i="84"/>
  <c r="AL53" i="84"/>
  <c r="K63" i="84"/>
  <c r="C63" i="34" s="1"/>
  <c r="C63" i="45" s="1"/>
  <c r="S63" i="45" s="1"/>
  <c r="AO63" i="84"/>
  <c r="W38" i="60"/>
  <c r="Y38" i="60" s="1"/>
  <c r="X38" i="60"/>
  <c r="W68" i="60"/>
  <c r="Y68" i="60" s="1"/>
  <c r="X68" i="60"/>
  <c r="AO58" i="84"/>
  <c r="K58" i="84"/>
  <c r="C58" i="34" s="1"/>
  <c r="AA33" i="84"/>
  <c r="C33" i="60" s="1"/>
  <c r="Z32" i="84"/>
  <c r="P49" i="84"/>
  <c r="P70" i="84" s="1"/>
  <c r="D34" i="2" s="1"/>
  <c r="R32" i="84"/>
  <c r="W64" i="43"/>
  <c r="Y64" i="43" s="1"/>
  <c r="AO28" i="84"/>
  <c r="C28" i="34"/>
  <c r="AI54" i="84"/>
  <c r="C54" i="44" s="1"/>
  <c r="AH53" i="84"/>
  <c r="AI33" i="84"/>
  <c r="C33" i="44" s="1"/>
  <c r="AH32" i="84"/>
  <c r="AM26" i="84"/>
  <c r="C27" i="44"/>
  <c r="AH26" i="84"/>
  <c r="K36" i="84"/>
  <c r="C36" i="34" s="1"/>
  <c r="AO36" i="84"/>
  <c r="AA51" i="84"/>
  <c r="C51" i="60" s="1"/>
  <c r="Z50" i="84"/>
  <c r="W63" i="60"/>
  <c r="Y63" i="60" s="1"/>
  <c r="X63" i="60"/>
  <c r="K40" i="84"/>
  <c r="C40" i="34" s="1"/>
  <c r="C40" i="45" s="1"/>
  <c r="S40" i="45" s="1"/>
  <c r="AO40" i="84"/>
  <c r="AA42" i="84"/>
  <c r="C42" i="60" s="1"/>
  <c r="Z41" i="84"/>
  <c r="K56" i="84"/>
  <c r="C56" i="34" s="1"/>
  <c r="AO56" i="84"/>
  <c r="K44" i="84"/>
  <c r="C44" i="34" s="1"/>
  <c r="C44" i="45" s="1"/>
  <c r="S44" i="45" s="1"/>
  <c r="AO44" i="84"/>
  <c r="AM53" i="84"/>
  <c r="W44" i="44"/>
  <c r="Y44" i="44" s="1"/>
  <c r="X44" i="44"/>
  <c r="X46" i="44"/>
  <c r="W46" i="44"/>
  <c r="Y46" i="44" s="1"/>
  <c r="AK61" i="84"/>
  <c r="W68" i="43"/>
  <c r="Y68" i="43" s="1"/>
  <c r="K47" i="84"/>
  <c r="C47" i="34" s="1"/>
  <c r="AO47" i="84"/>
  <c r="J53" i="84"/>
  <c r="AO54" i="84"/>
  <c r="K54" i="84"/>
  <c r="C54" i="34" s="1"/>
  <c r="AO55" i="84"/>
  <c r="K55" i="84"/>
  <c r="C55" i="34" s="1"/>
  <c r="C55" i="45" s="1"/>
  <c r="S55" i="45" s="1"/>
  <c r="AA54" i="84"/>
  <c r="C54" i="60" s="1"/>
  <c r="Z53" i="84"/>
  <c r="K52" i="84"/>
  <c r="C52" i="34" s="1"/>
  <c r="AO52" i="84"/>
  <c r="K65" i="84"/>
  <c r="C65" i="34" s="1"/>
  <c r="AO65" i="84"/>
  <c r="W49" i="84"/>
  <c r="W70" i="84" s="1"/>
  <c r="E33" i="2" s="1"/>
  <c r="AK50" i="84"/>
  <c r="AN26" i="84"/>
  <c r="W69" i="43"/>
  <c r="Y69" i="43" s="1"/>
  <c r="AN32" i="84"/>
  <c r="K38" i="84"/>
  <c r="C38" i="34" s="1"/>
  <c r="AO38" i="84"/>
  <c r="W46" i="43"/>
  <c r="Y46" i="43" s="1"/>
  <c r="AH41" i="84"/>
  <c r="AM32" i="84"/>
  <c r="C31" i="34"/>
  <c r="AO31" i="84"/>
  <c r="S33" i="84"/>
  <c r="C33" i="43" s="1"/>
  <c r="AO18" i="84"/>
  <c r="AP4" i="84"/>
  <c r="W45" i="34"/>
  <c r="Y45" i="34" s="1"/>
  <c r="X45" i="34"/>
  <c r="M48" i="45" l="1"/>
  <c r="AP30" i="84"/>
  <c r="X29" i="43"/>
  <c r="W31" i="43"/>
  <c r="Y31" i="43" s="1"/>
  <c r="X30" i="43"/>
  <c r="W30" i="43"/>
  <c r="Y30" i="43" s="1"/>
  <c r="W28" i="43"/>
  <c r="Y28" i="43" s="1"/>
  <c r="X28" i="43"/>
  <c r="J64" i="45"/>
  <c r="G64" i="45"/>
  <c r="P64" i="45"/>
  <c r="M64" i="45"/>
  <c r="J55" i="45"/>
  <c r="G55" i="45"/>
  <c r="P55" i="45"/>
  <c r="M55" i="45"/>
  <c r="M63" i="45"/>
  <c r="J63" i="45"/>
  <c r="G63" i="45"/>
  <c r="P63" i="45"/>
  <c r="G69" i="45"/>
  <c r="P69" i="45"/>
  <c r="M69" i="45"/>
  <c r="J69" i="45"/>
  <c r="M67" i="45"/>
  <c r="J67" i="45"/>
  <c r="G67" i="45"/>
  <c r="P67" i="45"/>
  <c r="J59" i="45"/>
  <c r="G59" i="45"/>
  <c r="P59" i="45"/>
  <c r="M59" i="45"/>
  <c r="J68" i="45"/>
  <c r="G68" i="45"/>
  <c r="P68" i="45"/>
  <c r="M68" i="45"/>
  <c r="C38" i="45"/>
  <c r="S38" i="45" s="1"/>
  <c r="C54" i="45"/>
  <c r="S54" i="45" s="1"/>
  <c r="C56" i="45"/>
  <c r="S56" i="45" s="1"/>
  <c r="C34" i="45"/>
  <c r="S34" i="45" s="1"/>
  <c r="C39" i="45"/>
  <c r="S39" i="45" s="1"/>
  <c r="C35" i="45"/>
  <c r="S35" i="45" s="1"/>
  <c r="C65" i="45"/>
  <c r="S65" i="45" s="1"/>
  <c r="C47" i="45"/>
  <c r="S47" i="45" s="1"/>
  <c r="W30" i="44"/>
  <c r="Y30" i="44" s="1"/>
  <c r="C29" i="45"/>
  <c r="S29" i="45" s="1"/>
  <c r="C66" i="45"/>
  <c r="S66" i="45" s="1"/>
  <c r="C28" i="45"/>
  <c r="S28" i="45" s="1"/>
  <c r="C62" i="45"/>
  <c r="S62" i="45" s="1"/>
  <c r="C60" i="45"/>
  <c r="S60" i="45" s="1"/>
  <c r="C58" i="45"/>
  <c r="S58" i="45" s="1"/>
  <c r="C57" i="45"/>
  <c r="S57" i="45" s="1"/>
  <c r="C52" i="45"/>
  <c r="S52" i="45" s="1"/>
  <c r="G45" i="45"/>
  <c r="J45" i="45"/>
  <c r="P45" i="45"/>
  <c r="M45" i="45"/>
  <c r="P46" i="45"/>
  <c r="M46" i="45"/>
  <c r="J46" i="45"/>
  <c r="G46" i="45"/>
  <c r="M43" i="45"/>
  <c r="J43" i="45"/>
  <c r="G43" i="45"/>
  <c r="P43" i="45"/>
  <c r="J44" i="45"/>
  <c r="P44" i="45"/>
  <c r="M44" i="45"/>
  <c r="G44" i="45"/>
  <c r="C42" i="45"/>
  <c r="S42" i="45" s="1"/>
  <c r="C36" i="45"/>
  <c r="S36" i="45" s="1"/>
  <c r="P37" i="45"/>
  <c r="M37" i="45"/>
  <c r="G37" i="45"/>
  <c r="J37" i="45"/>
  <c r="C33" i="45"/>
  <c r="S33" i="45" s="1"/>
  <c r="G40" i="45"/>
  <c r="P40" i="45"/>
  <c r="M40" i="45"/>
  <c r="J40" i="45"/>
  <c r="C27" i="45"/>
  <c r="S27" i="45" s="1"/>
  <c r="P19" i="45"/>
  <c r="M19" i="45"/>
  <c r="J19" i="45"/>
  <c r="G19" i="45"/>
  <c r="B33" i="2"/>
  <c r="B16" i="2" s="1"/>
  <c r="B34" i="2"/>
  <c r="B17" i="2" s="1"/>
  <c r="B35" i="2"/>
  <c r="B18" i="2" s="1"/>
  <c r="X31" i="44"/>
  <c r="W29" i="44"/>
  <c r="Y29" i="44" s="1"/>
  <c r="X28" i="44"/>
  <c r="C30" i="60"/>
  <c r="C30" i="45" s="1"/>
  <c r="S30" i="45" s="1"/>
  <c r="W29" i="60"/>
  <c r="Y29" i="60" s="1"/>
  <c r="X28" i="60"/>
  <c r="C31" i="60"/>
  <c r="C31" i="45" s="1"/>
  <c r="S31" i="45" s="1"/>
  <c r="J49" i="84"/>
  <c r="J70" i="84" s="1"/>
  <c r="AP27" i="84"/>
  <c r="X40" i="43"/>
  <c r="X69" i="43"/>
  <c r="X34" i="44"/>
  <c r="X44" i="43"/>
  <c r="X58" i="43"/>
  <c r="X46" i="43"/>
  <c r="X47" i="60"/>
  <c r="X45" i="43"/>
  <c r="X37" i="60"/>
  <c r="X52" i="43"/>
  <c r="X64" i="43"/>
  <c r="X67" i="43"/>
  <c r="X65" i="43"/>
  <c r="X68" i="43"/>
  <c r="X56" i="43"/>
  <c r="X43" i="43"/>
  <c r="X38" i="43"/>
  <c r="W58" i="60"/>
  <c r="Y58" i="60" s="1"/>
  <c r="W60" i="60"/>
  <c r="Y60" i="60" s="1"/>
  <c r="AK49" i="84"/>
  <c r="X56" i="44"/>
  <c r="W60" i="44"/>
  <c r="Y60" i="44" s="1"/>
  <c r="Z49" i="84"/>
  <c r="Z70" i="84" s="1"/>
  <c r="X60" i="43"/>
  <c r="X36" i="43"/>
  <c r="R49" i="84"/>
  <c r="R70" i="84" s="1"/>
  <c r="W34" i="43"/>
  <c r="Y34" i="43" s="1"/>
  <c r="AL49" i="84"/>
  <c r="AL70" i="84" s="1"/>
  <c r="W65" i="44"/>
  <c r="Y65" i="44" s="1"/>
  <c r="W36" i="44"/>
  <c r="Y36" i="44" s="1"/>
  <c r="W66" i="44"/>
  <c r="Y66" i="44" s="1"/>
  <c r="W35" i="44"/>
  <c r="Y35" i="44" s="1"/>
  <c r="X47" i="44"/>
  <c r="AN49" i="84"/>
  <c r="AN70" i="84" s="1"/>
  <c r="AH49" i="84"/>
  <c r="AH70" i="84" s="1"/>
  <c r="W39" i="60"/>
  <c r="Y39" i="60" s="1"/>
  <c r="W59" i="60"/>
  <c r="Y59" i="60" s="1"/>
  <c r="W57" i="60"/>
  <c r="Y57" i="60" s="1"/>
  <c r="X56" i="60"/>
  <c r="X34" i="60"/>
  <c r="AM49" i="84"/>
  <c r="AM70" i="84" s="1"/>
  <c r="X39" i="43"/>
  <c r="C51" i="43"/>
  <c r="C51" i="45" s="1"/>
  <c r="S51" i="45" s="1"/>
  <c r="S50" i="84"/>
  <c r="AO53" i="84"/>
  <c r="W35" i="43"/>
  <c r="Y35" i="43" s="1"/>
  <c r="S32" i="84"/>
  <c r="AP38" i="84"/>
  <c r="AP65" i="84"/>
  <c r="AP52" i="84"/>
  <c r="AI32" i="84"/>
  <c r="AI50" i="84"/>
  <c r="AI61" i="84"/>
  <c r="AP60" i="84"/>
  <c r="AP66" i="84"/>
  <c r="AA26" i="84"/>
  <c r="AP37" i="84"/>
  <c r="AP67" i="84"/>
  <c r="AP68" i="84"/>
  <c r="AP45" i="84"/>
  <c r="K50" i="84"/>
  <c r="AP51" i="84"/>
  <c r="AO41" i="84"/>
  <c r="K53" i="84"/>
  <c r="AP54" i="84"/>
  <c r="AP47" i="84"/>
  <c r="AP56" i="84"/>
  <c r="AP40" i="84"/>
  <c r="AA50" i="84"/>
  <c r="AI26" i="84"/>
  <c r="K32" i="84"/>
  <c r="AP33" i="84"/>
  <c r="W43" i="44"/>
  <c r="Y43" i="44" s="1"/>
  <c r="X43" i="44"/>
  <c r="AP69" i="84"/>
  <c r="S53" i="84"/>
  <c r="AP59" i="84"/>
  <c r="AP64" i="84"/>
  <c r="AP46" i="84"/>
  <c r="AP35" i="84"/>
  <c r="AO26" i="84"/>
  <c r="AP62" i="84"/>
  <c r="K61" i="84"/>
  <c r="AA53" i="84"/>
  <c r="AI53" i="84"/>
  <c r="AA32" i="84"/>
  <c r="AP63" i="84"/>
  <c r="AP43" i="84"/>
  <c r="S26" i="84"/>
  <c r="S41" i="84"/>
  <c r="K41" i="84"/>
  <c r="AP42" i="84"/>
  <c r="AP55" i="84"/>
  <c r="AP44" i="84"/>
  <c r="AA41" i="84"/>
  <c r="AP36" i="84"/>
  <c r="AP58" i="84"/>
  <c r="AO32" i="84"/>
  <c r="S61" i="84"/>
  <c r="AP39" i="84"/>
  <c r="AP34" i="84"/>
  <c r="AA61" i="84"/>
  <c r="X59" i="44"/>
  <c r="W59" i="44"/>
  <c r="Y59" i="44" s="1"/>
  <c r="AP57" i="84"/>
  <c r="AO50" i="84"/>
  <c r="K26" i="84"/>
  <c r="AO61" i="84"/>
  <c r="W21" i="34"/>
  <c r="Y21" i="34" s="1"/>
  <c r="W17" i="34"/>
  <c r="Y17" i="34" s="1"/>
  <c r="W48" i="34"/>
  <c r="Y48" i="34" s="1"/>
  <c r="X6" i="43"/>
  <c r="W6" i="43"/>
  <c r="X6" i="34"/>
  <c r="W6" i="34"/>
  <c r="X6" i="60"/>
  <c r="W6" i="60"/>
  <c r="W16" i="34"/>
  <c r="Y16" i="34" s="1"/>
  <c r="W10" i="34"/>
  <c r="Y10" i="34" s="1"/>
  <c r="X10" i="34"/>
  <c r="W9" i="34"/>
  <c r="Y9" i="34" s="1"/>
  <c r="X9" i="34"/>
  <c r="W24" i="34"/>
  <c r="Y24" i="34" s="1"/>
  <c r="X24" i="34"/>
  <c r="W19" i="43"/>
  <c r="Y19" i="43" s="1"/>
  <c r="X6" i="44"/>
  <c r="W6" i="44"/>
  <c r="V69" i="45" l="1"/>
  <c r="V67" i="45"/>
  <c r="P52" i="45"/>
  <c r="M52" i="45"/>
  <c r="J52" i="45"/>
  <c r="G52" i="45"/>
  <c r="P62" i="45"/>
  <c r="M62" i="45"/>
  <c r="J62" i="45"/>
  <c r="G62" i="45"/>
  <c r="J38" i="45"/>
  <c r="G51" i="45"/>
  <c r="P51" i="45"/>
  <c r="M51" i="45"/>
  <c r="J51" i="45"/>
  <c r="M58" i="45"/>
  <c r="J58" i="45"/>
  <c r="G58" i="45"/>
  <c r="P58" i="45"/>
  <c r="P66" i="45"/>
  <c r="M66" i="45"/>
  <c r="J66" i="45"/>
  <c r="G66" i="45"/>
  <c r="G65" i="45"/>
  <c r="P65" i="45"/>
  <c r="M65" i="45"/>
  <c r="J65" i="45"/>
  <c r="G56" i="45"/>
  <c r="P56" i="45"/>
  <c r="M56" i="45"/>
  <c r="J56" i="45"/>
  <c r="V59" i="45"/>
  <c r="V63" i="45"/>
  <c r="V55" i="45"/>
  <c r="P57" i="45"/>
  <c r="M57" i="45"/>
  <c r="J57" i="45"/>
  <c r="G57" i="45"/>
  <c r="V68" i="45"/>
  <c r="J39" i="45"/>
  <c r="G60" i="45"/>
  <c r="P60" i="45"/>
  <c r="M60" i="45"/>
  <c r="J60" i="45"/>
  <c r="M54" i="45"/>
  <c r="J54" i="45"/>
  <c r="G54" i="45"/>
  <c r="P54" i="45"/>
  <c r="V64" i="45"/>
  <c r="M47" i="45"/>
  <c r="G39" i="45"/>
  <c r="G38" i="45"/>
  <c r="P39" i="45"/>
  <c r="M38" i="45"/>
  <c r="G28" i="45"/>
  <c r="P34" i="45"/>
  <c r="M39" i="45"/>
  <c r="P38" i="45"/>
  <c r="M29" i="45"/>
  <c r="P35" i="45"/>
  <c r="J34" i="45"/>
  <c r="G34" i="45"/>
  <c r="M34" i="45"/>
  <c r="G35" i="45"/>
  <c r="P29" i="45"/>
  <c r="P47" i="45"/>
  <c r="J47" i="45"/>
  <c r="G47" i="45"/>
  <c r="M35" i="45"/>
  <c r="J35" i="45"/>
  <c r="G29" i="45"/>
  <c r="J29" i="45"/>
  <c r="M28" i="45"/>
  <c r="J28" i="45"/>
  <c r="P28" i="45"/>
  <c r="P42" i="45"/>
  <c r="G42" i="45"/>
  <c r="M42" i="45"/>
  <c r="J42" i="45"/>
  <c r="P33" i="45"/>
  <c r="G33" i="45"/>
  <c r="M33" i="45"/>
  <c r="J33" i="45"/>
  <c r="G36" i="45"/>
  <c r="J36" i="45"/>
  <c r="P36" i="45"/>
  <c r="M36" i="45"/>
  <c r="J31" i="45"/>
  <c r="G31" i="45"/>
  <c r="P31" i="45"/>
  <c r="M31" i="45"/>
  <c r="M30" i="45"/>
  <c r="J30" i="45"/>
  <c r="G30" i="45"/>
  <c r="P30" i="45"/>
  <c r="J27" i="45"/>
  <c r="G27" i="45"/>
  <c r="P27" i="45"/>
  <c r="M27" i="45"/>
  <c r="W31" i="60"/>
  <c r="Y31" i="60" s="1"/>
  <c r="X31" i="60"/>
  <c r="X30" i="60"/>
  <c r="W30" i="60"/>
  <c r="Y30" i="60" s="1"/>
  <c r="AK70" i="84"/>
  <c r="X48" i="34"/>
  <c r="X16" i="34"/>
  <c r="X34" i="43"/>
  <c r="AP50" i="84"/>
  <c r="AI49" i="84"/>
  <c r="AI70" i="84" s="1"/>
  <c r="AP61" i="84"/>
  <c r="AP32" i="84"/>
  <c r="AP41" i="84"/>
  <c r="AA49" i="84"/>
  <c r="AA70" i="84" s="1"/>
  <c r="W5" i="34"/>
  <c r="Y5" i="34" s="1"/>
  <c r="K49" i="84"/>
  <c r="K70" i="84" s="1"/>
  <c r="AP53" i="84"/>
  <c r="X5" i="34"/>
  <c r="AP26" i="84"/>
  <c r="S49" i="84"/>
  <c r="S70" i="84" s="1"/>
  <c r="AO49" i="84"/>
  <c r="AO70" i="84" s="1"/>
  <c r="X21" i="34"/>
  <c r="X8" i="34"/>
  <c r="X15" i="34"/>
  <c r="W15" i="34"/>
  <c r="Y15" i="34" s="1"/>
  <c r="W8" i="34"/>
  <c r="Y8" i="34" s="1"/>
  <c r="W23" i="34"/>
  <c r="Y23" i="34" s="1"/>
  <c r="X17" i="34"/>
  <c r="X23" i="34"/>
  <c r="X19" i="43"/>
  <c r="Y6" i="44"/>
  <c r="X24" i="45"/>
  <c r="I3" i="78"/>
  <c r="W19" i="34"/>
  <c r="Y19" i="34" s="1"/>
  <c r="X15" i="45"/>
  <c r="W19" i="44"/>
  <c r="Y19" i="44" s="1"/>
  <c r="X10" i="45"/>
  <c r="X11" i="34"/>
  <c r="W11" i="34"/>
  <c r="Y11" i="34" s="1"/>
  <c r="W12" i="34"/>
  <c r="Y12" i="34" s="1"/>
  <c r="X12" i="34"/>
  <c r="X13" i="34"/>
  <c r="W13" i="34"/>
  <c r="Y13" i="34" s="1"/>
  <c r="X14" i="34"/>
  <c r="W14" i="34"/>
  <c r="Y14" i="34" s="1"/>
  <c r="Y6" i="60"/>
  <c r="X6" i="45"/>
  <c r="Y6" i="43"/>
  <c r="X8" i="45"/>
  <c r="W19" i="60"/>
  <c r="Y19" i="60" s="1"/>
  <c r="W7" i="34"/>
  <c r="Y7" i="34" s="1"/>
  <c r="X7" i="34"/>
  <c r="Y6" i="34"/>
  <c r="X9" i="45"/>
  <c r="X23" i="45"/>
  <c r="V60" i="45" l="1"/>
  <c r="V54" i="45"/>
  <c r="V65" i="45"/>
  <c r="V57" i="45"/>
  <c r="V56" i="45"/>
  <c r="V58" i="45"/>
  <c r="V51" i="45"/>
  <c r="V66" i="45"/>
  <c r="V62" i="45"/>
  <c r="V52" i="45"/>
  <c r="AP49" i="84"/>
  <c r="AP70" i="84" s="1"/>
  <c r="X17" i="45"/>
  <c r="X21" i="45"/>
  <c r="W42" i="44"/>
  <c r="Y42" i="44" s="1"/>
  <c r="X42" i="44"/>
  <c r="W51" i="43"/>
  <c r="V5" i="45"/>
  <c r="W5" i="45" s="1"/>
  <c r="X19" i="60"/>
  <c r="X19" i="44"/>
  <c r="X19" i="34"/>
  <c r="V15" i="45"/>
  <c r="W15" i="45" s="1"/>
  <c r="Y15" i="45" s="1"/>
  <c r="V8" i="45"/>
  <c r="W8" i="45" s="1"/>
  <c r="Y8" i="45" s="1"/>
  <c r="X7" i="45"/>
  <c r="X12" i="45"/>
  <c r="X11" i="45"/>
  <c r="W25" i="34"/>
  <c r="Y25" i="34" s="1"/>
  <c r="X25" i="34"/>
  <c r="W22" i="34"/>
  <c r="Y22" i="34" s="1"/>
  <c r="X22" i="34"/>
  <c r="V23" i="45"/>
  <c r="W23" i="45" s="1"/>
  <c r="Y23" i="45" s="1"/>
  <c r="X20" i="34"/>
  <c r="W20" i="34"/>
  <c r="Y20" i="34" s="1"/>
  <c r="Y5" i="45" l="1"/>
  <c r="X5" i="45"/>
  <c r="Y51" i="43"/>
  <c r="X51" i="43"/>
  <c r="V17" i="45"/>
  <c r="W17" i="45" s="1"/>
  <c r="Y17" i="45" s="1"/>
  <c r="V21" i="45"/>
  <c r="W21" i="45" s="1"/>
  <c r="Y21" i="45" s="1"/>
  <c r="W65" i="34"/>
  <c r="Y65" i="34" s="1"/>
  <c r="W69" i="34"/>
  <c r="Y69" i="34" s="1"/>
  <c r="X68" i="34"/>
  <c r="W68" i="34"/>
  <c r="Y68" i="34" s="1"/>
  <c r="W66" i="34"/>
  <c r="Y66" i="34" s="1"/>
  <c r="X66" i="34"/>
  <c r="W56" i="34"/>
  <c r="Y56" i="34" s="1"/>
  <c r="X56" i="34"/>
  <c r="W37" i="34"/>
  <c r="W42" i="43"/>
  <c r="Y42" i="43" s="1"/>
  <c r="X27" i="44"/>
  <c r="W27" i="44"/>
  <c r="C70" i="44"/>
  <c r="F36" i="2" s="1"/>
  <c r="W42" i="60"/>
  <c r="Y42" i="60" s="1"/>
  <c r="X42" i="60"/>
  <c r="X46" i="34"/>
  <c r="W46" i="34"/>
  <c r="Y46" i="34" s="1"/>
  <c r="X54" i="60"/>
  <c r="W54" i="60"/>
  <c r="Y54" i="60" s="1"/>
  <c r="W67" i="34"/>
  <c r="W54" i="43"/>
  <c r="Y54" i="43" s="1"/>
  <c r="X51" i="60"/>
  <c r="W51" i="60"/>
  <c r="Y51" i="60" s="1"/>
  <c r="V10" i="45"/>
  <c r="W10" i="45" s="1"/>
  <c r="Y10" i="45" s="1"/>
  <c r="V9" i="45"/>
  <c r="W9" i="45" s="1"/>
  <c r="Y9" i="45" s="1"/>
  <c r="V6" i="45"/>
  <c r="W6" i="45" s="1"/>
  <c r="Y6" i="45" s="1"/>
  <c r="V24" i="45"/>
  <c r="W24" i="45" s="1"/>
  <c r="Y24" i="45" s="1"/>
  <c r="V16" i="45"/>
  <c r="W16" i="45" s="1"/>
  <c r="V48" i="45"/>
  <c r="W48" i="45" s="1"/>
  <c r="V14" i="45"/>
  <c r="W14" i="45" s="1"/>
  <c r="V11" i="45"/>
  <c r="W11" i="45" s="1"/>
  <c r="Y11" i="45" s="1"/>
  <c r="V13" i="45"/>
  <c r="W13" i="45" s="1"/>
  <c r="V7" i="45"/>
  <c r="W7" i="45" s="1"/>
  <c r="V12" i="45"/>
  <c r="W12" i="45" s="1"/>
  <c r="Y12" i="45" s="1"/>
  <c r="X20" i="45"/>
  <c r="X22" i="45"/>
  <c r="X25" i="45"/>
  <c r="V19" i="45"/>
  <c r="W19" i="45" s="1"/>
  <c r="F39" i="2" l="1"/>
  <c r="X42" i="43"/>
  <c r="Y14" i="45"/>
  <c r="X14" i="45"/>
  <c r="Y13" i="45"/>
  <c r="X13" i="45"/>
  <c r="Y16" i="45"/>
  <c r="X16" i="45"/>
  <c r="X54" i="43"/>
  <c r="Y48" i="45"/>
  <c r="X48" i="45"/>
  <c r="X56" i="45"/>
  <c r="X66" i="45"/>
  <c r="X69" i="34"/>
  <c r="W59" i="34"/>
  <c r="Y59" i="34" s="1"/>
  <c r="X27" i="43"/>
  <c r="W27" i="43"/>
  <c r="C70" i="43"/>
  <c r="D36" i="2" s="1"/>
  <c r="W62" i="34"/>
  <c r="Y62" i="34" s="1"/>
  <c r="AD4" i="44"/>
  <c r="F41" i="2"/>
  <c r="AB4" i="44"/>
  <c r="W60" i="34"/>
  <c r="W62" i="44"/>
  <c r="Y62" i="44" s="1"/>
  <c r="X62" i="44"/>
  <c r="W45" i="60"/>
  <c r="Y45" i="60" s="1"/>
  <c r="X45" i="60"/>
  <c r="W58" i="34"/>
  <c r="Y58" i="34" s="1"/>
  <c r="X58" i="34"/>
  <c r="W57" i="34"/>
  <c r="Y57" i="34" s="1"/>
  <c r="W35" i="34"/>
  <c r="W51" i="44"/>
  <c r="Y51" i="44" s="1"/>
  <c r="X51" i="44"/>
  <c r="X33" i="60"/>
  <c r="W33" i="60"/>
  <c r="Y33" i="60" s="1"/>
  <c r="Y67" i="34"/>
  <c r="X67" i="34"/>
  <c r="X54" i="44"/>
  <c r="W54" i="44"/>
  <c r="Y54" i="44" s="1"/>
  <c r="W34" i="34"/>
  <c r="Y34" i="34" s="1"/>
  <c r="I4" i="78"/>
  <c r="W36" i="34"/>
  <c r="Y36" i="34" s="1"/>
  <c r="X33" i="44"/>
  <c r="W33" i="44"/>
  <c r="Y33" i="44" s="1"/>
  <c r="Y37" i="34"/>
  <c r="X37" i="34"/>
  <c r="X31" i="34"/>
  <c r="W31" i="34"/>
  <c r="Y31" i="34" s="1"/>
  <c r="W55" i="34"/>
  <c r="Y55" i="34" s="1"/>
  <c r="X55" i="34"/>
  <c r="W51" i="34"/>
  <c r="Y51" i="34" s="1"/>
  <c r="X51" i="34"/>
  <c r="W47" i="34"/>
  <c r="Y47" i="34" s="1"/>
  <c r="X47" i="34"/>
  <c r="W44" i="34"/>
  <c r="Y44" i="34" s="1"/>
  <c r="X44" i="34"/>
  <c r="W43" i="34"/>
  <c r="Y43" i="34" s="1"/>
  <c r="W38" i="34"/>
  <c r="Y38" i="34" s="1"/>
  <c r="X62" i="60"/>
  <c r="W62" i="60"/>
  <c r="Y62" i="60" s="1"/>
  <c r="W64" i="34"/>
  <c r="Y64" i="34" s="1"/>
  <c r="W62" i="43"/>
  <c r="Y62" i="43" s="1"/>
  <c r="Y27" i="44"/>
  <c r="X54" i="34"/>
  <c r="W54" i="34"/>
  <c r="Y54" i="34" s="1"/>
  <c r="W39" i="34"/>
  <c r="W52" i="34"/>
  <c r="Y52" i="34" s="1"/>
  <c r="W27" i="60"/>
  <c r="C70" i="60"/>
  <c r="E36" i="2" s="1"/>
  <c r="X27" i="60"/>
  <c r="W33" i="34"/>
  <c r="Y33" i="34" s="1"/>
  <c r="W40" i="34"/>
  <c r="X30" i="34"/>
  <c r="W30" i="34"/>
  <c r="Y30" i="34" s="1"/>
  <c r="X42" i="34"/>
  <c r="W42" i="34"/>
  <c r="Y42" i="34" s="1"/>
  <c r="W63" i="34"/>
  <c r="Y63" i="34" s="1"/>
  <c r="W28" i="34"/>
  <c r="Y28" i="34" s="1"/>
  <c r="X27" i="34"/>
  <c r="W27" i="34"/>
  <c r="C70" i="34"/>
  <c r="C36" i="2" s="1"/>
  <c r="W33" i="43"/>
  <c r="Y33" i="43" s="1"/>
  <c r="X65" i="34"/>
  <c r="W29" i="34"/>
  <c r="Y29" i="34" s="1"/>
  <c r="X29" i="34"/>
  <c r="Y19" i="45"/>
  <c r="X19" i="45"/>
  <c r="Y7" i="45"/>
  <c r="V20" i="45"/>
  <c r="W20" i="45" s="1"/>
  <c r="Y20" i="45" s="1"/>
  <c r="V22" i="45"/>
  <c r="W22" i="45" s="1"/>
  <c r="Y22" i="45" s="1"/>
  <c r="V25" i="45"/>
  <c r="W25" i="45" s="1"/>
  <c r="Y25" i="45" s="1"/>
  <c r="B36" i="2" l="1"/>
  <c r="B19" i="2" s="1"/>
  <c r="X28" i="34"/>
  <c r="X33" i="43"/>
  <c r="X63" i="34"/>
  <c r="X62" i="43"/>
  <c r="X59" i="34"/>
  <c r="X52" i="34"/>
  <c r="X33" i="34"/>
  <c r="X43" i="34"/>
  <c r="X70" i="44"/>
  <c r="X58" i="45"/>
  <c r="X55" i="45"/>
  <c r="X29" i="45"/>
  <c r="X31" i="45"/>
  <c r="X57" i="34"/>
  <c r="AB4" i="43"/>
  <c r="AD4" i="43"/>
  <c r="D41" i="2"/>
  <c r="AB4" i="34"/>
  <c r="C41" i="2"/>
  <c r="AD4" i="34"/>
  <c r="X30" i="45"/>
  <c r="Y27" i="60"/>
  <c r="Y70" i="60" s="1"/>
  <c r="W70" i="60"/>
  <c r="AB12" i="60" s="1"/>
  <c r="Y39" i="34"/>
  <c r="X39" i="34"/>
  <c r="X38" i="34"/>
  <c r="W56" i="45"/>
  <c r="Y56" i="45" s="1"/>
  <c r="Y27" i="43"/>
  <c r="Y70" i="43" s="1"/>
  <c r="W70" i="43"/>
  <c r="AB5" i="43" s="1"/>
  <c r="Y60" i="34"/>
  <c r="X60" i="34"/>
  <c r="W65" i="45"/>
  <c r="V37" i="45"/>
  <c r="W37" i="45" s="1"/>
  <c r="W67" i="45"/>
  <c r="X62" i="34"/>
  <c r="X27" i="45"/>
  <c r="C70" i="45"/>
  <c r="Y40" i="34"/>
  <c r="X40" i="34"/>
  <c r="E41" i="2"/>
  <c r="AD4" i="60"/>
  <c r="AB4" i="60"/>
  <c r="Y27" i="34"/>
  <c r="W70" i="34"/>
  <c r="AB14" i="34" s="1"/>
  <c r="W70" i="44"/>
  <c r="AD5" i="44" s="1"/>
  <c r="W66" i="45"/>
  <c r="Y66" i="45" s="1"/>
  <c r="W68" i="45"/>
  <c r="X70" i="60"/>
  <c r="Y70" i="44"/>
  <c r="X64" i="34"/>
  <c r="V46" i="45"/>
  <c r="W46" i="45" s="1"/>
  <c r="X36" i="34"/>
  <c r="X34" i="34"/>
  <c r="Y35" i="34"/>
  <c r="X35" i="34"/>
  <c r="W69" i="45"/>
  <c r="B41" i="2" l="1"/>
  <c r="X70" i="43"/>
  <c r="Y68" i="45"/>
  <c r="X68" i="45"/>
  <c r="Y46" i="45"/>
  <c r="X46" i="45"/>
  <c r="AB9" i="43"/>
  <c r="D43" i="2" s="1"/>
  <c r="AB12" i="34"/>
  <c r="AB14" i="43"/>
  <c r="AB8" i="43"/>
  <c r="AB13" i="43"/>
  <c r="D45" i="2" s="1"/>
  <c r="AB18" i="43"/>
  <c r="D42" i="2" s="1"/>
  <c r="W55" i="45"/>
  <c r="Y55" i="45" s="1"/>
  <c r="W51" i="45"/>
  <c r="Y51" i="45" s="1"/>
  <c r="AB19" i="43"/>
  <c r="D37" i="2" s="1"/>
  <c r="D38" i="2" s="1"/>
  <c r="D39" i="2" s="1"/>
  <c r="AB19" i="34"/>
  <c r="C37" i="2" s="1"/>
  <c r="AB7" i="43"/>
  <c r="AB10" i="43"/>
  <c r="AB20" i="43"/>
  <c r="V31" i="45"/>
  <c r="W31" i="45" s="1"/>
  <c r="Y31" i="45" s="1"/>
  <c r="V27" i="45"/>
  <c r="W27" i="45" s="1"/>
  <c r="Y27" i="45" s="1"/>
  <c r="W57" i="45"/>
  <c r="Y57" i="45" s="1"/>
  <c r="V35" i="45"/>
  <c r="W35" i="45" s="1"/>
  <c r="X35" i="45" s="1"/>
  <c r="AB10" i="60"/>
  <c r="AB8" i="60"/>
  <c r="AB9" i="60"/>
  <c r="E43" i="2" s="1"/>
  <c r="AB18" i="60"/>
  <c r="E42" i="2" s="1"/>
  <c r="AB6" i="60"/>
  <c r="AB7" i="60"/>
  <c r="AB13" i="60"/>
  <c r="E45" i="2" s="1"/>
  <c r="AB5" i="60"/>
  <c r="AB20" i="60"/>
  <c r="V70" i="60"/>
  <c r="AB19" i="60"/>
  <c r="E37" i="2" s="1"/>
  <c r="E38" i="2" s="1"/>
  <c r="E39" i="2" s="1"/>
  <c r="AB11" i="60"/>
  <c r="E44" i="2" s="1"/>
  <c r="AB14" i="60"/>
  <c r="AB13" i="34"/>
  <c r="C45" i="2" s="1"/>
  <c r="X70" i="34"/>
  <c r="V43" i="45"/>
  <c r="W43" i="45" s="1"/>
  <c r="AD6" i="44"/>
  <c r="AE5" i="44"/>
  <c r="V28" i="45"/>
  <c r="W28" i="45" s="1"/>
  <c r="V36" i="45"/>
  <c r="W36" i="45" s="1"/>
  <c r="W62" i="45"/>
  <c r="W60" i="45"/>
  <c r="AB15" i="44"/>
  <c r="AB11" i="44"/>
  <c r="F44" i="2" s="1"/>
  <c r="AB20" i="44"/>
  <c r="AB8" i="44"/>
  <c r="AB18" i="44"/>
  <c r="F42" i="2" s="1"/>
  <c r="F46" i="2"/>
  <c r="AB7" i="44"/>
  <c r="AB13" i="44"/>
  <c r="F45" i="2" s="1"/>
  <c r="AD14" i="44"/>
  <c r="AE14" i="44" s="1"/>
  <c r="AB12" i="44"/>
  <c r="V70" i="44"/>
  <c r="AB19" i="44"/>
  <c r="F37" i="2" s="1"/>
  <c r="AB9" i="44"/>
  <c r="F43" i="2" s="1"/>
  <c r="AB5" i="44"/>
  <c r="AB14" i="44"/>
  <c r="AB10" i="44"/>
  <c r="AB6" i="44"/>
  <c r="AB20" i="34"/>
  <c r="AB9" i="34"/>
  <c r="C43" i="2" s="1"/>
  <c r="V70" i="34"/>
  <c r="AB6" i="34"/>
  <c r="AD14" i="34"/>
  <c r="AE14" i="34" s="1"/>
  <c r="AB8" i="34"/>
  <c r="AB11" i="34"/>
  <c r="C44" i="2" s="1"/>
  <c r="AB5" i="34"/>
  <c r="C46" i="2"/>
  <c r="AB7" i="34"/>
  <c r="AB10" i="34"/>
  <c r="AB18" i="34"/>
  <c r="C42" i="2" s="1"/>
  <c r="AB15" i="34"/>
  <c r="V38" i="45"/>
  <c r="W38" i="45" s="1"/>
  <c r="Y37" i="45"/>
  <c r="X37" i="45"/>
  <c r="V30" i="45"/>
  <c r="W30" i="45" s="1"/>
  <c r="Y30" i="45" s="1"/>
  <c r="AE4" i="44"/>
  <c r="AF4" i="44" s="1"/>
  <c r="W54" i="45"/>
  <c r="V34" i="45"/>
  <c r="W34" i="45" s="1"/>
  <c r="V39" i="45"/>
  <c r="W39" i="45" s="1"/>
  <c r="V29" i="45"/>
  <c r="W29" i="45" s="1"/>
  <c r="Y29" i="45" s="1"/>
  <c r="Y70" i="34"/>
  <c r="V42" i="45"/>
  <c r="W42" i="45" s="1"/>
  <c r="AB4" i="45"/>
  <c r="G35" i="55" s="1"/>
  <c r="AD4" i="45"/>
  <c r="V40" i="45"/>
  <c r="W40" i="45" s="1"/>
  <c r="V33" i="45"/>
  <c r="W33" i="45" s="1"/>
  <c r="AB15" i="43"/>
  <c r="AD14" i="43"/>
  <c r="AE14" i="43" s="1"/>
  <c r="D46" i="2"/>
  <c r="AB6" i="43"/>
  <c r="AB12" i="43"/>
  <c r="V70" i="43"/>
  <c r="AB11" i="43"/>
  <c r="D44" i="2" s="1"/>
  <c r="W59" i="45"/>
  <c r="AB15" i="60"/>
  <c r="AD14" i="60"/>
  <c r="AE14" i="60" s="1"/>
  <c r="E46" i="2"/>
  <c r="V44" i="45"/>
  <c r="W44" i="45" s="1"/>
  <c r="X69" i="45"/>
  <c r="Y69" i="45"/>
  <c r="W63" i="45"/>
  <c r="W64" i="45"/>
  <c r="W52" i="45"/>
  <c r="V47" i="45"/>
  <c r="W47" i="45" s="1"/>
  <c r="V45" i="45"/>
  <c r="W45" i="45" s="1"/>
  <c r="W58" i="45"/>
  <c r="Y58" i="45" s="1"/>
  <c r="AD5" i="60"/>
  <c r="AE4" i="60"/>
  <c r="AF4" i="60" s="1"/>
  <c r="Y67" i="45"/>
  <c r="X67" i="45"/>
  <c r="X65" i="45"/>
  <c r="Y65" i="45"/>
  <c r="AE4" i="34"/>
  <c r="AF4" i="34" s="1"/>
  <c r="AD5" i="34"/>
  <c r="AE4" i="43"/>
  <c r="AF4" i="43" s="1"/>
  <c r="AD5" i="43"/>
  <c r="B43" i="2" l="1"/>
  <c r="B37" i="2"/>
  <c r="B46" i="2"/>
  <c r="B42" i="2"/>
  <c r="B44" i="2"/>
  <c r="B45" i="2"/>
  <c r="Y28" i="45"/>
  <c r="X28" i="45"/>
  <c r="Y54" i="45"/>
  <c r="X54" i="45"/>
  <c r="Y45" i="45"/>
  <c r="X45" i="45"/>
  <c r="Y42" i="45"/>
  <c r="X42" i="45"/>
  <c r="Y44" i="45"/>
  <c r="X44" i="45"/>
  <c r="Y47" i="45"/>
  <c r="X47" i="45"/>
  <c r="Y63" i="45"/>
  <c r="X63" i="45"/>
  <c r="X51" i="45"/>
  <c r="X57" i="45"/>
  <c r="C38" i="2"/>
  <c r="Y35" i="45"/>
  <c r="AE5" i="43"/>
  <c r="AF5" i="43" s="1"/>
  <c r="AD6" i="43"/>
  <c r="Y64" i="45"/>
  <c r="X64" i="45"/>
  <c r="Y40" i="45"/>
  <c r="X40" i="45"/>
  <c r="W70" i="45"/>
  <c r="Y38" i="45"/>
  <c r="X38" i="45"/>
  <c r="X62" i="45"/>
  <c r="Y62" i="45"/>
  <c r="Y59" i="45"/>
  <c r="X59" i="45"/>
  <c r="AE5" i="34"/>
  <c r="AF5" i="34" s="1"/>
  <c r="AD6" i="34"/>
  <c r="Y39" i="45"/>
  <c r="X39" i="45"/>
  <c r="X36" i="45"/>
  <c r="Y36" i="45"/>
  <c r="AF5" i="44"/>
  <c r="AD6" i="60"/>
  <c r="AE5" i="60"/>
  <c r="AF5" i="60" s="1"/>
  <c r="X52" i="45"/>
  <c r="Y52" i="45"/>
  <c r="X34" i="45"/>
  <c r="Y34" i="45"/>
  <c r="AD7" i="44"/>
  <c r="AE6" i="44"/>
  <c r="AF6" i="44" s="1"/>
  <c r="X33" i="45"/>
  <c r="Y33" i="45"/>
  <c r="F38" i="2"/>
  <c r="Y60" i="45"/>
  <c r="X60" i="45"/>
  <c r="Y43" i="45"/>
  <c r="X43" i="45"/>
  <c r="C39" i="2" l="1"/>
  <c r="B38" i="2"/>
  <c r="Y70" i="45"/>
  <c r="AE7" i="44"/>
  <c r="AF7" i="44" s="1"/>
  <c r="AD8" i="44"/>
  <c r="AE6" i="34"/>
  <c r="AF6" i="34" s="1"/>
  <c r="AD7" i="34"/>
  <c r="AB7" i="45"/>
  <c r="AB18" i="45"/>
  <c r="AD5" i="45"/>
  <c r="AB14" i="45"/>
  <c r="AB13" i="45"/>
  <c r="AD14" i="45"/>
  <c r="AE14" i="45" s="1"/>
  <c r="AB8" i="45"/>
  <c r="AB20" i="45"/>
  <c r="AB9" i="45"/>
  <c r="AB5" i="45"/>
  <c r="AB19" i="45"/>
  <c r="AB24" i="45"/>
  <c r="AB11" i="45"/>
  <c r="G40" i="55" s="1"/>
  <c r="V70" i="45"/>
  <c r="AB12" i="45"/>
  <c r="AB6" i="45"/>
  <c r="AB10" i="45"/>
  <c r="AE4" i="45"/>
  <c r="AF4" i="45" s="1"/>
  <c r="AB15" i="45"/>
  <c r="G36" i="55" s="1"/>
  <c r="X70" i="45"/>
  <c r="AE6" i="43"/>
  <c r="AF6" i="43" s="1"/>
  <c r="AD7" i="43"/>
  <c r="AE6" i="60"/>
  <c r="AF6" i="60" s="1"/>
  <c r="AD7" i="60"/>
  <c r="AE7" i="43" l="1"/>
  <c r="AF7" i="43" s="1"/>
  <c r="AD8" i="43"/>
  <c r="AD6" i="45"/>
  <c r="AE5" i="45"/>
  <c r="AF5" i="45" s="1"/>
  <c r="AD8" i="34"/>
  <c r="AE7" i="34"/>
  <c r="AF7" i="34" s="1"/>
  <c r="AE7" i="60"/>
  <c r="AF7" i="60" s="1"/>
  <c r="AD8" i="60"/>
  <c r="AE8" i="44"/>
  <c r="AF8" i="44" s="1"/>
  <c r="AD9" i="44"/>
  <c r="B39" i="2"/>
  <c r="AE9" i="44" l="1"/>
  <c r="AF9" i="44" s="1"/>
  <c r="AD10" i="44"/>
  <c r="AE6" i="45"/>
  <c r="AF6" i="45" s="1"/>
  <c r="AD7" i="45"/>
  <c r="AE8" i="60"/>
  <c r="AF8" i="60" s="1"/>
  <c r="AD9" i="60"/>
  <c r="AE8" i="43"/>
  <c r="AF8" i="43" s="1"/>
  <c r="AD9" i="43"/>
  <c r="AE8" i="34"/>
  <c r="AF8" i="34" s="1"/>
  <c r="AD9" i="34"/>
  <c r="AE9" i="43" l="1"/>
  <c r="AF9" i="43" s="1"/>
  <c r="AD10" i="43"/>
  <c r="AD8" i="45"/>
  <c r="AE7" i="45"/>
  <c r="AF7" i="45" s="1"/>
  <c r="AD10" i="34"/>
  <c r="AE9" i="34"/>
  <c r="AF9" i="34" s="1"/>
  <c r="AE9" i="60"/>
  <c r="AF9" i="60" s="1"/>
  <c r="AD10" i="60"/>
  <c r="AE10" i="44"/>
  <c r="AF10" i="44" s="1"/>
  <c r="AD11" i="44"/>
  <c r="AE8" i="45" l="1"/>
  <c r="AF8" i="45" s="1"/>
  <c r="AD9" i="45"/>
  <c r="AD11" i="60"/>
  <c r="AE10" i="60"/>
  <c r="AF10" i="60" s="1"/>
  <c r="AD12" i="44"/>
  <c r="AE11" i="44"/>
  <c r="AF11" i="44" s="1"/>
  <c r="AE10" i="43"/>
  <c r="AF10" i="43" s="1"/>
  <c r="AD11" i="43"/>
  <c r="AE10" i="34"/>
  <c r="AF10" i="34" s="1"/>
  <c r="AD11" i="34"/>
  <c r="AD13" i="44" l="1"/>
  <c r="AE13" i="44" s="1"/>
  <c r="AE12" i="44"/>
  <c r="AF12" i="44" s="1"/>
  <c r="AD12" i="43"/>
  <c r="AE11" i="43"/>
  <c r="AF11" i="43" s="1"/>
  <c r="AE11" i="60"/>
  <c r="AF11" i="60" s="1"/>
  <c r="AD12" i="60"/>
  <c r="AD12" i="34"/>
  <c r="AE11" i="34"/>
  <c r="AF11" i="34" s="1"/>
  <c r="AE9" i="45"/>
  <c r="AF9" i="45" s="1"/>
  <c r="AD10" i="45"/>
  <c r="AD13" i="34" l="1"/>
  <c r="AE13" i="34" s="1"/>
  <c r="AE12" i="34"/>
  <c r="AF12" i="34" s="1"/>
  <c r="AE12" i="43"/>
  <c r="AF12" i="43" s="1"/>
  <c r="AD13" i="43"/>
  <c r="AE13" i="43" s="1"/>
  <c r="AD11" i="45"/>
  <c r="AE10" i="45"/>
  <c r="AF10" i="45" s="1"/>
  <c r="AD13" i="60"/>
  <c r="AE13" i="60" s="1"/>
  <c r="AE12" i="60"/>
  <c r="AF12" i="60" s="1"/>
  <c r="AF14" i="44"/>
  <c r="AF13" i="44"/>
  <c r="AF14" i="60" l="1"/>
  <c r="AF13" i="60"/>
  <c r="AF13" i="43"/>
  <c r="AF14" i="43"/>
  <c r="AE11" i="45"/>
  <c r="AF11" i="45" s="1"/>
  <c r="AD12" i="45"/>
  <c r="AF13" i="34"/>
  <c r="AF14" i="34"/>
  <c r="AE12" i="45" l="1"/>
  <c r="AF12" i="45" s="1"/>
  <c r="AD13" i="45"/>
  <c r="AE13" i="45" s="1"/>
  <c r="AF14" i="45" l="1"/>
  <c r="AF13" i="45"/>
  <c r="P5" i="69" l="1"/>
  <c r="L7" i="49"/>
  <c r="M7" i="49" s="1"/>
  <c r="M52" i="49" s="1"/>
  <c r="M73" i="49" s="1"/>
  <c r="J82" i="49"/>
  <c r="Q8" i="69"/>
  <c r="P17" i="69"/>
  <c r="Q15" i="69"/>
  <c r="Q12" i="69"/>
  <c r="O12" i="69"/>
  <c r="P11" i="69"/>
  <c r="O6" i="69"/>
  <c r="P14" i="69"/>
  <c r="Q6" i="69"/>
  <c r="P15" i="69"/>
  <c r="R16" i="69"/>
  <c r="R13" i="69"/>
  <c r="O8" i="69"/>
  <c r="R7" i="69"/>
  <c r="P13" i="69"/>
  <c r="R14" i="69"/>
  <c r="O10" i="69"/>
  <c r="P16" i="69"/>
  <c r="R8" i="69"/>
  <c r="R11" i="69"/>
  <c r="O16" i="69"/>
  <c r="R10" i="69"/>
  <c r="K7" i="49"/>
  <c r="R5" i="69" s="1"/>
  <c r="P9" i="69"/>
  <c r="C16" i="67"/>
  <c r="C29" i="67" s="1"/>
  <c r="C29" i="87" s="1"/>
  <c r="E29" i="87" s="1"/>
  <c r="B29" i="2" l="1"/>
  <c r="B11" i="2" s="1"/>
  <c r="G39" i="55"/>
  <c r="AB22" i="45"/>
  <c r="AA22" i="45" s="1"/>
  <c r="O7" i="69"/>
  <c r="P6" i="69"/>
  <c r="Q13" i="69"/>
  <c r="R15" i="69"/>
  <c r="O15" i="69"/>
  <c r="P12" i="69"/>
  <c r="R12" i="69"/>
  <c r="Q11" i="69"/>
  <c r="O13" i="69"/>
  <c r="R9" i="69"/>
  <c r="Q7" i="69"/>
  <c r="O11" i="69"/>
  <c r="C4" i="97"/>
  <c r="Q5" i="69"/>
  <c r="C26" i="67"/>
  <c r="C39" i="67" s="1"/>
  <c r="C39" i="87" s="1"/>
  <c r="E39" i="87" s="1"/>
  <c r="R17" i="69"/>
  <c r="Q14" i="69"/>
  <c r="O5" i="69"/>
  <c r="C16" i="87"/>
  <c r="C26" i="87" s="1"/>
  <c r="Q17" i="69"/>
  <c r="R6" i="69"/>
  <c r="Q9" i="69"/>
  <c r="Q10" i="69"/>
  <c r="O9" i="69"/>
  <c r="O17" i="69"/>
  <c r="P8" i="69"/>
  <c r="Q16" i="69"/>
  <c r="P7" i="69"/>
  <c r="P4" i="69" s="1"/>
  <c r="P49" i="69" s="1"/>
  <c r="P70" i="69" s="1"/>
  <c r="D30" i="2" s="1"/>
  <c r="D32" i="2" s="1"/>
  <c r="P10" i="69"/>
  <c r="O14" i="69"/>
  <c r="L52" i="49"/>
  <c r="L73" i="49" s="1"/>
  <c r="R4" i="69" l="1"/>
  <c r="R49" i="69" s="1"/>
  <c r="R70" i="69" s="1"/>
  <c r="F30" i="2" s="1"/>
  <c r="F32" i="2" s="1"/>
  <c r="A29" i="2"/>
  <c r="F39" i="55"/>
  <c r="Q4" i="69"/>
  <c r="Q49" i="69" s="1"/>
  <c r="Q70" i="69" s="1"/>
  <c r="E30" i="2" s="1"/>
  <c r="E32" i="2" s="1"/>
  <c r="C9" i="97"/>
  <c r="C8" i="97"/>
  <c r="C12" i="97"/>
  <c r="C17" i="97"/>
  <c r="C15" i="97"/>
  <c r="C14" i="97"/>
  <c r="C16" i="97"/>
  <c r="C7" i="97"/>
  <c r="C10" i="97"/>
  <c r="C5" i="97"/>
  <c r="C6" i="97"/>
  <c r="C13" i="97"/>
  <c r="C11" i="97"/>
  <c r="O4" i="69"/>
  <c r="O49" i="69" s="1"/>
  <c r="O70" i="69" s="1"/>
  <c r="C30" i="2" s="1"/>
  <c r="B21" i="2"/>
  <c r="B22" i="2" s="1"/>
  <c r="F5" i="97" l="1"/>
  <c r="I5" i="97"/>
  <c r="I8" i="97"/>
  <c r="F8" i="97"/>
  <c r="I10" i="97"/>
  <c r="F10" i="97"/>
  <c r="F13" i="97"/>
  <c r="I13" i="97"/>
  <c r="I7" i="97"/>
  <c r="F7" i="97"/>
  <c r="I17" i="97"/>
  <c r="F17" i="97"/>
  <c r="B30" i="2"/>
  <c r="B14" i="2" s="1"/>
  <c r="B12" i="2" s="1"/>
  <c r="B13" i="2" s="1"/>
  <c r="C32" i="2"/>
  <c r="B32" i="2" s="1"/>
  <c r="B15" i="2" s="1"/>
  <c r="F14" i="97"/>
  <c r="I14" i="97"/>
  <c r="F11" i="97"/>
  <c r="I11" i="97"/>
  <c r="F15" i="97"/>
  <c r="I15" i="97"/>
  <c r="F9" i="97"/>
  <c r="I9" i="97"/>
  <c r="I6" i="97"/>
  <c r="F6" i="97"/>
  <c r="I16" i="97"/>
  <c r="F16" i="97"/>
  <c r="F12" i="97"/>
  <c r="I12" i="97"/>
</calcChain>
</file>

<file path=xl/sharedStrings.xml><?xml version="1.0" encoding="utf-8"?>
<sst xmlns="http://schemas.openxmlformats.org/spreadsheetml/2006/main" count="2388" uniqueCount="591">
  <si>
    <t>Likelihood</t>
  </si>
  <si>
    <t>Total Beta</t>
    <phoneticPr fontId="5" type="noConversion"/>
  </si>
  <si>
    <t>Req'ts Beta</t>
  </si>
  <si>
    <t>Dsgn Beta</t>
  </si>
  <si>
    <t>Mkt Beta</t>
  </si>
  <si>
    <t>Constr Beta</t>
  </si>
  <si>
    <t>Post Constr Beta</t>
  </si>
  <si>
    <t>Categorical mean</t>
  </si>
  <si>
    <t>SCC 60</t>
  </si>
  <si>
    <t>SCC 70</t>
  </si>
  <si>
    <t>SCC 80</t>
  </si>
  <si>
    <t>SCC</t>
  </si>
  <si>
    <t>Category</t>
  </si>
  <si>
    <t>Vehicles</t>
  </si>
  <si>
    <t>Professional services and Agency costs</t>
  </si>
  <si>
    <t>Guideway: At-grade exclusive right-of-way</t>
  </si>
  <si>
    <t>Guideway: At-grade semi-exclusive (allows cross-traffic)</t>
  </si>
  <si>
    <t>Guideway: At-grade in mixed traffic</t>
  </si>
  <si>
    <t>Guideway: Aerial structure</t>
  </si>
  <si>
    <t>Guideway: Built-up fill</t>
  </si>
  <si>
    <t>Guideway: Underground cut &amp; cover</t>
  </si>
  <si>
    <t>Guideway: Underground tunnel</t>
  </si>
  <si>
    <t>Guideway: Retained cut or fill</t>
  </si>
  <si>
    <t>Track:  Direct fixation</t>
  </si>
  <si>
    <t>Track:  Embedded</t>
  </si>
  <si>
    <t>Track:  Ballasted</t>
  </si>
  <si>
    <t>Track:  Special (switches, turnouts)</t>
  </si>
  <si>
    <t>Track:  Vibration and noise dampening</t>
  </si>
  <si>
    <t>Administration Building:  Office, sales, storage, revenue counting</t>
  </si>
  <si>
    <t xml:space="preserve">Light Maintenance Facility </t>
  </si>
  <si>
    <t>Heavy Maintenance Facility</t>
  </si>
  <si>
    <t>Storage or Maintenance of Way Building</t>
  </si>
  <si>
    <t>Yard and Yard Track</t>
  </si>
  <si>
    <t>Demolition, Clearing, Earthwork</t>
  </si>
  <si>
    <t>Site Utilities, Utility Relocation</t>
  </si>
  <si>
    <t>Haz. mat'l, contam'd soil removal/mitigation, ground water treatments</t>
  </si>
  <si>
    <t>Environmental mitigation, e.g. wetlands, historic/archeologic, parks</t>
  </si>
  <si>
    <t>Site structures including retaining walls, sound walls</t>
  </si>
  <si>
    <t>Pedestrian / bike access and accommodation, landscaping</t>
  </si>
  <si>
    <t>Automobile, bus, van accessways including roads, parking lots</t>
  </si>
  <si>
    <t>Temporary Facilities and other indirect costs during construction</t>
  </si>
  <si>
    <t>Train control and signals</t>
  </si>
  <si>
    <t>Traffic signals and crossing protection</t>
  </si>
  <si>
    <t xml:space="preserve">Traction power supply:  substations </t>
  </si>
  <si>
    <t>Traction power distribution:  catenary and third rail</t>
  </si>
  <si>
    <t>Communications</t>
  </si>
  <si>
    <t>Fare collection system and equipment</t>
  </si>
  <si>
    <t>Central Control</t>
  </si>
  <si>
    <t xml:space="preserve">Purchase or lease of real estate  </t>
  </si>
  <si>
    <t>Relocation of existing households and businesses</t>
  </si>
  <si>
    <t>Light Rail</t>
  </si>
  <si>
    <t>Heavy Rail</t>
  </si>
  <si>
    <t>Commuter Rail</t>
  </si>
  <si>
    <t>Bus</t>
  </si>
  <si>
    <t>Other</t>
  </si>
  <si>
    <t>Non-revenue vehicles</t>
  </si>
  <si>
    <t>Spare parts</t>
  </si>
  <si>
    <t>Project Management for Design and Construction</t>
  </si>
  <si>
    <t xml:space="preserve">Construction Administration &amp; Management </t>
  </si>
  <si>
    <t xml:space="preserve">Professional Liability and other Non-Construction Insurance </t>
  </si>
  <si>
    <t>Legal; Permits; Review Fees by other agencies, cities, etc.</t>
  </si>
  <si>
    <t>Surveys, Testing, Investigation, Inspection</t>
  </si>
  <si>
    <t>Start up</t>
  </si>
  <si>
    <t>At-grade station, stop, shelter, mall, terminal, platform</t>
  </si>
  <si>
    <t>Aerial station, stop, shelter, mall, terminal, platform</t>
  </si>
  <si>
    <t xml:space="preserve">Underground station, stop, shelter, mall, terminal, platform </t>
  </si>
  <si>
    <t xml:space="preserve">Other stations, landings, terminals:  Intermodal, ferry, trolley, etc. </t>
  </si>
  <si>
    <t xml:space="preserve">Joint development </t>
  </si>
  <si>
    <t>Automobile parking multi-story structure</t>
  </si>
  <si>
    <t>Elevators, escalators</t>
  </si>
  <si>
    <t>YOE Dollars</t>
  </si>
  <si>
    <t>Upper bound</t>
  </si>
  <si>
    <t>Lower bound</t>
  </si>
  <si>
    <t>Categorical median</t>
  </si>
  <si>
    <t>Beta distribution function values</t>
  </si>
  <si>
    <t>Lwrbnd</t>
  </si>
  <si>
    <t>Uprbnd</t>
  </si>
  <si>
    <t>Modeled cost</t>
  </si>
  <si>
    <t>Cum %</t>
  </si>
  <si>
    <t>Incr %</t>
  </si>
  <si>
    <t>Project values&gt;&gt;&gt;&gt;</t>
  </si>
  <si>
    <t>Median</t>
  </si>
  <si>
    <t>Mean</t>
  </si>
  <si>
    <t>&lt;&lt;&lt; Contingency target</t>
  </si>
  <si>
    <t>Adj Req'ts Beta</t>
  </si>
  <si>
    <t>Adj Dsgn Beta</t>
  </si>
  <si>
    <t>Adj Mkt Beta</t>
  </si>
  <si>
    <t>Adj Constr Beta</t>
  </si>
  <si>
    <t>Global SCC10-50 Req'ts Beta adjustment&gt;&gt;&gt;&gt;</t>
  </si>
  <si>
    <t>Global SCC10-50 Dsgn Beta adjustment&gt;&gt;&gt;&gt;</t>
  </si>
  <si>
    <t>Global SCC10-50 Mkt Beta adjustment&gt;&gt;&gt;&gt;</t>
  </si>
  <si>
    <t>Global SCC10-50 Constr Beta adjustment&gt;&gt;&gt;&gt;</t>
  </si>
  <si>
    <t>Beta</t>
  </si>
  <si>
    <t>Risk analysis</t>
  </si>
  <si>
    <t>Item</t>
  </si>
  <si>
    <t>Note</t>
  </si>
  <si>
    <t>YOE PMOC values</t>
  </si>
  <si>
    <t>Estimate</t>
  </si>
  <si>
    <t>^^^</t>
  </si>
  <si>
    <t>Standard SCC categories</t>
  </si>
  <si>
    <t>Constr</t>
  </si>
  <si>
    <t>ROW</t>
  </si>
  <si>
    <t>10-50</t>
  </si>
  <si>
    <t>60</t>
  </si>
  <si>
    <t>70</t>
  </si>
  <si>
    <t>80.01</t>
  </si>
  <si>
    <t>80.02</t>
  </si>
  <si>
    <t>80.03</t>
  </si>
  <si>
    <t>80.04</t>
  </si>
  <si>
    <t>80.05</t>
  </si>
  <si>
    <t>80.06</t>
  </si>
  <si>
    <t>80.07</t>
  </si>
  <si>
    <t>80.08</t>
  </si>
  <si>
    <t>40% Bid</t>
  </si>
  <si>
    <t>20% Constr</t>
  </si>
  <si>
    <t>50% Constr</t>
  </si>
  <si>
    <t>75% Constr</t>
  </si>
  <si>
    <t>90% Constr</t>
  </si>
  <si>
    <t>Vehcl</t>
  </si>
  <si>
    <t>ProjMgt</t>
  </si>
  <si>
    <t>ConAdmin</t>
  </si>
  <si>
    <t>Legal</t>
  </si>
  <si>
    <t>TechSvcs</t>
  </si>
  <si>
    <t>Project name</t>
  </si>
  <si>
    <t>FTA review milestone</t>
  </si>
  <si>
    <t>Project delivery method(s)</t>
  </si>
  <si>
    <t>Date of review</t>
  </si>
  <si>
    <t>Notes</t>
  </si>
  <si>
    <t xml:space="preserve">Project name:  </t>
  </si>
  <si>
    <t xml:space="preserve">FTA review milestone:  </t>
  </si>
  <si>
    <t xml:space="preserve">Date of review:  </t>
  </si>
  <si>
    <t>Base Evaluation</t>
  </si>
  <si>
    <t>&lt;&lt;&lt; Percentile test (adjust %value)</t>
  </si>
  <si>
    <t>Pre-bid</t>
  </si>
  <si>
    <t>Lower report range value=</t>
  </si>
  <si>
    <t>Upper report range value=</t>
  </si>
  <si>
    <t>&lt;&lt;&lt; Lower reporting range</t>
  </si>
  <si>
    <t>&lt;&lt;&lt; Upper reporting range</t>
  </si>
  <si>
    <t>The above should not be changed without FTA approval</t>
  </si>
  <si>
    <t>15% design</t>
  </si>
  <si>
    <t>30% design</t>
  </si>
  <si>
    <t>60% design</t>
  </si>
  <si>
    <t>SCC&gt;</t>
  </si>
  <si>
    <t>Project Development</t>
  </si>
  <si>
    <t>Engineering</t>
  </si>
  <si>
    <t>ProjDev</t>
  </si>
  <si>
    <t>Engin'g</t>
  </si>
  <si>
    <t xml:space="preserve">Sponsor:  </t>
  </si>
  <si>
    <t>Sponsor Estimate</t>
  </si>
  <si>
    <t>Sponsor Stripped Estimate</t>
  </si>
  <si>
    <t>YOE Sponsor values</t>
  </si>
  <si>
    <t>Sponsor stripped estimate (SCC 10-80)</t>
  </si>
  <si>
    <t>Sponsor</t>
  </si>
  <si>
    <t>&lt;&lt;&lt; Sponsor's estimate</t>
  </si>
  <si>
    <t xml:space="preserve">M A I N  W O R K S H E E T - B U I L D  A L T E R N A T I V E </t>
  </si>
  <si>
    <t>Yr of Base Year $</t>
  </si>
  <si>
    <t>Yr of Revenue Ops</t>
  </si>
  <si>
    <t>Quantity</t>
  </si>
  <si>
    <t>Base Year
Dollars w/o Contingency
(X000)</t>
  </si>
  <si>
    <t>Base Year Dollars Allocated Contingency
(X000)</t>
  </si>
  <si>
    <t>Base Year
Dollars
TOTAL
(X000)</t>
  </si>
  <si>
    <t>Base Year
Dollars Unit Cost
(X000)</t>
  </si>
  <si>
    <t>Base Year Dollars
Percentage
of
Construction
Cost</t>
  </si>
  <si>
    <t>Base Year
Dollars
Percentage
of
Total
Project Cost</t>
  </si>
  <si>
    <t>YOE Dollars Total
(X000)</t>
  </si>
  <si>
    <t>10 GUIDEWAY &amp; TRACK ELEMENTS (route miles)</t>
  </si>
  <si>
    <t>10.02</t>
  </si>
  <si>
    <t>20 STATIONS, STOPS, TERMINALS, INTERMODAL (number)</t>
  </si>
  <si>
    <t>30 SUPPORT FACILITIES: YARDS, SHOPS, ADMIN. BLDGS</t>
  </si>
  <si>
    <t>40 SITEWORK &amp; SPECIAL CONDITIONS</t>
  </si>
  <si>
    <t>50  SYSTEMS</t>
  </si>
  <si>
    <t>Construction Subtotal (10 - 50)</t>
  </si>
  <si>
    <t>60 ROW, LAND, EXISTING IMPROVEMENTS</t>
  </si>
  <si>
    <t>70 VEHICLES (number)</t>
  </si>
  <si>
    <t>80 PROFESSIONAL SERVICES (applies to Cats. 10-50)</t>
  </si>
  <si>
    <t>Engineering (not applicable to Small Starts)</t>
  </si>
  <si>
    <t>Subtotal (10 - 80)</t>
  </si>
  <si>
    <t>90 UNALLOCATED CONTINGENCY</t>
  </si>
  <si>
    <t>Subtotal (10 - 90)</t>
  </si>
  <si>
    <t>100  FINANCE CHARGES</t>
  </si>
  <si>
    <t>Total Project Cost (10 - 100)</t>
  </si>
  <si>
    <t>Allocated Contingency as % of Base Yr Dollars w/o Contingency</t>
  </si>
  <si>
    <t>Unallocated Contingency as % of Base Yr Dollars w/o Contingency</t>
  </si>
  <si>
    <t>Total Contingency as % of Base Yr Dollars w/o Contingency</t>
  </si>
  <si>
    <t>Unallocated Contingency as % of Subtotal (10 - 80)</t>
  </si>
  <si>
    <t>YOE Construction Cost per Mile (X000)</t>
  </si>
  <si>
    <t>YOE Total Project Cost per Mile Not Including Vehicles (X000)</t>
  </si>
  <si>
    <t>YOE Total Project Cost per Mile (X000)</t>
  </si>
  <si>
    <t>BASE YEAR DOLLARS (X$000)</t>
  </si>
  <si>
    <t>Base Yr Dollars</t>
  </si>
  <si>
    <t>YEAR OF EXPENDITURE DOLLARS (X$000)</t>
  </si>
  <si>
    <t>Inflation factor</t>
  </si>
  <si>
    <t>SCC 100 Finance Charges not included</t>
  </si>
  <si>
    <t>R</t>
  </si>
  <si>
    <t>M</t>
  </si>
  <si>
    <t>C</t>
  </si>
  <si>
    <t>Y-axis</t>
  </si>
  <si>
    <t>X-Axis</t>
  </si>
  <si>
    <t>Direct cost adjustments</t>
  </si>
  <si>
    <t>Duration adjustments
(non-inflation)</t>
  </si>
  <si>
    <t>Total adjustment</t>
  </si>
  <si>
    <t>Risk Profile (2)</t>
  </si>
  <si>
    <t>Risk Profile (3)</t>
  </si>
  <si>
    <t>Risk Profile (4)</t>
  </si>
  <si>
    <t>Risk Profile Values</t>
  </si>
  <si>
    <t>Profile (1)</t>
  </si>
  <si>
    <t>Profile (2)</t>
  </si>
  <si>
    <t>Profile (3)</t>
  </si>
  <si>
    <t>Profile (4)</t>
  </si>
  <si>
    <t>Total</t>
  </si>
  <si>
    <t>All Base Year Dollars w/o Contingency (X000</t>
  </si>
  <si>
    <t>CHECK:
See Errors below</t>
  </si>
  <si>
    <t>Sponsor SCC Values</t>
  </si>
  <si>
    <t>Project Totals</t>
  </si>
  <si>
    <t>SCC Main Date</t>
  </si>
  <si>
    <t>Latent Contingency Adjustments
Insert as negative value to subtract</t>
  </si>
  <si>
    <t>Overview</t>
  </si>
  <si>
    <t>Project Background Instructions</t>
  </si>
  <si>
    <t>Project Background</t>
  </si>
  <si>
    <t>Sponsor Project Background</t>
  </si>
  <si>
    <t>SCC 10-50</t>
  </si>
  <si>
    <t>Affected Risk Profile</t>
  </si>
  <si>
    <t>Affected SCC(s) or Global 10-50</t>
  </si>
  <si>
    <t>D</t>
  </si>
  <si>
    <t>Enter:
"C" for contingency target, 
or
"W" for worst-case target</t>
  </si>
  <si>
    <t>Beta Distribution Link -  Click here.</t>
  </si>
  <si>
    <t>FTA Reporting values</t>
  </si>
  <si>
    <t>FTA target</t>
  </si>
  <si>
    <r>
      <t xml:space="preserve">Risk curve parameter </t>
    </r>
    <r>
      <rPr>
        <i/>
        <sz val="10"/>
        <rFont val="Arial"/>
        <family val="2"/>
      </rPr>
      <t>a</t>
    </r>
    <r>
      <rPr>
        <sz val="10"/>
        <rFont val="Arial"/>
        <family val="2"/>
      </rPr>
      <t>=</t>
    </r>
  </si>
  <si>
    <r>
      <t xml:space="preserve">Risk curve parameter </t>
    </r>
    <r>
      <rPr>
        <i/>
        <sz val="10"/>
        <rFont val="Arial"/>
        <family val="2"/>
      </rPr>
      <t>b</t>
    </r>
    <r>
      <rPr>
        <sz val="10"/>
        <rFont val="Arial"/>
        <family val="2"/>
      </rPr>
      <t>=</t>
    </r>
  </si>
  <si>
    <t>PMOC Adjusted YOE Estimate</t>
  </si>
  <si>
    <t>Table of Contents: Worksheets</t>
  </si>
  <si>
    <t>Table of Contents: Worksheets (this worksheet)</t>
  </si>
  <si>
    <t>Sponsor Data</t>
  </si>
  <si>
    <t>Sponsor Baseline Instructions</t>
  </si>
  <si>
    <t>Sponsor SCC Main Worksheet</t>
  </si>
  <si>
    <t>Sponsor SCC Inflation Calculations</t>
  </si>
  <si>
    <t>---Base Year Adjustments</t>
  </si>
  <si>
    <t>Risk Profile Descriptions</t>
  </si>
  <si>
    <t>STEP ONE</t>
  </si>
  <si>
    <t>STEP TWO</t>
  </si>
  <si>
    <t>STEP THREE</t>
  </si>
  <si>
    <t>---Year of Expenditure (YOE) Adjustments</t>
  </si>
  <si>
    <t>PMOC Adjustments to Stripped Sponsor Base</t>
  </si>
  <si>
    <t>STEP FOUR</t>
  </si>
  <si>
    <t>PMOC Risk Assessment</t>
  </si>
  <si>
    <t>Risk Assessment Instructions</t>
  </si>
  <si>
    <t>Risk Workbook Overview</t>
  </si>
  <si>
    <t>PMOC Risk Profile 1 Assessment</t>
  </si>
  <si>
    <t>PMOC Risk Profile 2 Assessment</t>
  </si>
  <si>
    <t>PMOC Risk Profile 3 Assessment</t>
  </si>
  <si>
    <t>PMOC Risk Profile 4 Assessment</t>
  </si>
  <si>
    <t>PMOC Risk Profile Total Assessment</t>
  </si>
  <si>
    <t>Assign Project Uncertainty (Beta values) Instruction</t>
  </si>
  <si>
    <t>Project-specific Risk Instruction</t>
  </si>
  <si>
    <t>---Risk Assessment Total</t>
  </si>
  <si>
    <t>STEP FIVE</t>
  </si>
  <si>
    <t>PMOC Project Risk Analysis</t>
  </si>
  <si>
    <t>Risk Assessment Analysis Instructions</t>
  </si>
  <si>
    <t>Risk Assessment Analysis</t>
  </si>
  <si>
    <t>Sponsor Total Contingency %</t>
  </si>
  <si>
    <t>PMOC Direct Cost Adjustments</t>
  </si>
  <si>
    <t>PMOC Duration Adjustments</t>
  </si>
  <si>
    <t>PMOC Adjusted Estimate</t>
  </si>
  <si>
    <t>Sponsor Total Contingency Amount</t>
  </si>
  <si>
    <t>Total Contingency Amount</t>
  </si>
  <si>
    <t>Total Contingency %</t>
  </si>
  <si>
    <t>Adjusted, Inflated estimate</t>
  </si>
  <si>
    <t>Direct Cost Adjustments</t>
  </si>
  <si>
    <t>Duration Adjustments</t>
  </si>
  <si>
    <t>+</t>
  </si>
  <si>
    <t>Risk Profile 1 Short Name</t>
  </si>
  <si>
    <t>Risk Profile 2 Short Name</t>
  </si>
  <si>
    <t>Risk Profile 3 Short Name</t>
  </si>
  <si>
    <t>Risk Profile 4 Short Name</t>
  </si>
  <si>
    <t>Contingency recommendation amount in target</t>
  </si>
  <si>
    <t>Target contingency %</t>
  </si>
  <si>
    <t>20 STATIONS, STOPS, TERMINALS, INTERMODAL</t>
  </si>
  <si>
    <t>10 GUIDEWAY &amp; TRACK ELEMENTS</t>
  </si>
  <si>
    <t>70 VEHICLES</t>
  </si>
  <si>
    <t>80 PROFESSIONAL SERVICES</t>
  </si>
  <si>
    <t>Sponsor Base Year Dollars from SCC Main</t>
  </si>
  <si>
    <t>Risk Protection on Adjusted Estimate</t>
  </si>
  <si>
    <t>YOE Risk Assessment Detail ($,000)</t>
  </si>
  <si>
    <t>Overall</t>
  </si>
  <si>
    <t>Profile 1</t>
  </si>
  <si>
    <t>Profile 2</t>
  </si>
  <si>
    <t>Profile 3</t>
  </si>
  <si>
    <t>Profile 4</t>
  </si>
  <si>
    <t>Median report range value=</t>
  </si>
  <si>
    <t>Upper mid report range value=</t>
  </si>
  <si>
    <t>Not used</t>
  </si>
  <si>
    <t>YOE 10-80 Baseline and Adjustments Summary</t>
  </si>
  <si>
    <t>Set X-axis range to:</t>
  </si>
  <si>
    <t>Minimum just less than Lower Bound (p0):</t>
  </si>
  <si>
    <t>Maximum just more  than Upper Bound (p100):</t>
  </si>
  <si>
    <t>Move Sponsor Estimate and FTA Target indicator lines:</t>
  </si>
  <si>
    <t>Start of SCC 10-50 Project Phase:</t>
  </si>
  <si>
    <t>Beta suggestions at 15% design</t>
  </si>
  <si>
    <t>Beta suggestions  at 30% design</t>
  </si>
  <si>
    <t>Beta suggestions at 60% design</t>
  </si>
  <si>
    <t>--Risk Profiles</t>
  </si>
  <si>
    <t>PMOC Baseline Adjustments Instructions</t>
  </si>
  <si>
    <t xml:space="preserve">Risk Profile Values Breakdown </t>
  </si>
  <si>
    <t>PMOC Adjustments to Sponsor Base Year Values</t>
  </si>
  <si>
    <t>PMOC Input</t>
  </si>
  <si>
    <t>Data transferred from other worksheets</t>
  </si>
  <si>
    <t>Values calculated within worksheet</t>
  </si>
  <si>
    <t>Cautionary information</t>
  </si>
  <si>
    <t>Headings</t>
  </si>
  <si>
    <t>Instructional</t>
  </si>
  <si>
    <t>Cell color scheme</t>
  </si>
  <si>
    <t>See risk profile assessment worksheets</t>
  </si>
  <si>
    <t>PMOC</t>
  </si>
  <si>
    <t>Infl Adjst</t>
  </si>
  <si>
    <t>Sponsor Base Yr Dollars</t>
  </si>
  <si>
    <t>Sponsor YOE Dollars</t>
  </si>
  <si>
    <t>PMOC YOE Dollars</t>
  </si>
  <si>
    <t>Tab (worksheet) color scheme</t>
  </si>
  <si>
    <t>Workbook overview</t>
  </si>
  <si>
    <t>PMOC Adjusted project-wide inflation</t>
  </si>
  <si>
    <t>PMOC Adjusted Risk Profile Inflation</t>
  </si>
  <si>
    <t>Risk Profile (1) BY</t>
  </si>
  <si>
    <t>Risk Profile (2) BY</t>
  </si>
  <si>
    <t>Risk Profile (3) BY</t>
  </si>
  <si>
    <t>Risk Profile (4) BY</t>
  </si>
  <si>
    <t>Risk Profile (1) YOE</t>
  </si>
  <si>
    <t>Risk Profile (2) YOE</t>
  </si>
  <si>
    <t>Risk Profile (3) YOE</t>
  </si>
  <si>
    <t>Risk Profile (4) YOE</t>
  </si>
  <si>
    <t>Sponsor info</t>
  </si>
  <si>
    <t>Base year cost</t>
  </si>
  <si>
    <t>plus</t>
  </si>
  <si>
    <t>Base year total cost</t>
  </si>
  <si>
    <t>equals</t>
  </si>
  <si>
    <t>Base year</t>
  </si>
  <si>
    <t>YOE</t>
  </si>
  <si>
    <t>Inflation amount</t>
  </si>
  <si>
    <t>times</t>
  </si>
  <si>
    <t>YOE total cost</t>
  </si>
  <si>
    <t>Sponsor SCC Main</t>
  </si>
  <si>
    <t>Sponsor SCC Inflation</t>
  </si>
  <si>
    <t>BY Budget</t>
  </si>
  <si>
    <t>&gt;&gt;&gt;</t>
  </si>
  <si>
    <t>PMOC BY Adj</t>
  </si>
  <si>
    <t>PMOC Pre-risk Adjustments</t>
  </si>
  <si>
    <t>Stripped, Adjusted Est</t>
  </si>
  <si>
    <t>Risk Assessment</t>
  </si>
  <si>
    <t>factored by</t>
  </si>
  <si>
    <t>Risk findings</t>
  </si>
  <si>
    <t>reported as</t>
  </si>
  <si>
    <t>PMOC Risk Analysis</t>
  </si>
  <si>
    <t>(Time-related)</t>
  </si>
  <si>
    <t>(Direct cost)</t>
  </si>
  <si>
    <t>(Latent Conting.)</t>
  </si>
  <si>
    <t>(Phase-related uncertainty factors)</t>
  </si>
  <si>
    <t>(Risk-specific factors)</t>
  </si>
  <si>
    <t>BY unallocated contingency</t>
  </si>
  <si>
    <t>BY allocated contingency</t>
  </si>
  <si>
    <t>YOE unallocated Contingency</t>
  </si>
  <si>
    <t>YOE budget</t>
  </si>
  <si>
    <t>PMOC adjusted Inflation</t>
  </si>
  <si>
    <t>applied to</t>
  </si>
  <si>
    <t>PMOC YOE Adj</t>
  </si>
  <si>
    <t>(Uses SCC Wkbk)</t>
  </si>
  <si>
    <t>(Adjusted SCC Wkbk)</t>
  </si>
  <si>
    <t>PMOC Infl Adjst</t>
  </si>
  <si>
    <t>(Lower Bound)</t>
  </si>
  <si>
    <t>Beta suggestions at 95% design/Pre-Bid</t>
  </si>
  <si>
    <t>Beta suggestions at 100% design/post-bid</t>
  </si>
  <si>
    <t>Beta suggestions at 20% constructed</t>
  </si>
  <si>
    <t>Beta suggestions at 50% constructed</t>
  </si>
  <si>
    <t>Beta suggestions at 75% constructed</t>
  </si>
  <si>
    <t>Beta suggestions at RSD</t>
  </si>
  <si>
    <t>SCCs 10-50 ∆Beta general uncertainty drawdown calculations</t>
  </si>
  <si>
    <t>Requirements Risk</t>
  </si>
  <si>
    <t>Requirements ∆Beta is:</t>
  </si>
  <si>
    <t>If:</t>
  </si>
  <si>
    <t>Lower bracket</t>
  </si>
  <si>
    <t>Upper bracket</t>
  </si>
  <si>
    <t>Factor</t>
  </si>
  <si>
    <t>Starting value:</t>
  </si>
  <si>
    <t>Ending value:</t>
  </si>
  <si>
    <t>Plus
% Drawdown
times factor</t>
  </si>
  <si>
    <t>Equals ∆Beta:</t>
  </si>
  <si>
    <t>Dsgn % Compl is between</t>
  </si>
  <si>
    <t>Design Risk</t>
  </si>
  <si>
    <t>Market Risk</t>
  </si>
  <si>
    <t>Mkt % Compl is between</t>
  </si>
  <si>
    <t>Construction Risk</t>
  </si>
  <si>
    <t>Constr. % Compl is between</t>
  </si>
  <si>
    <t>Closeout Risk</t>
  </si>
  <si>
    <t>Closeout ∆Beta is:</t>
  </si>
  <si>
    <t>Dsgn % Complete&gt;&gt;</t>
  </si>
  <si>
    <t>If Dsgn&lt;15%, estimate and add R &amp; M Beta</t>
  </si>
  <si>
    <t>Mkt % Complete&gt;&gt;</t>
  </si>
  <si>
    <t>Constr % Complete&gt;&gt;</t>
  </si>
  <si>
    <t>SCCs 80.03 ∆Beta general uncertainty drawdown calculations</t>
  </si>
  <si>
    <t>SCCs 80.04 ∆Beta general uncertainty drawdown calculations</t>
  </si>
  <si>
    <t>SCCs 80.05 ∆Beta general uncertainty drawdown calculations</t>
  </si>
  <si>
    <t>SCCs 80.06 ∆Beta general uncertainty drawdown calculations</t>
  </si>
  <si>
    <t>SCCs 80.07 ∆Beta general uncertainty drawdown calculations</t>
  </si>
  <si>
    <t>SCCs 80.08 ∆Beta general uncertainty drawdown calculations</t>
  </si>
  <si>
    <t>SCC 80.01 ∆Beta general uncertainty drawdown calculations</t>
  </si>
  <si>
    <t>SCC 80.02 ∆Beta general uncertainty drawdown calculations</t>
  </si>
  <si>
    <t>Planning Risk</t>
  </si>
  <si>
    <t>Planning ∆Beta is:</t>
  </si>
  <si>
    <t>Acquisition Risk</t>
  </si>
  <si>
    <t>Acquisition ∆Beta is:</t>
  </si>
  <si>
    <t>Execution Risk</t>
  </si>
  <si>
    <t>Post-RSD % Complete&gt;&gt;</t>
  </si>
  <si>
    <t>Post-RSD % Compl is between</t>
  </si>
  <si>
    <t>Requirements Risk (R)</t>
  </si>
  <si>
    <t>Planning Risk (D)</t>
  </si>
  <si>
    <t>Acquisition Risk (M)</t>
  </si>
  <si>
    <t>Execution Risk (C)</t>
  </si>
  <si>
    <t>Requirements (R) ∆Beta is:</t>
  </si>
  <si>
    <t>Planning (D) ∆Beta is:</t>
  </si>
  <si>
    <t>Acquisition (M) ∆Beta is:</t>
  </si>
  <si>
    <t>SCC 10-50 Project Profile Progression</t>
  </si>
  <si>
    <t>Summary results</t>
  </si>
  <si>
    <t>Detailed calculations, see summary results</t>
  </si>
  <si>
    <t>Civil and Systems</t>
  </si>
  <si>
    <t>Apply these values to all SCC 10-50 level 2</t>
  </si>
  <si>
    <t>Start Plus
% Drawdown
times factor</t>
  </si>
  <si>
    <t>Post-RSD Beta</t>
  </si>
  <si>
    <t>Affected risk type (R,D,M,C,P,G)</t>
  </si>
  <si>
    <t>SCC 60 Project Profile Progression</t>
  </si>
  <si>
    <t>SCC 70 Project Profile Progression</t>
  </si>
  <si>
    <t>% RAMP Development</t>
  </si>
  <si>
    <t>% Offers made</t>
  </si>
  <si>
    <t>% Closures finalized</t>
  </si>
  <si>
    <t>% Vehicle Design</t>
  </si>
  <si>
    <t>% Vehicle Procurement</t>
  </si>
  <si>
    <t>% Vehicle Delivered and Tested</t>
  </si>
  <si>
    <t>% Post Vehicle Testing</t>
  </si>
  <si>
    <t>Post-Closures</t>
  </si>
  <si>
    <t>% Post-Real Closures</t>
  </si>
  <si>
    <t>Real Estate</t>
  </si>
  <si>
    <t>Apply these values to all level 2 SCC 70</t>
  </si>
  <si>
    <t>Apply these values to all level 2 SCC 60</t>
  </si>
  <si>
    <t>Ramp % Compl is between</t>
  </si>
  <si>
    <t>RAMP(D) Risk</t>
  </si>
  <si>
    <t>Offers(M) Risk</t>
  </si>
  <si>
    <t>Closure(C) Risk</t>
  </si>
  <si>
    <t>Post-closure Risk</t>
  </si>
  <si>
    <t>Offers % Compl is between</t>
  </si>
  <si>
    <t>Closures. % Compl is between</t>
  </si>
  <si>
    <t>Post-Closure % Compl is between</t>
  </si>
  <si>
    <t>VehDsgn % Compl is between</t>
  </si>
  <si>
    <t>VehDesign (D) Risk</t>
  </si>
  <si>
    <t>VehProcure (M) Risk</t>
  </si>
  <si>
    <t>VehPostAccept Risk</t>
  </si>
  <si>
    <t>VehBuild/Accept (C) Risk</t>
  </si>
  <si>
    <t>VehProc % Compl is between</t>
  </si>
  <si>
    <t>VehAccept % Compl is between</t>
  </si>
  <si>
    <t>Post-VehAccept % Compl is between</t>
  </si>
  <si>
    <t>SCC 60 ∆Beta general uncertainty drawdown calculations</t>
  </si>
  <si>
    <t>SCCs70 ∆Beta general uncertainty drawdown calculations</t>
  </si>
  <si>
    <t>Req'ts Beta (R)</t>
  </si>
  <si>
    <t>RAMP Beta (D)</t>
  </si>
  <si>
    <t>Offers Beta (M)</t>
  </si>
  <si>
    <t>Closures Beta (C)</t>
  </si>
  <si>
    <t>Design Beta (D)</t>
  </si>
  <si>
    <t>Procure Beta (M)</t>
  </si>
  <si>
    <t>Acceptance Beta (C)</t>
  </si>
  <si>
    <t>P</t>
  </si>
  <si>
    <t>Execution (C) ∆Beta is:</t>
  </si>
  <si>
    <t>Closeout (P) ∆Beta is:</t>
  </si>
  <si>
    <t>1) Project Background</t>
  </si>
  <si>
    <t>2) Sponsor original data</t>
  </si>
  <si>
    <t>3) PMOC cost basis analysis</t>
  </si>
  <si>
    <t>5) Reportable risk analysis</t>
  </si>
  <si>
    <t>Appendices</t>
  </si>
  <si>
    <t>Copy this table within this green border to include in report</t>
  </si>
  <si>
    <t>Lower Bound sum for SCC(s)</t>
  </si>
  <si>
    <t>Project-specific risk for adjustments
(not included in uncertainty standard Betas)</t>
  </si>
  <si>
    <t>Transit Agency</t>
  </si>
  <si>
    <t>4) PMOC risk analysis</t>
  </si>
  <si>
    <t>Risk Beta factors</t>
  </si>
  <si>
    <t>Risk Beta curve</t>
  </si>
  <si>
    <t>Standards Instruction</t>
  </si>
  <si>
    <t>DBB / CMGC Beta Uncertainty Standard</t>
  </si>
  <si>
    <t>SCC 80 Beta Calculations</t>
  </si>
  <si>
    <t>DBB Beta Drawdown Graphs</t>
  </si>
  <si>
    <t>Project-specific Risk Calculations</t>
  </si>
  <si>
    <t>SCC 10-50 Beta Calculations</t>
  </si>
  <si>
    <t>Beta Factor Standards</t>
  </si>
  <si>
    <t>SCC 60 / 70 Beta Calculations</t>
  </si>
  <si>
    <t>Cost Risk Calculations Schema</t>
  </si>
  <si>
    <t>Time-related direct cost adjustments
(not inflation)</t>
  </si>
  <si>
    <t>All Profiles Combined</t>
  </si>
  <si>
    <t>FTA Target (blue/large-hash lines):</t>
  </si>
  <si>
    <t>PMOC Global adjustments to Sponsor inflation</t>
  </si>
  <si>
    <t>PMOC Inflation adjustments by profile and calculation of PMOC- Inflated, Adjusted, Stripped Estimate</t>
  </si>
  <si>
    <t>Beta Adjustment to Risk Profile/ SCC(s)/Risk Type (highlight adjusted cell)</t>
  </si>
  <si>
    <t>To calculate project-specific risk Beta adjustment to add/subtract to uncertainty Beta (by risk profile):
1) Determine which SCC(s) &amp; Risk Type(s)* are affected for a particular risk.  If SCC 10-50, adjustment will be made as a global factor.  Use multiple lines for cases of multiple risk types.
2) Determine target cost adjustment (+ or -) as either: a projected contingency amount (C), or as a worst-case cost amount (W) (best case in terms of risk reduction).
3) Enter the appropriate values in the table and read the Beta adjustment factor.
4) Return to the Risk Assessment worksheet and manually add the Beta adjustment factor to the prior-determined uncertainty factor in the "... Beta" column for the appropriate SCC/risk type.
* Risk types: R-Requirements, D-Design, M-Market, C-Construction, P-Post-RSD, G-Global 10-50
-- See adjustment notes to the right. --</t>
  </si>
  <si>
    <t>Enter adjustment amount indicated for "C" or "W"</t>
  </si>
  <si>
    <t>Project Name</t>
  </si>
  <si>
    <t>Sponsor name</t>
  </si>
  <si>
    <t>Milestone</t>
  </si>
  <si>
    <t>ProjDelMthd</t>
  </si>
  <si>
    <t>ReviewDate</t>
  </si>
  <si>
    <t>Review milestone</t>
  </si>
  <si>
    <t>Date</t>
  </si>
  <si>
    <t>Year</t>
  </si>
  <si>
    <t>Transit project</t>
  </si>
  <si>
    <t>Not Used</t>
  </si>
  <si>
    <t xml:space="preserve">M A I N  W O R K S H E E T 
B U I L D  A L T E R N A T I V E </t>
  </si>
  <si>
    <t>Base Year (BY) to Year of Expenditure (YOE) Calculator (Inflator)</t>
  </si>
  <si>
    <t>Enter BY value</t>
  </si>
  <si>
    <t>Read YOE value</t>
  </si>
  <si>
    <t>Enter YOE value</t>
  </si>
  <si>
    <t>Read BY value</t>
  </si>
  <si>
    <t>Inflation from "Sponsor SCC Main" worksheet</t>
  </si>
  <si>
    <t>Additional profile values&gt;&gt;&gt;&gt;</t>
  </si>
  <si>
    <t>Additional
Profiles</t>
  </si>
  <si>
    <t>Sponsor YOE SCC 10-80 Contingency</t>
  </si>
  <si>
    <t>Sponsor YOE SCC 10-80 Stripped Estimate</t>
  </si>
  <si>
    <t>If only one profile is used, these columns may be hidden. 
Hide unused profiles.</t>
  </si>
  <si>
    <t>Primary Workbook</t>
  </si>
  <si>
    <t>Hide if no addendum to this workbook</t>
  </si>
  <si>
    <t>Copy "Overall"
(values only)
from separate addendum to this workbook</t>
  </si>
  <si>
    <t>Values are derived from other tabs.  Review for consistency. Unhide columns C-G  for multiple risk profiles.</t>
  </si>
  <si>
    <t>PMOC Latent Contingency Deduct</t>
  </si>
  <si>
    <t>Latent contingency Deduct</t>
  </si>
  <si>
    <t>Latent Contingency Deductions (negative)</t>
  </si>
  <si>
    <t>Inflation / Deflation Calculator</t>
  </si>
  <si>
    <t>Enter BY or YOE values as indicted and read inflated or deflated values.  The calculations are based on the initial Sponsor inflation values from its SCC Workbook, as included in the "Sponsor SCC Main" worksheet</t>
  </si>
  <si>
    <t>Appendices: Risk factoring standards</t>
  </si>
  <si>
    <t>The partial Beta values below are potential general uncertainty starting points for the cost risk analysis for DBB and CMGC project profiles, or other delivery methods in early stages of project progression.
The reviewer should use judgment when applying these values and amend for project circumstances.
See OP40 for a discussion of amendments for other project delivery methods, such as Design-Build.</t>
  </si>
  <si>
    <t>Construction ∆Beta is:</t>
  </si>
  <si>
    <t>The method available here to determine SCC 80 partial Betas by sub-SCC is as follows:
Establish the partial Betas for the various Civil work progression; This is generally sufficiently if the civil procurement is similar to DBB or CMGC delivery and is not performed in multiple phases.  Enter completion values for design, market, construction, and closeout completions for the CIVIL portions of the work in the SCC 10-50 Project Profile Progressions matrix, below.  For multiple-phase projects, select a reasonable "average" across all of the phases.  Read the partial calculated partial Beta values and insert them into the appropriate columns under R, D, M, C, and Closeout.
2) For non single-phase DBB/CMGC or DB and similar projects, review the results by individual sub-SCC (80.01, 80.02,...) and determine whether any sub-SCC 80 code appears to be more or less risky than indicated.  These amounts represent historic uncertainty risk as follows: R - risk in scope of services that may occur due to forces beyond the control of the project; D - risk that results from changes in the current planned scope for the professional service; M - potential changes from the currently expected cost; and C - potential changes that may occur during the course of future delivery of the service.  If any of these values are at odds with the understanding of the activity, then a change in the partial Beta value may be estimated using the Project-Specific Risk Calcs tab.</t>
  </si>
  <si>
    <t>Year of Expenditure (YOE) to Base Year (BY) Calculator (Deflator)</t>
  </si>
  <si>
    <t>PMOC adjustmts</t>
  </si>
  <si>
    <t>Adjustment comments</t>
  </si>
  <si>
    <t>Requirements</t>
  </si>
  <si>
    <t>Spec. risk</t>
  </si>
  <si>
    <t>Uncer-
tainty</t>
  </si>
  <si>
    <t>Design</t>
  </si>
  <si>
    <t>Market</t>
  </si>
  <si>
    <t>Construction</t>
  </si>
  <si>
    <t>Post-construction</t>
  </si>
  <si>
    <t>/\ /\ /\ Global adjustment are applied above /\ /\ /\</t>
  </si>
  <si>
    <t>\/ \/ \/ Global adjustments are not applied below \/ \/ \/</t>
  </si>
  <si>
    <t>This worksheet provides for adjustment to Sponsor cash flow or inflation rates.
Original non-adjusted sponsor Base Year (BY) and Year of Expenditure (YOE) values from Sponsor SCC Workbook are pre-loaded in this worksheetin Column C. 
  ** If no adjustment from Sponsor values is indicated, then copy and paste "Sponsor YOE Dollars" values into yellow cells.  No further action is required.
  ** If there is a significant expected difference in Sponsor projected cash flow, or a significant expected difference in Sponsor future year inflation rates, then a global inflation adjustment may be required.  Follow Steps 1-4.
1) Obtain original Sponsor SCC workbook.  Without making adjustment to Sponsor future Base Year values, if necessary re-spread Sponsor base year expenditures from original Sponsor SCC workbook across time, based on PMOC analysis of schedule and schedule risk. Rename and keep adjusted Sponsor SCC workbook to document changes made.  Adjustments to Sponsor base year direct cost are made separately in the PMOC BY Adj worksheet.
2) Within the same adjusted Sponsor SCC workbook as in Step 1, above, if necessary adjust inflation rates based on PMOC analysis.
3) Copy summary adjusted YOE SCC values obtained from the analysis in Steps 1 &amp; 2, above, into the yellow cells of this worksheet.  The PMOC inflation adjustment factors are automatically calculated.
4) Capture notes herein regarding rationale behind the PMOC changes, and name of PMOC-adjusted SCC workbook.  Include those notes in the PMOC report.</t>
  </si>
  <si>
    <r>
      <t xml:space="preserve">Copy </t>
    </r>
    <r>
      <rPr>
        <b/>
        <i/>
        <sz val="11"/>
        <rFont val="Arial"/>
        <family val="2"/>
      </rPr>
      <t>values only</t>
    </r>
    <r>
      <rPr>
        <sz val="11"/>
        <rFont val="Arial"/>
        <family val="2"/>
      </rPr>
      <t xml:space="preserve"> from Sponsor SCC Main into yellow areas of this worksheet.
Carefully verify values.</t>
    </r>
  </si>
  <si>
    <t>Project-wide inflation values are pre-loaded in the yellow cells from PMOC Global Infl Adj worksheet.
* If only one Profile, any adjustments may be made in the PMOC Global Inflation adjustments tab.
* If multiple risk profiles and if needed, change values to risk-profile specific inflation values; any such changes may likely require profile-specific inflation values across all risk profiles used.
Note any file name used to calculate these values.</t>
  </si>
  <si>
    <t xml:space="preserve">1) Sponsor values are derived from Sponsor SCC Main worksheet in this workbook.
2) Verify that values correspond to Sponsor SCC Workbook, Inflation worksheet.  If not, investigate as to cause and correct. </t>
  </si>
  <si>
    <t>---Assign Project Base Uncertainty and Specific Risk</t>
  </si>
  <si>
    <t>Reporting Graphic</t>
  </si>
  <si>
    <t>Beta factor tools</t>
  </si>
  <si>
    <t>Other Helpful Tools and Information</t>
  </si>
  <si>
    <t>Adj Post Beta</t>
  </si>
  <si>
    <t>Stripped YOE values with neither PMOC cost nor inflation adjustments</t>
  </si>
  <si>
    <t>PMOC Inflation Adjust. on Sponsor Estimate</t>
  </si>
  <si>
    <t>Inflation Adjustment on Sponsor Estimate</t>
  </si>
  <si>
    <t>Summary additional Profiles from addendum workbook</t>
  </si>
  <si>
    <t>5.16a</t>
  </si>
  <si>
    <t>Risk Model Version Number</t>
  </si>
  <si>
    <t>Date Published</t>
  </si>
  <si>
    <t>5.16b</t>
  </si>
  <si>
    <t>2021 May 14</t>
  </si>
  <si>
    <t>Changes</t>
  </si>
  <si>
    <t>List values by Risk Profile.  At bottom of sheet in text box, name of any source file(s) used to complete this worksheet.
NOTE: If only one risk profile, copy base year values directly from the Spsonor SCC Main Worksheet in this model.
Ensure totals match Sponsor SCC workbook totals (See "CHECK" column M.)  Check column does not function when addendum risk workbooks are used to expand risk profiles.</t>
  </si>
  <si>
    <t>Sponsor Base Year Dollars w/o contingency x Inflation Factor</t>
  </si>
  <si>
    <r>
      <t xml:space="preserve">For informational purposes, the following table and resulting graphs represents the progression of </t>
    </r>
    <r>
      <rPr>
        <sz val="11"/>
        <color theme="1"/>
        <rFont val="Calibri (Body)"/>
      </rPr>
      <t>total</t>
    </r>
    <r>
      <rPr>
        <sz val="11"/>
        <color theme="1"/>
        <rFont val="Calibri"/>
        <family val="2"/>
        <scheme val="minor"/>
      </rPr>
      <t xml:space="preserve"> Beta risk factor draw downs of Beta values for SCC codes, based on typical DBB project progressions.
Detailed progression of partial Beta drawdowns for risk types Requirements, Design, Construction, and Post-construction are more fully outlined in other Appendix worksheets and in OP40.</t>
    </r>
  </si>
  <si>
    <t>Insurance</t>
  </si>
  <si>
    <t>StartUp</t>
  </si>
  <si>
    <t>revisions incorporated, checked and tested by David Sillars</t>
  </si>
  <si>
    <r>
      <t xml:space="preserve">Enter these adjustments as suggested from OP33 review. List PMOC adjustments to base year estimate. Include note regarding the reason for the PMOC adjustment.  Indicate source document and analysis for these adjustments at bottom of sheet.                                                                                                                                                       </t>
    </r>
    <r>
      <rPr>
        <b/>
        <sz val="10"/>
        <rFont val="Arial"/>
        <family val="2"/>
      </rPr>
      <t>n.b. Latent contingency values are entered as negative.</t>
    </r>
  </si>
  <si>
    <r>
      <rPr>
        <b/>
        <u/>
        <sz val="10"/>
        <rFont val="Arial"/>
        <family val="2"/>
      </rPr>
      <t>Assumptions</t>
    </r>
    <r>
      <rPr>
        <sz val="10"/>
        <rFont val="Arial"/>
        <family val="2"/>
      </rPr>
      <t xml:space="preserve">
Write key risk analysis assumptions here</t>
    </r>
  </si>
  <si>
    <r>
      <rPr>
        <b/>
        <u/>
        <sz val="10"/>
        <rFont val="Arial"/>
        <family val="2"/>
      </rPr>
      <t>Primary risks narrative</t>
    </r>
    <r>
      <rPr>
        <sz val="10"/>
        <rFont val="Arial"/>
        <family val="2"/>
      </rPr>
      <t xml:space="preserve">
General description of key areas of risk.</t>
    </r>
  </si>
  <si>
    <r>
      <rPr>
        <b/>
        <u/>
        <sz val="10"/>
        <rFont val="Arial"/>
        <family val="2"/>
      </rPr>
      <t>Project Description</t>
    </r>
    <r>
      <rPr>
        <sz val="10"/>
        <rFont val="Arial"/>
        <family val="2"/>
      </rPr>
      <t xml:space="preserve">
Include here a synopsis of the project.  May be taken from Scope report.</t>
    </r>
  </si>
  <si>
    <t>changed password</t>
  </si>
  <si>
    <t>corrected spelling errors</t>
  </si>
  <si>
    <t>PMOC BY Risk Profile Values tab - corrected spacing to show Column A, revised title in cells O3-R3 from "Sponsor Base Year Dollars from SCC Main" to "Sponsor Base Year Dollars w/o contingency x Inflation Factor"</t>
  </si>
  <si>
    <t>PMOC Profl Infl Adj tab - reset spacing to view column A content</t>
  </si>
  <si>
    <t>Base Uncertainty Instructions tab - revised spacing of text boxes in columns J and K</t>
  </si>
  <si>
    <t>added change log sheet</t>
  </si>
  <si>
    <t>added model version text on several sheets</t>
  </si>
  <si>
    <t>PMOC Project Background tab - reset note spacing in cells C16, C17, C18</t>
  </si>
  <si>
    <t>Sponsor SCC Main tab - added the same formula as the SCC Workbook in column K to calculate inflation factor and also the formula in rows 78 thru 84 (denoted by blue fill color)</t>
  </si>
  <si>
    <t>Please direct questions, comments and inquiries to:                                                                                                                                                                                                                  Lisa Gavin
Federal Transit Administration
Office of Program Management
1200 New Jersey Avenue, S.E.
Washington, DC 20590                                                                                                                                                                                                                                                                         lisa.gavin@dot.gov                                                                                                                                                                                                                                                                                             202-366-9291</t>
  </si>
  <si>
    <t>checked and tested by Lisa Gavin</t>
  </si>
  <si>
    <r>
      <t xml:space="preserve">Insert </t>
    </r>
    <r>
      <rPr>
        <u/>
        <sz val="11"/>
        <rFont val="Arial"/>
        <family val="2"/>
      </rPr>
      <t>values</t>
    </r>
    <r>
      <rPr>
        <sz val="11"/>
        <rFont val="Arial"/>
        <family val="2"/>
      </rPr>
      <t xml:space="preserve"> only in yellow highlighted cells from 'Risk Assessment Totals' tab of addendum risk workbook.</t>
    </r>
  </si>
  <si>
    <r>
      <t xml:space="preserve">This graphic derives its data from the risk assessment. Each project requires some adjustment:
1) Adjust the X-axis to span the entire range of $ possibilities, from just below Lower Bound (p0) to just above Upper Bound (p100) (guidance is provided below the graph);
2) Adjust the horizontal and vertical lines for the FTA target and Sponsor Estimate (guidance is provided below the graph);
3) Move the line labels for the lines that show the modeled FTA Target pValue and Sponsor Estimate. </t>
    </r>
    <r>
      <rPr>
        <b/>
        <i/>
        <sz val="11"/>
        <rFont val="Arial"/>
        <family val="2"/>
      </rPr>
      <t>These are not automatically graphed</t>
    </r>
    <r>
      <rPr>
        <sz val="11"/>
        <rFont val="Arial"/>
        <family val="2"/>
      </rPr>
      <t>, but must be placed in position once the lines are properly adjusted. Guidance is provided below the graph;
4) To copy for placement in report--Select the graphic and the added lines and captions in Excel (Edit&gt;Select All), then Copy, then Paste into Risk Report as a PDF.</t>
    </r>
  </si>
  <si>
    <t>Sponsor value (red/small-dotted lines):</t>
  </si>
  <si>
    <t>Enter project profile progression values for design, market, construction, and closeout completions.  Read the calculated partial Beta values and insert them into the appropriate columns under R, D, M, C, and Post-RSD (closeout).</t>
  </si>
  <si>
    <t>Enter project profile progression values for Real Estate and Vehicles completions.  Read the partial calculated partial Beta values and insert them into the appropriate columns under R, D, M, C, and Post-RSD (closeout).</t>
  </si>
  <si>
    <t>2022 April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</si>
</sst>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_);_(* \(#,##0\);_(* &quot;-&quot;??_);_(@_)"/>
    <numFmt numFmtId="165" formatCode="0.0%"/>
    <numFmt numFmtId="166" formatCode="#,##0,"/>
    <numFmt numFmtId="167" formatCode="#,##0,_);\(#,##0,\)"/>
    <numFmt numFmtId="168" formatCode="0.00_)"/>
    <numFmt numFmtId="169" formatCode="&quot;$&quot;#,##0,"/>
    <numFmt numFmtId="170" formatCode="_(&quot;$&quot;* #,##0_);_(&quot;$&quot;* \(#,##0\);_(&quot;$&quot;* &quot;-&quot;??_);_(@_)"/>
    <numFmt numFmtId="171" formatCode="0.000"/>
    <numFmt numFmtId="172" formatCode="#,##0.0000"/>
    <numFmt numFmtId="173" formatCode="#,##0.00,,"/>
    <numFmt numFmtId="174" formatCode="_(* #,##0,_);_(* \(#,##0,\);_(* &quot;-&quot;??_);_(@_)"/>
  </numFmts>
  <fonts count="4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Verdana"/>
      <family val="2"/>
    </font>
    <font>
      <sz val="10"/>
      <name val="Arial"/>
      <family val="2"/>
    </font>
    <font>
      <sz val="16"/>
      <name val="Arial"/>
      <family val="2"/>
    </font>
    <font>
      <b/>
      <sz val="10"/>
      <name val="Arial"/>
      <family val="2"/>
    </font>
    <font>
      <b/>
      <sz val="18"/>
      <name val="Arial"/>
      <family val="2"/>
    </font>
    <font>
      <b/>
      <u/>
      <sz val="10"/>
      <name val="Arial"/>
      <family val="2"/>
    </font>
    <font>
      <b/>
      <sz val="11"/>
      <color theme="1"/>
      <name val="Calibri"/>
      <family val="2"/>
      <scheme val="minor"/>
    </font>
    <font>
      <u/>
      <sz val="10"/>
      <color theme="10"/>
      <name val="Arial"/>
      <family val="2"/>
    </font>
    <font>
      <u/>
      <sz val="10"/>
      <color theme="11"/>
      <name val="Arial"/>
      <family val="2"/>
    </font>
    <font>
      <u/>
      <sz val="11"/>
      <color theme="1"/>
      <name val="Calibri"/>
      <family val="2"/>
      <scheme val="minor"/>
    </font>
    <font>
      <b/>
      <sz val="16"/>
      <color indexed="18"/>
      <name val="Arial Black"/>
      <family val="2"/>
    </font>
    <font>
      <sz val="10"/>
      <color indexed="18"/>
      <name val="Arial Black"/>
      <family val="2"/>
    </font>
    <font>
      <sz val="10"/>
      <color indexed="18"/>
      <name val="Arial"/>
      <family val="2"/>
    </font>
    <font>
      <b/>
      <sz val="14"/>
      <color indexed="18"/>
      <name val="Arial"/>
      <family val="2"/>
    </font>
    <font>
      <sz val="12"/>
      <color indexed="18"/>
      <name val="Arial"/>
      <family val="2"/>
    </font>
    <font>
      <sz val="11"/>
      <color indexed="18"/>
      <name val="Arial"/>
      <family val="2"/>
    </font>
    <font>
      <sz val="11"/>
      <name val="Arial"/>
      <family val="2"/>
    </font>
    <font>
      <b/>
      <sz val="11"/>
      <color indexed="18"/>
      <name val="Arial"/>
      <family val="2"/>
    </font>
    <font>
      <sz val="8"/>
      <color indexed="18"/>
      <name val="Arial"/>
      <family val="2"/>
    </font>
    <font>
      <b/>
      <sz val="11"/>
      <name val="Arial"/>
      <family val="2"/>
    </font>
    <font>
      <sz val="18"/>
      <color indexed="18"/>
      <name val="Arial"/>
      <family val="2"/>
    </font>
    <font>
      <sz val="18"/>
      <name val="Arial"/>
      <family val="2"/>
    </font>
    <font>
      <i/>
      <sz val="10"/>
      <name val="Arial"/>
      <family val="2"/>
    </font>
    <font>
      <b/>
      <sz val="12"/>
      <name val="Arial"/>
      <family val="2"/>
    </font>
    <font>
      <b/>
      <sz val="16"/>
      <name val="Arial"/>
      <family val="2"/>
    </font>
    <font>
      <u/>
      <sz val="10"/>
      <name val="Arial"/>
      <family val="2"/>
    </font>
    <font>
      <sz val="16"/>
      <color theme="1"/>
      <name val="Calibri"/>
      <family val="2"/>
      <scheme val="minor"/>
    </font>
    <font>
      <sz val="10"/>
      <color rgb="FFFF0000"/>
      <name val="Arial"/>
      <family val="2"/>
    </font>
    <font>
      <u/>
      <sz val="10"/>
      <color rgb="FFFF0000"/>
      <name val="Arial"/>
      <family val="2"/>
    </font>
    <font>
      <b/>
      <sz val="12"/>
      <color theme="1"/>
      <name val="Calibri"/>
      <family val="2"/>
      <scheme val="minor"/>
    </font>
    <font>
      <u/>
      <sz val="14"/>
      <color rgb="FF000000"/>
      <name val="Calibri"/>
      <family val="2"/>
      <scheme val="minor"/>
    </font>
    <font>
      <sz val="8"/>
      <color theme="1"/>
      <name val="Calibri"/>
      <family val="2"/>
      <scheme val="minor"/>
    </font>
    <font>
      <sz val="12"/>
      <name val="Arial"/>
      <family val="2"/>
    </font>
    <font>
      <sz val="14"/>
      <name val="Arial"/>
      <family val="2"/>
    </font>
    <font>
      <sz val="9"/>
      <name val="Arial"/>
      <family val="2"/>
    </font>
    <font>
      <b/>
      <sz val="11"/>
      <name val="Calibri"/>
      <family val="2"/>
      <scheme val="minor"/>
    </font>
    <font>
      <b/>
      <u/>
      <sz val="12"/>
      <name val="Arial"/>
      <family val="2"/>
    </font>
    <font>
      <b/>
      <i/>
      <sz val="11"/>
      <name val="Arial"/>
      <family val="2"/>
    </font>
    <font>
      <b/>
      <u/>
      <sz val="14"/>
      <color theme="1"/>
      <name val="Calibri"/>
      <family val="2"/>
      <scheme val="minor"/>
    </font>
    <font>
      <u/>
      <sz val="11"/>
      <name val="Arial"/>
      <family val="2"/>
    </font>
    <font>
      <sz val="11"/>
      <color theme="1"/>
      <name val="Calibri (Body)"/>
    </font>
    <font>
      <sz val="11"/>
      <color indexed="22"/>
      <name val="Arial"/>
      <family val="2"/>
    </font>
  </fonts>
  <fills count="32">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rgb="FFFFCC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3" tint="0.39997558519241921"/>
        <bgColor indexed="64"/>
      </patternFill>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rgb="FF000000"/>
      </patternFill>
    </fill>
    <fill>
      <patternFill patternType="solid">
        <fgColor theme="8" tint="-0.249977111117893"/>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99CC00"/>
        <bgColor indexed="64"/>
      </patternFill>
    </fill>
    <fill>
      <patternFill patternType="solid">
        <fgColor rgb="FFCCC0DA"/>
        <bgColor rgb="FF000000"/>
      </patternFill>
    </fill>
    <fill>
      <patternFill patternType="solid">
        <fgColor rgb="FFBFBFBF"/>
        <bgColor rgb="FF000000"/>
      </patternFill>
    </fill>
    <fill>
      <patternFill patternType="solid">
        <fgColor rgb="FFA6A6A6"/>
        <bgColor rgb="FF000000"/>
      </patternFill>
    </fill>
    <fill>
      <patternFill patternType="solid">
        <fgColor rgb="FF92D050"/>
        <bgColor rgb="FF000000"/>
      </patternFill>
    </fill>
    <fill>
      <patternFill patternType="solid">
        <fgColor theme="3" tint="0.59999389629810485"/>
        <bgColor rgb="FF000000"/>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CCCFF"/>
        <bgColor indexed="64"/>
      </patternFill>
    </fill>
    <fill>
      <patternFill patternType="solid">
        <fgColor rgb="FF538DD5"/>
        <bgColor indexed="64"/>
      </patternFill>
    </fill>
  </fills>
  <borders count="92">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rgb="FF000000"/>
      </right>
      <top style="medium">
        <color indexed="64"/>
      </top>
      <bottom style="medium">
        <color indexed="64"/>
      </bottom>
      <diagonal/>
    </border>
    <border>
      <left style="medium">
        <color auto="1"/>
      </left>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style="thin">
        <color auto="1"/>
      </left>
      <right style="medium">
        <color indexed="64"/>
      </right>
      <top style="thin">
        <color auto="1"/>
      </top>
      <bottom/>
      <diagonal/>
    </border>
    <border>
      <left/>
      <right/>
      <top style="medium">
        <color auto="1"/>
      </top>
      <bottom style="double">
        <color indexed="64"/>
      </bottom>
      <diagonal/>
    </border>
    <border>
      <left style="medium">
        <color auto="1"/>
      </left>
      <right style="thin">
        <color auto="1"/>
      </right>
      <top style="medium">
        <color auto="1"/>
      </top>
      <bottom style="double">
        <color indexed="64"/>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auto="1"/>
      </right>
      <top style="medium">
        <color auto="1"/>
      </top>
      <bottom style="double">
        <color indexed="64"/>
      </bottom>
      <diagonal/>
    </border>
    <border>
      <left/>
      <right/>
      <top style="thin">
        <color auto="1"/>
      </top>
      <bottom/>
      <diagonal/>
    </border>
    <border>
      <left/>
      <right style="thin">
        <color auto="1"/>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thin">
        <color auto="1"/>
      </left>
      <right/>
      <top style="thin">
        <color auto="1"/>
      </top>
      <bottom style="medium">
        <color indexed="64"/>
      </bottom>
      <diagonal/>
    </border>
    <border>
      <left/>
      <right style="thin">
        <color auto="1"/>
      </right>
      <top style="medium">
        <color auto="1"/>
      </top>
      <bottom/>
      <diagonal/>
    </border>
    <border>
      <left style="medium">
        <color auto="1"/>
      </left>
      <right style="medium">
        <color auto="1"/>
      </right>
      <top style="medium">
        <color auto="1"/>
      </top>
      <bottom style="double">
        <color auto="1"/>
      </bottom>
      <diagonal/>
    </border>
    <border>
      <left style="thin">
        <color auto="1"/>
      </left>
      <right/>
      <top style="medium">
        <color auto="1"/>
      </top>
      <bottom style="double">
        <color indexed="64"/>
      </bottom>
      <diagonal/>
    </border>
  </borders>
  <cellStyleXfs count="70">
    <xf numFmtId="0" fontId="0"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cellStyleXfs>
  <cellXfs count="1264">
    <xf numFmtId="0" fontId="0" fillId="0" borderId="0" xfId="0"/>
    <xf numFmtId="0" fontId="0" fillId="0" borderId="0" xfId="0" applyAlignment="1">
      <alignment horizontal="center" wrapText="1"/>
    </xf>
    <xf numFmtId="3" fontId="0" fillId="0" borderId="0" xfId="0" applyNumberFormat="1" applyFill="1" applyBorder="1"/>
    <xf numFmtId="0" fontId="0" fillId="0" borderId="0" xfId="0" applyBorder="1"/>
    <xf numFmtId="0" fontId="4" fillId="0" borderId="0" xfId="0" applyFont="1"/>
    <xf numFmtId="0" fontId="3" fillId="0" borderId="0" xfId="4"/>
    <xf numFmtId="0" fontId="0" fillId="0" borderId="0" xfId="0" applyAlignment="1">
      <alignment vertical="top" wrapText="1"/>
    </xf>
    <xf numFmtId="0" fontId="8" fillId="0" borderId="0" xfId="0" applyFont="1" applyFill="1"/>
    <xf numFmtId="0" fontId="16" fillId="11" borderId="5" xfId="0" applyFont="1" applyFill="1" applyBorder="1" applyAlignment="1" applyProtection="1">
      <alignment horizontal="left" vertical="center" indent="1"/>
    </xf>
    <xf numFmtId="0" fontId="17" fillId="11" borderId="11" xfId="0" applyFont="1" applyFill="1" applyBorder="1" applyAlignment="1" applyProtection="1">
      <alignment vertical="center"/>
    </xf>
    <xf numFmtId="0" fontId="18" fillId="11" borderId="11" xfId="0" applyFont="1" applyFill="1" applyBorder="1" applyAlignment="1" applyProtection="1">
      <alignment vertical="center"/>
    </xf>
    <xf numFmtId="0" fontId="19" fillId="11" borderId="11" xfId="0" applyFont="1" applyFill="1" applyBorder="1" applyAlignment="1" applyProtection="1">
      <alignment horizontal="center" vertical="center"/>
    </xf>
    <xf numFmtId="0" fontId="18" fillId="11" borderId="11" xfId="0" applyFont="1" applyFill="1" applyBorder="1" applyAlignment="1" applyProtection="1">
      <alignment horizontal="left" vertical="center"/>
    </xf>
    <xf numFmtId="0" fontId="18" fillId="11" borderId="6" xfId="0" applyFont="1" applyFill="1" applyBorder="1" applyAlignment="1" applyProtection="1">
      <alignment horizontal="right" vertical="center" indent="1"/>
    </xf>
    <xf numFmtId="39" fontId="23" fillId="11" borderId="7" xfId="0" applyNumberFormat="1" applyFont="1" applyFill="1" applyBorder="1" applyAlignment="1" applyProtection="1">
      <alignment vertical="top"/>
    </xf>
    <xf numFmtId="39" fontId="23" fillId="11" borderId="0" xfId="0" applyNumberFormat="1" applyFont="1" applyFill="1" applyBorder="1" applyAlignment="1" applyProtection="1">
      <alignment vertical="top"/>
    </xf>
    <xf numFmtId="39" fontId="18" fillId="11" borderId="7" xfId="0" applyNumberFormat="1" applyFont="1" applyFill="1" applyBorder="1" applyAlignment="1" applyProtection="1">
      <alignment horizontal="right" vertical="top"/>
    </xf>
    <xf numFmtId="39" fontId="18" fillId="11" borderId="0" xfId="0" applyNumberFormat="1" applyFont="1" applyFill="1" applyBorder="1" applyAlignment="1" applyProtection="1">
      <alignment vertical="top"/>
    </xf>
    <xf numFmtId="168" fontId="18" fillId="11" borderId="7" xfId="0" applyNumberFormat="1" applyFont="1" applyFill="1" applyBorder="1" applyAlignment="1" applyProtection="1">
      <alignment vertical="top"/>
    </xf>
    <xf numFmtId="0" fontId="18" fillId="11" borderId="0" xfId="0" applyFont="1" applyFill="1" applyBorder="1" applyAlignment="1" applyProtection="1">
      <alignment vertical="top"/>
    </xf>
    <xf numFmtId="0" fontId="18" fillId="11" borderId="0" xfId="0" applyFont="1" applyFill="1" applyBorder="1" applyAlignment="1" applyProtection="1">
      <alignment horizontal="left" vertical="top"/>
    </xf>
    <xf numFmtId="0" fontId="23" fillId="11" borderId="0" xfId="0" applyFont="1" applyFill="1" applyBorder="1" applyAlignment="1" applyProtection="1">
      <alignment vertical="top"/>
    </xf>
    <xf numFmtId="0" fontId="18" fillId="11" borderId="0" xfId="0" applyFont="1" applyFill="1" applyBorder="1" applyAlignment="1" applyProtection="1">
      <alignment vertical="top" wrapText="1"/>
    </xf>
    <xf numFmtId="168" fontId="23" fillId="11" borderId="7" xfId="0" applyNumberFormat="1" applyFont="1" applyFill="1" applyBorder="1" applyAlignment="1" applyProtection="1">
      <alignment vertical="top"/>
    </xf>
    <xf numFmtId="0" fontId="23" fillId="11" borderId="0" xfId="0" applyFont="1" applyFill="1" applyBorder="1" applyAlignment="1" applyProtection="1">
      <alignment horizontal="left" vertical="top"/>
    </xf>
    <xf numFmtId="39" fontId="18" fillId="11" borderId="7" xfId="0" applyNumberFormat="1" applyFont="1" applyFill="1" applyBorder="1" applyAlignment="1" applyProtection="1">
      <alignment vertical="top"/>
    </xf>
    <xf numFmtId="39" fontId="18" fillId="11" borderId="7" xfId="0" applyNumberFormat="1" applyFont="1" applyFill="1" applyBorder="1" applyAlignment="1" applyProtection="1">
      <alignment vertical="center"/>
    </xf>
    <xf numFmtId="39" fontId="18" fillId="11" borderId="9" xfId="0" applyNumberFormat="1" applyFont="1" applyFill="1" applyBorder="1" applyAlignment="1" applyProtection="1">
      <alignment vertical="center"/>
    </xf>
    <xf numFmtId="0" fontId="21" fillId="11" borderId="23" xfId="0" applyFont="1" applyFill="1" applyBorder="1" applyAlignment="1" applyProtection="1">
      <alignment vertical="center"/>
    </xf>
    <xf numFmtId="0" fontId="21" fillId="11" borderId="3" xfId="0" applyFont="1" applyFill="1" applyBorder="1" applyAlignment="1" applyProtection="1">
      <alignment vertical="center"/>
    </xf>
    <xf numFmtId="0" fontId="21" fillId="11" borderId="16" xfId="0" applyFont="1" applyFill="1" applyBorder="1" applyAlignment="1" applyProtection="1">
      <alignment vertical="center"/>
    </xf>
    <xf numFmtId="0" fontId="21" fillId="11" borderId="34" xfId="0" applyFont="1" applyFill="1" applyBorder="1" applyAlignment="1" applyProtection="1">
      <alignment vertical="center"/>
    </xf>
    <xf numFmtId="0" fontId="23" fillId="11" borderId="26" xfId="0" applyFont="1" applyFill="1" applyBorder="1" applyAlignment="1" applyProtection="1">
      <alignment vertical="center"/>
    </xf>
    <xf numFmtId="0" fontId="0" fillId="11" borderId="0" xfId="0" applyFill="1" applyBorder="1"/>
    <xf numFmtId="2" fontId="0" fillId="9" borderId="27" xfId="0" applyNumberFormat="1" applyFill="1" applyBorder="1"/>
    <xf numFmtId="2" fontId="0" fillId="9" borderId="55" xfId="0" applyNumberFormat="1" applyFill="1" applyBorder="1"/>
    <xf numFmtId="0" fontId="0" fillId="11" borderId="26" xfId="0" applyFill="1" applyBorder="1" applyAlignment="1">
      <alignment horizontal="center" wrapText="1"/>
    </xf>
    <xf numFmtId="0" fontId="0" fillId="11" borderId="7" xfId="0" applyFill="1" applyBorder="1"/>
    <xf numFmtId="3" fontId="0" fillId="11" borderId="0" xfId="0" applyNumberFormat="1" applyFill="1" applyBorder="1"/>
    <xf numFmtId="2" fontId="0" fillId="11" borderId="7" xfId="0" applyNumberFormat="1" applyFill="1" applyBorder="1"/>
    <xf numFmtId="166" fontId="0" fillId="11" borderId="0" xfId="0" applyNumberFormat="1" applyFill="1" applyBorder="1"/>
    <xf numFmtId="166" fontId="0" fillId="13" borderId="0" xfId="0" applyNumberFormat="1" applyFill="1" applyBorder="1"/>
    <xf numFmtId="166" fontId="0" fillId="13" borderId="8" xfId="0" applyNumberFormat="1" applyFill="1" applyBorder="1"/>
    <xf numFmtId="166" fontId="0" fillId="13" borderId="21" xfId="0" applyNumberFormat="1" applyFill="1" applyBorder="1"/>
    <xf numFmtId="166" fontId="0" fillId="13" borderId="47" xfId="0" applyNumberFormat="1" applyFill="1" applyBorder="1"/>
    <xf numFmtId="166" fontId="0" fillId="13" borderId="45" xfId="0" applyNumberFormat="1" applyFill="1" applyBorder="1" applyAlignment="1"/>
    <xf numFmtId="166" fontId="0" fillId="13" borderId="45" xfId="0" applyNumberFormat="1" applyFill="1" applyBorder="1"/>
    <xf numFmtId="166" fontId="0" fillId="13" borderId="48" xfId="0" applyNumberFormat="1" applyFill="1" applyBorder="1"/>
    <xf numFmtId="0" fontId="0" fillId="11" borderId="27" xfId="0" applyFill="1" applyBorder="1" applyAlignment="1">
      <alignment horizontal="center" wrapText="1"/>
    </xf>
    <xf numFmtId="166" fontId="0" fillId="13" borderId="7" xfId="3" applyNumberFormat="1" applyFont="1" applyFill="1" applyBorder="1"/>
    <xf numFmtId="166" fontId="0" fillId="13" borderId="9" xfId="3" applyNumberFormat="1" applyFont="1" applyFill="1" applyBorder="1"/>
    <xf numFmtId="4" fontId="0" fillId="11" borderId="0" xfId="0" applyNumberFormat="1" applyFill="1" applyBorder="1"/>
    <xf numFmtId="3" fontId="0" fillId="11" borderId="8" xfId="0" applyNumberFormat="1" applyFill="1" applyBorder="1"/>
    <xf numFmtId="9" fontId="0" fillId="11" borderId="7" xfId="0" applyNumberFormat="1" applyFill="1" applyBorder="1"/>
    <xf numFmtId="166" fontId="0" fillId="11" borderId="0" xfId="3" applyNumberFormat="1" applyFont="1" applyFill="1" applyBorder="1"/>
    <xf numFmtId="165" fontId="0" fillId="11" borderId="0" xfId="0" applyNumberFormat="1" applyFill="1" applyBorder="1"/>
    <xf numFmtId="0" fontId="0" fillId="11" borderId="8" xfId="0" applyFill="1" applyBorder="1"/>
    <xf numFmtId="0" fontId="0" fillId="11" borderId="13" xfId="0" applyFill="1" applyBorder="1" applyAlignment="1">
      <alignment horizontal="left"/>
    </xf>
    <xf numFmtId="0" fontId="0" fillId="11" borderId="14" xfId="0" applyFill="1" applyBorder="1" applyAlignment="1">
      <alignment horizontal="left"/>
    </xf>
    <xf numFmtId="9" fontId="0" fillId="9" borderId="12" xfId="0" applyNumberFormat="1" applyFill="1" applyBorder="1"/>
    <xf numFmtId="0" fontId="0" fillId="11" borderId="9" xfId="0" applyFill="1" applyBorder="1"/>
    <xf numFmtId="0" fontId="0" fillId="11" borderId="10" xfId="0" applyFill="1" applyBorder="1"/>
    <xf numFmtId="0" fontId="0" fillId="0" borderId="0" xfId="0" applyBorder="1" applyAlignment="1">
      <alignment horizontal="center"/>
    </xf>
    <xf numFmtId="0" fontId="0" fillId="11" borderId="48" xfId="0" applyFill="1" applyBorder="1" applyAlignment="1">
      <alignment horizontal="center"/>
    </xf>
    <xf numFmtId="4" fontId="0" fillId="11" borderId="7" xfId="0" applyNumberFormat="1" applyFill="1" applyBorder="1"/>
    <xf numFmtId="2" fontId="0" fillId="13" borderId="54" xfId="0" applyNumberFormat="1" applyFill="1" applyBorder="1"/>
    <xf numFmtId="0" fontId="0" fillId="11" borderId="11" xfId="0" applyFill="1" applyBorder="1"/>
    <xf numFmtId="9" fontId="0" fillId="11" borderId="8" xfId="1" applyFont="1" applyFill="1" applyBorder="1"/>
    <xf numFmtId="166" fontId="0" fillId="13" borderId="13" xfId="3" applyNumberFormat="1" applyFont="1" applyFill="1" applyBorder="1"/>
    <xf numFmtId="165" fontId="0" fillId="13" borderId="20" xfId="0" applyNumberFormat="1" applyFill="1" applyBorder="1"/>
    <xf numFmtId="165" fontId="0" fillId="13" borderId="33" xfId="0" applyNumberFormat="1" applyFill="1" applyBorder="1"/>
    <xf numFmtId="9" fontId="0" fillId="13" borderId="73" xfId="1" applyFont="1" applyFill="1" applyBorder="1"/>
    <xf numFmtId="9" fontId="0" fillId="13" borderId="76" xfId="1" applyFont="1" applyFill="1" applyBorder="1"/>
    <xf numFmtId="165" fontId="0" fillId="13" borderId="45" xfId="0" applyNumberFormat="1" applyFill="1" applyBorder="1"/>
    <xf numFmtId="9" fontId="0" fillId="13" borderId="48" xfId="1" applyFont="1" applyFill="1" applyBorder="1"/>
    <xf numFmtId="9" fontId="0" fillId="11" borderId="64" xfId="0" applyNumberFormat="1" applyFill="1" applyBorder="1"/>
    <xf numFmtId="166" fontId="0" fillId="13" borderId="73" xfId="0" applyNumberFormat="1" applyFill="1" applyBorder="1"/>
    <xf numFmtId="9" fontId="0" fillId="11" borderId="50" xfId="0" applyNumberFormat="1" applyFill="1" applyBorder="1"/>
    <xf numFmtId="166" fontId="0" fillId="13" borderId="76" xfId="0" applyNumberFormat="1" applyFill="1" applyBorder="1"/>
    <xf numFmtId="9" fontId="0" fillId="11" borderId="59" xfId="0" applyNumberFormat="1" applyFill="1" applyBorder="1"/>
    <xf numFmtId="2" fontId="0" fillId="13" borderId="50" xfId="0" applyNumberFormat="1" applyFill="1" applyBorder="1"/>
    <xf numFmtId="166" fontId="0" fillId="13" borderId="42" xfId="0" applyNumberFormat="1" applyFill="1" applyBorder="1"/>
    <xf numFmtId="166" fontId="0" fillId="13" borderId="80" xfId="0" applyNumberFormat="1" applyFill="1" applyBorder="1"/>
    <xf numFmtId="166" fontId="0" fillId="13" borderId="30" xfId="0" applyNumberFormat="1" applyFill="1" applyBorder="1"/>
    <xf numFmtId="166" fontId="0" fillId="13" borderId="23" xfId="0" applyNumberFormat="1" applyFill="1" applyBorder="1"/>
    <xf numFmtId="2" fontId="0" fillId="13" borderId="64" xfId="0" applyNumberFormat="1" applyFill="1" applyBorder="1"/>
    <xf numFmtId="166" fontId="0" fillId="13" borderId="68" xfId="0" applyNumberFormat="1" applyFill="1" applyBorder="1"/>
    <xf numFmtId="2" fontId="0" fillId="13" borderId="29" xfId="0" applyNumberFormat="1" applyFill="1" applyBorder="1"/>
    <xf numFmtId="0" fontId="0" fillId="11" borderId="6" xfId="0" applyFill="1" applyBorder="1"/>
    <xf numFmtId="0" fontId="10" fillId="0" borderId="0" xfId="0" applyFont="1" applyFill="1" applyBorder="1" applyAlignment="1">
      <alignment vertical="center" textRotation="90" wrapText="1"/>
    </xf>
    <xf numFmtId="0" fontId="10" fillId="0" borderId="0" xfId="0" applyFont="1" applyFill="1" applyAlignment="1">
      <alignment vertical="center" textRotation="90" wrapText="1"/>
    </xf>
    <xf numFmtId="0" fontId="0" fillId="0" borderId="0" xfId="0" applyFill="1" applyBorder="1" applyAlignment="1">
      <alignment horizontal="right"/>
    </xf>
    <xf numFmtId="0" fontId="0" fillId="0" borderId="0" xfId="0" applyFill="1" applyBorder="1"/>
    <xf numFmtId="0" fontId="0" fillId="0" borderId="0" xfId="0" applyFill="1" applyBorder="1" applyAlignment="1">
      <alignment horizontal="center" wrapText="1"/>
    </xf>
    <xf numFmtId="4" fontId="0" fillId="0" borderId="0" xfId="0" applyNumberFormat="1" applyFill="1" applyBorder="1"/>
    <xf numFmtId="4" fontId="0" fillId="0" borderId="0" xfId="0" applyNumberFormat="1" applyFill="1" applyBorder="1" applyProtection="1">
      <protection locked="0"/>
    </xf>
    <xf numFmtId="166" fontId="0" fillId="0" borderId="0" xfId="0" applyNumberFormat="1" applyFill="1" applyBorder="1"/>
    <xf numFmtId="0" fontId="0" fillId="0" borderId="0" xfId="0" applyFill="1" applyBorder="1" applyAlignment="1">
      <alignment horizontal="center"/>
    </xf>
    <xf numFmtId="0" fontId="0" fillId="0" borderId="7" xfId="0" applyFill="1" applyBorder="1"/>
    <xf numFmtId="0" fontId="0" fillId="11" borderId="0" xfId="0" applyFill="1" applyBorder="1" applyAlignment="1">
      <alignment horizontal="right"/>
    </xf>
    <xf numFmtId="0" fontId="4" fillId="11" borderId="82" xfId="0" applyFont="1" applyFill="1" applyBorder="1" applyAlignment="1">
      <alignment horizontal="right"/>
    </xf>
    <xf numFmtId="0" fontId="4" fillId="11" borderId="0" xfId="0" applyFont="1" applyFill="1" applyBorder="1" applyAlignment="1">
      <alignment horizontal="right"/>
    </xf>
    <xf numFmtId="0" fontId="0" fillId="11" borderId="0" xfId="0" applyFont="1" applyFill="1" applyBorder="1" applyAlignment="1">
      <alignment horizontal="right"/>
    </xf>
    <xf numFmtId="0" fontId="0" fillId="7" borderId="6" xfId="0" applyFill="1" applyBorder="1"/>
    <xf numFmtId="0" fontId="9" fillId="0" borderId="0" xfId="0" applyFont="1" applyFill="1"/>
    <xf numFmtId="9" fontId="0" fillId="9" borderId="18" xfId="0" applyNumberFormat="1" applyFill="1" applyBorder="1"/>
    <xf numFmtId="9" fontId="0" fillId="9" borderId="1" xfId="0" applyNumberFormat="1" applyFill="1" applyBorder="1"/>
    <xf numFmtId="173" fontId="0" fillId="9" borderId="1" xfId="0" applyNumberFormat="1" applyFill="1" applyBorder="1"/>
    <xf numFmtId="173" fontId="0" fillId="9" borderId="18" xfId="0" applyNumberFormat="1" applyFill="1" applyBorder="1"/>
    <xf numFmtId="11" fontId="0" fillId="9" borderId="1" xfId="0" applyNumberFormat="1" applyFill="1" applyBorder="1"/>
    <xf numFmtId="11" fontId="0" fillId="9" borderId="18" xfId="0" applyNumberFormat="1" applyFill="1" applyBorder="1"/>
    <xf numFmtId="0" fontId="4" fillId="7" borderId="11" xfId="0" applyFont="1" applyFill="1" applyBorder="1" applyAlignment="1">
      <alignment horizontal="center"/>
    </xf>
    <xf numFmtId="0" fontId="4" fillId="7" borderId="6" xfId="0" applyFont="1" applyFill="1" applyBorder="1" applyAlignment="1">
      <alignment horizontal="center"/>
    </xf>
    <xf numFmtId="0" fontId="18" fillId="11" borderId="37" xfId="0" applyFont="1" applyFill="1" applyBorder="1" applyAlignment="1" applyProtection="1">
      <alignment horizontal="center" vertical="top"/>
    </xf>
    <xf numFmtId="0" fontId="18" fillId="11" borderId="38" xfId="0" applyFont="1" applyFill="1" applyBorder="1" applyAlignment="1" applyProtection="1">
      <alignment horizontal="center" vertical="top" wrapText="1"/>
    </xf>
    <xf numFmtId="0" fontId="24" fillId="11" borderId="38" xfId="0" applyFont="1" applyFill="1" applyBorder="1" applyAlignment="1" applyProtection="1">
      <alignment horizontal="center" vertical="top" wrapText="1"/>
    </xf>
    <xf numFmtId="39" fontId="23" fillId="11" borderId="5" xfId="0" applyNumberFormat="1" applyFont="1" applyFill="1" applyBorder="1" applyAlignment="1" applyProtection="1">
      <alignment vertical="top"/>
    </xf>
    <xf numFmtId="39" fontId="23" fillId="11" borderId="6" xfId="0" applyNumberFormat="1" applyFont="1" applyFill="1" applyBorder="1" applyAlignment="1" applyProtection="1">
      <alignment vertical="top"/>
    </xf>
    <xf numFmtId="39" fontId="18" fillId="11" borderId="8" xfId="0" applyNumberFormat="1" applyFont="1" applyFill="1" applyBorder="1" applyAlignment="1" applyProtection="1">
      <alignment vertical="top"/>
    </xf>
    <xf numFmtId="39" fontId="23" fillId="11" borderId="8" xfId="0" applyNumberFormat="1" applyFont="1" applyFill="1" applyBorder="1" applyAlignment="1" applyProtection="1">
      <alignment vertical="top"/>
    </xf>
    <xf numFmtId="0" fontId="18" fillId="11" borderId="8" xfId="0" applyFont="1" applyFill="1" applyBorder="1" applyAlignment="1" applyProtection="1">
      <alignment vertical="top"/>
    </xf>
    <xf numFmtId="0" fontId="18" fillId="11" borderId="8" xfId="0" applyFont="1" applyFill="1" applyBorder="1" applyAlignment="1" applyProtection="1">
      <alignment horizontal="left" vertical="top"/>
    </xf>
    <xf numFmtId="0" fontId="23" fillId="11" borderId="8" xfId="0" applyFont="1" applyFill="1" applyBorder="1" applyAlignment="1" applyProtection="1">
      <alignment vertical="top"/>
    </xf>
    <xf numFmtId="0" fontId="18" fillId="11" borderId="8" xfId="0" applyFont="1" applyFill="1" applyBorder="1" applyAlignment="1" applyProtection="1">
      <alignment vertical="top" wrapText="1"/>
    </xf>
    <xf numFmtId="0" fontId="23" fillId="11" borderId="8" xfId="0" applyFont="1" applyFill="1" applyBorder="1" applyAlignment="1" applyProtection="1">
      <alignment horizontal="left" vertical="top"/>
    </xf>
    <xf numFmtId="0" fontId="9" fillId="11" borderId="8" xfId="0" applyFont="1" applyFill="1" applyBorder="1" applyAlignment="1" applyProtection="1">
      <alignment vertical="center"/>
    </xf>
    <xf numFmtId="0" fontId="18" fillId="11" borderId="8" xfId="0" applyFont="1" applyFill="1" applyBorder="1" applyAlignment="1" applyProtection="1">
      <alignment vertical="center"/>
    </xf>
    <xf numFmtId="0" fontId="18" fillId="11" borderId="10" xfId="0" applyFont="1" applyFill="1" applyBorder="1" applyAlignment="1" applyProtection="1">
      <alignment vertical="center"/>
    </xf>
    <xf numFmtId="0" fontId="18" fillId="11" borderId="11" xfId="0" applyFont="1" applyFill="1" applyBorder="1" applyAlignment="1" applyProtection="1">
      <alignment horizontal="right" vertical="center" indent="1"/>
    </xf>
    <xf numFmtId="0" fontId="0" fillId="11" borderId="11" xfId="0" applyFill="1" applyBorder="1" applyAlignment="1">
      <alignment horizontal="center" wrapText="1"/>
    </xf>
    <xf numFmtId="0" fontId="3" fillId="11" borderId="0" xfId="4" applyFill="1"/>
    <xf numFmtId="0" fontId="12" fillId="11" borderId="57" xfId="4" applyFont="1" applyFill="1" applyBorder="1" applyAlignment="1">
      <alignment horizontal="center"/>
    </xf>
    <xf numFmtId="0" fontId="12" fillId="11" borderId="58" xfId="4" applyFont="1" applyFill="1" applyBorder="1" applyAlignment="1">
      <alignment horizontal="center"/>
    </xf>
    <xf numFmtId="0" fontId="12" fillId="11" borderId="58" xfId="4" applyFont="1" applyFill="1" applyBorder="1" applyAlignment="1">
      <alignment horizontal="center" wrapText="1"/>
    </xf>
    <xf numFmtId="0" fontId="12" fillId="11" borderId="61" xfId="4" applyFont="1" applyFill="1" applyBorder="1" applyAlignment="1">
      <alignment horizontal="center" wrapText="1"/>
    </xf>
    <xf numFmtId="0" fontId="15" fillId="11" borderId="56" xfId="4" applyFont="1" applyFill="1" applyBorder="1"/>
    <xf numFmtId="17" fontId="3" fillId="11" borderId="13" xfId="4" quotePrefix="1" applyNumberFormat="1" applyFill="1" applyBorder="1" applyAlignment="1">
      <alignment horizontal="center"/>
    </xf>
    <xf numFmtId="0" fontId="3" fillId="11" borderId="13" xfId="4" quotePrefix="1" applyFill="1" applyBorder="1" applyAlignment="1">
      <alignment horizontal="center"/>
    </xf>
    <xf numFmtId="0" fontId="3" fillId="11" borderId="14" xfId="4" quotePrefix="1" applyFill="1" applyBorder="1" applyAlignment="1">
      <alignment horizontal="center"/>
    </xf>
    <xf numFmtId="0" fontId="12" fillId="11" borderId="11" xfId="4" applyFont="1" applyFill="1" applyBorder="1" applyAlignment="1">
      <alignment horizontal="center"/>
    </xf>
    <xf numFmtId="0" fontId="12" fillId="11" borderId="11" xfId="4" applyFont="1" applyFill="1" applyBorder="1" applyAlignment="1">
      <alignment horizontal="center" wrapText="1"/>
    </xf>
    <xf numFmtId="0" fontId="12" fillId="11" borderId="6" xfId="4" applyFont="1" applyFill="1" applyBorder="1" applyAlignment="1">
      <alignment horizontal="center" wrapText="1"/>
    </xf>
    <xf numFmtId="0" fontId="12" fillId="11" borderId="5" xfId="4" applyFont="1" applyFill="1" applyBorder="1" applyAlignment="1">
      <alignment horizontal="center"/>
    </xf>
    <xf numFmtId="0" fontId="3" fillId="11" borderId="17" xfId="4" applyFill="1" applyBorder="1" applyAlignment="1">
      <alignment horizontal="right"/>
    </xf>
    <xf numFmtId="2" fontId="3" fillId="5" borderId="22" xfId="4" applyNumberFormat="1" applyFill="1" applyBorder="1"/>
    <xf numFmtId="2" fontId="3" fillId="5" borderId="19" xfId="4" applyNumberFormat="1" applyFill="1" applyBorder="1"/>
    <xf numFmtId="2" fontId="3" fillId="5" borderId="49" xfId="4" applyNumberFormat="1" applyFill="1" applyBorder="1"/>
    <xf numFmtId="2" fontId="3" fillId="5" borderId="16" xfId="4" applyNumberFormat="1" applyFill="1" applyBorder="1"/>
    <xf numFmtId="2" fontId="3" fillId="5" borderId="2" xfId="4" applyNumberFormat="1" applyFill="1" applyBorder="1"/>
    <xf numFmtId="2" fontId="3" fillId="5" borderId="27" xfId="4" applyNumberFormat="1" applyFill="1" applyBorder="1"/>
    <xf numFmtId="2" fontId="3" fillId="5" borderId="62" xfId="4" applyNumberFormat="1" applyFill="1" applyBorder="1"/>
    <xf numFmtId="2" fontId="3" fillId="5" borderId="44" xfId="4" applyNumberFormat="1" applyFill="1" applyBorder="1"/>
    <xf numFmtId="2" fontId="3" fillId="5" borderId="55" xfId="4" applyNumberFormat="1" applyFill="1" applyBorder="1"/>
    <xf numFmtId="0" fontId="32" fillId="0" borderId="0" xfId="4" applyFont="1"/>
    <xf numFmtId="0" fontId="0" fillId="11" borderId="1" xfId="0" applyFill="1" applyBorder="1" applyAlignment="1">
      <alignment wrapText="1"/>
    </xf>
    <xf numFmtId="0" fontId="0" fillId="11" borderId="28" xfId="0" applyFill="1" applyBorder="1" applyAlignment="1">
      <alignment horizontal="center" wrapText="1"/>
    </xf>
    <xf numFmtId="4" fontId="0" fillId="11" borderId="28" xfId="0" applyNumberFormat="1" applyFill="1" applyBorder="1"/>
    <xf numFmtId="4" fontId="0" fillId="11" borderId="3" xfId="0" applyNumberFormat="1" applyFill="1" applyBorder="1"/>
    <xf numFmtId="0" fontId="0" fillId="11" borderId="7" xfId="0" applyFill="1" applyBorder="1" applyAlignment="1">
      <alignment horizontal="center" wrapText="1"/>
    </xf>
    <xf numFmtId="4" fontId="0" fillId="11" borderId="15" xfId="0" applyNumberFormat="1" applyFill="1" applyBorder="1"/>
    <xf numFmtId="4" fontId="0" fillId="2" borderId="20" xfId="0" applyNumberFormat="1" applyFill="1" applyBorder="1"/>
    <xf numFmtId="4" fontId="0" fillId="5" borderId="33" xfId="0" applyNumberFormat="1" applyFill="1" applyBorder="1"/>
    <xf numFmtId="4" fontId="0" fillId="5" borderId="19" xfId="0" applyNumberFormat="1" applyFill="1" applyBorder="1"/>
    <xf numFmtId="4" fontId="0" fillId="5" borderId="20" xfId="0" applyNumberFormat="1" applyFill="1" applyBorder="1"/>
    <xf numFmtId="4" fontId="0" fillId="2" borderId="33" xfId="0" applyNumberFormat="1" applyFill="1" applyBorder="1"/>
    <xf numFmtId="4" fontId="0" fillId="5" borderId="15" xfId="0" applyNumberFormat="1" applyFill="1" applyBorder="1"/>
    <xf numFmtId="4" fontId="0" fillId="11" borderId="21" xfId="0" applyNumberFormat="1" applyFill="1" applyBorder="1"/>
    <xf numFmtId="4" fontId="0" fillId="11" borderId="9" xfId="0" applyNumberFormat="1" applyFill="1" applyBorder="1"/>
    <xf numFmtId="0" fontId="0" fillId="11" borderId="5" xfId="0" applyFill="1" applyBorder="1" applyAlignment="1">
      <alignment wrapText="1"/>
    </xf>
    <xf numFmtId="0" fontId="0" fillId="11" borderId="73" xfId="0" applyFill="1" applyBorder="1" applyAlignment="1">
      <alignment horizontal="center" wrapText="1"/>
    </xf>
    <xf numFmtId="4" fontId="0" fillId="11" borderId="46" xfId="0" applyNumberFormat="1" applyFill="1" applyBorder="1"/>
    <xf numFmtId="4" fontId="0" fillId="11" borderId="32" xfId="0" applyNumberFormat="1" applyFill="1" applyBorder="1"/>
    <xf numFmtId="4" fontId="0" fillId="2" borderId="64" xfId="0" applyNumberFormat="1" applyFill="1" applyBorder="1"/>
    <xf numFmtId="4" fontId="0" fillId="2" borderId="73" xfId="0" applyNumberFormat="1" applyFill="1" applyBorder="1"/>
    <xf numFmtId="4" fontId="0" fillId="5" borderId="50" xfId="0" applyNumberFormat="1" applyFill="1" applyBorder="1"/>
    <xf numFmtId="4" fontId="0" fillId="5" borderId="76" xfId="0" applyNumberFormat="1" applyFill="1" applyBorder="1"/>
    <xf numFmtId="4" fontId="0" fillId="5" borderId="29" xfId="0" applyNumberFormat="1" applyFill="1" applyBorder="1"/>
    <xf numFmtId="4" fontId="0" fillId="11" borderId="34" xfId="0" applyNumberFormat="1" applyFill="1" applyBorder="1"/>
    <xf numFmtId="4" fontId="0" fillId="5" borderId="32" xfId="0" applyNumberFormat="1" applyFill="1" applyBorder="1"/>
    <xf numFmtId="4" fontId="0" fillId="5" borderId="64" xfId="0" applyNumberFormat="1" applyFill="1" applyBorder="1"/>
    <xf numFmtId="4" fontId="0" fillId="5" borderId="49" xfId="0" applyNumberFormat="1" applyFill="1" applyBorder="1"/>
    <xf numFmtId="4" fontId="0" fillId="5" borderId="73" xfId="0" applyNumberFormat="1" applyFill="1" applyBorder="1"/>
    <xf numFmtId="4" fontId="0" fillId="2" borderId="76" xfId="0" applyNumberFormat="1" applyFill="1" applyBorder="1"/>
    <xf numFmtId="4" fontId="0" fillId="2" borderId="45" xfId="0" applyNumberFormat="1" applyFill="1" applyBorder="1"/>
    <xf numFmtId="4" fontId="0" fillId="11" borderId="4" xfId="0" applyNumberFormat="1" applyFill="1" applyBorder="1"/>
    <xf numFmtId="4" fontId="0" fillId="2" borderId="48" xfId="0" applyNumberFormat="1" applyFill="1" applyBorder="1"/>
    <xf numFmtId="4" fontId="0" fillId="11" borderId="18" xfId="0" applyNumberFormat="1" applyFill="1" applyBorder="1"/>
    <xf numFmtId="4" fontId="0" fillId="11" borderId="68" xfId="0" applyNumberFormat="1" applyFill="1" applyBorder="1"/>
    <xf numFmtId="4" fontId="0" fillId="11" borderId="47" xfId="0" applyNumberFormat="1" applyFill="1" applyBorder="1"/>
    <xf numFmtId="0" fontId="0" fillId="11" borderId="60" xfId="0" applyFill="1" applyBorder="1" applyAlignment="1">
      <alignment horizontal="center" wrapText="1"/>
    </xf>
    <xf numFmtId="0" fontId="0" fillId="11" borderId="78" xfId="0" applyFill="1" applyBorder="1" applyAlignment="1">
      <alignment horizontal="center" wrapText="1"/>
    </xf>
    <xf numFmtId="166" fontId="0" fillId="13" borderId="20" xfId="0" applyNumberFormat="1" applyFill="1" applyBorder="1"/>
    <xf numFmtId="166" fontId="0" fillId="13" borderId="33" xfId="0" applyNumberFormat="1" applyFill="1" applyBorder="1"/>
    <xf numFmtId="166" fontId="0" fillId="13" borderId="19" xfId="0" applyNumberFormat="1" applyFill="1" applyBorder="1"/>
    <xf numFmtId="166" fontId="0" fillId="13" borderId="2" xfId="0" applyNumberFormat="1" applyFill="1" applyBorder="1"/>
    <xf numFmtId="0" fontId="7" fillId="0" borderId="0" xfId="0" applyFont="1" applyBorder="1" applyAlignment="1">
      <alignment horizontal="center"/>
    </xf>
    <xf numFmtId="4" fontId="0" fillId="13" borderId="64" xfId="0" applyNumberFormat="1" applyFill="1" applyBorder="1"/>
    <xf numFmtId="4" fontId="0" fillId="13" borderId="50" xfId="0" applyNumberFormat="1" applyFill="1" applyBorder="1"/>
    <xf numFmtId="4" fontId="0" fillId="13" borderId="29" xfId="0" applyNumberFormat="1" applyFill="1" applyBorder="1"/>
    <xf numFmtId="166" fontId="0" fillId="13" borderId="49" xfId="0" applyNumberFormat="1" applyFill="1" applyBorder="1"/>
    <xf numFmtId="9" fontId="0" fillId="11" borderId="9" xfId="0" applyNumberFormat="1" applyFill="1" applyBorder="1"/>
    <xf numFmtId="165" fontId="0" fillId="13" borderId="0" xfId="0" applyNumberFormat="1" applyFill="1" applyBorder="1"/>
    <xf numFmtId="165" fontId="0" fillId="13" borderId="4" xfId="0" applyNumberFormat="1" applyFill="1" applyBorder="1"/>
    <xf numFmtId="9" fontId="0" fillId="13" borderId="8" xfId="1" applyFont="1" applyFill="1" applyBorder="1"/>
    <xf numFmtId="9" fontId="0" fillId="13" borderId="10" xfId="1" applyFont="1" applyFill="1" applyBorder="1"/>
    <xf numFmtId="166" fontId="0" fillId="13" borderId="10" xfId="0" applyNumberFormat="1" applyFill="1" applyBorder="1"/>
    <xf numFmtId="166" fontId="0" fillId="13" borderId="2" xfId="3" applyNumberFormat="1" applyFont="1" applyFill="1" applyBorder="1"/>
    <xf numFmtId="9" fontId="0" fillId="9" borderId="77" xfId="0" applyNumberFormat="1" applyFill="1" applyBorder="1"/>
    <xf numFmtId="166" fontId="0" fillId="13" borderId="60" xfId="3" applyNumberFormat="1" applyFont="1" applyFill="1" applyBorder="1"/>
    <xf numFmtId="9" fontId="0" fillId="9" borderId="26" xfId="0" applyNumberFormat="1" applyFill="1" applyBorder="1"/>
    <xf numFmtId="166" fontId="0" fillId="13" borderId="44" xfId="3" applyNumberFormat="1" applyFont="1" applyFill="1" applyBorder="1"/>
    <xf numFmtId="0" fontId="0" fillId="13" borderId="7" xfId="0" applyFill="1" applyBorder="1"/>
    <xf numFmtId="0" fontId="0" fillId="13" borderId="0" xfId="0" applyFill="1" applyBorder="1"/>
    <xf numFmtId="0" fontId="0" fillId="13" borderId="9" xfId="0" applyFill="1" applyBorder="1"/>
    <xf numFmtId="0" fontId="0" fillId="13" borderId="4" xfId="0" applyFill="1" applyBorder="1"/>
    <xf numFmtId="0" fontId="0" fillId="13" borderId="8" xfId="0" applyFill="1" applyBorder="1"/>
    <xf numFmtId="0" fontId="0" fillId="13" borderId="10" xfId="0" applyFill="1" applyBorder="1"/>
    <xf numFmtId="9" fontId="0" fillId="13" borderId="7" xfId="0" applyNumberFormat="1" applyFill="1" applyBorder="1"/>
    <xf numFmtId="166" fontId="0" fillId="9" borderId="2" xfId="3" applyNumberFormat="1" applyFont="1" applyFill="1" applyBorder="1"/>
    <xf numFmtId="9" fontId="0" fillId="13" borderId="26" xfId="0" applyNumberFormat="1" applyFill="1" applyBorder="1"/>
    <xf numFmtId="0" fontId="0" fillId="11" borderId="77" xfId="0" applyFill="1" applyBorder="1" applyAlignment="1">
      <alignment horizontal="center" wrapText="1"/>
    </xf>
    <xf numFmtId="3" fontId="0" fillId="11" borderId="15" xfId="0" applyNumberFormat="1" applyFill="1" applyBorder="1"/>
    <xf numFmtId="3" fontId="0" fillId="11" borderId="32" xfId="0" applyNumberFormat="1" applyFill="1" applyBorder="1"/>
    <xf numFmtId="0" fontId="7" fillId="11" borderId="59" xfId="0" applyFont="1" applyFill="1" applyBorder="1" applyAlignment="1">
      <alignment horizontal="center"/>
    </xf>
    <xf numFmtId="0" fontId="0" fillId="11" borderId="45" xfId="0" applyFill="1" applyBorder="1" applyAlignment="1">
      <alignment horizontal="center"/>
    </xf>
    <xf numFmtId="2" fontId="0" fillId="13" borderId="26" xfId="0" applyNumberFormat="1" applyFill="1" applyBorder="1"/>
    <xf numFmtId="166" fontId="0" fillId="13" borderId="27" xfId="0" applyNumberFormat="1" applyFill="1" applyBorder="1"/>
    <xf numFmtId="0" fontId="4" fillId="11" borderId="59" xfId="0" applyFont="1" applyFill="1" applyBorder="1" applyAlignment="1">
      <alignment horizontal="right"/>
    </xf>
    <xf numFmtId="0" fontId="23" fillId="11" borderId="77" xfId="0" applyFont="1" applyFill="1" applyBorder="1" applyAlignment="1" applyProtection="1">
      <alignment vertical="center"/>
    </xf>
    <xf numFmtId="0" fontId="21" fillId="11" borderId="84" xfId="0" applyFont="1" applyFill="1" applyBorder="1" applyAlignment="1" applyProtection="1">
      <alignment vertical="center"/>
    </xf>
    <xf numFmtId="166" fontId="23" fillId="13" borderId="55" xfId="2" applyNumberFormat="1" applyFont="1" applyFill="1" applyBorder="1" applyAlignment="1" applyProtection="1">
      <alignment horizontal="right" vertical="center"/>
    </xf>
    <xf numFmtId="0" fontId="21" fillId="11" borderId="78" xfId="0" applyFont="1" applyFill="1" applyBorder="1" applyAlignment="1" applyProtection="1">
      <alignment horizontal="center" vertical="center" wrapText="1"/>
    </xf>
    <xf numFmtId="0" fontId="23" fillId="11" borderId="29" xfId="0" applyFont="1" applyFill="1" applyBorder="1" applyAlignment="1" applyProtection="1">
      <alignment vertical="center"/>
    </xf>
    <xf numFmtId="0" fontId="21" fillId="11" borderId="49" xfId="0" applyFont="1" applyFill="1" applyBorder="1" applyAlignment="1" applyProtection="1">
      <alignment horizontal="center" vertical="center" wrapText="1"/>
    </xf>
    <xf numFmtId="0" fontId="27" fillId="0" borderId="0" xfId="0" applyFont="1" applyFill="1" applyProtection="1">
      <protection locked="0"/>
    </xf>
    <xf numFmtId="0" fontId="0" fillId="0" borderId="0" xfId="0" applyProtection="1">
      <protection locked="0"/>
    </xf>
    <xf numFmtId="14" fontId="23" fillId="11" borderId="8" xfId="0" applyNumberFormat="1" applyFont="1" applyFill="1" applyBorder="1" applyAlignment="1" applyProtection="1">
      <alignment horizontal="center" vertical="center"/>
    </xf>
    <xf numFmtId="0" fontId="21" fillId="11" borderId="8" xfId="0" applyFont="1" applyFill="1" applyBorder="1" applyAlignment="1" applyProtection="1">
      <alignment horizontal="center" vertical="center"/>
    </xf>
    <xf numFmtId="0" fontId="21" fillId="11" borderId="10" xfId="0" applyNumberFormat="1" applyFont="1" applyFill="1" applyBorder="1" applyAlignment="1" applyProtection="1">
      <alignment horizontal="center" vertical="center"/>
    </xf>
    <xf numFmtId="0" fontId="21" fillId="11" borderId="0" xfId="0" applyFont="1" applyFill="1" applyBorder="1" applyAlignment="1" applyProtection="1">
      <alignment horizontal="left" vertical="center"/>
    </xf>
    <xf numFmtId="0" fontId="21" fillId="11" borderId="4" xfId="0" applyFont="1" applyFill="1" applyBorder="1" applyAlignment="1" applyProtection="1">
      <alignment horizontal="left" vertical="center"/>
    </xf>
    <xf numFmtId="0" fontId="4" fillId="0" borderId="0" xfId="0" applyFont="1" applyProtection="1">
      <protection locked="0"/>
    </xf>
    <xf numFmtId="0" fontId="0" fillId="0" borderId="0" xfId="0" applyProtection="1"/>
    <xf numFmtId="0" fontId="0" fillId="5" borderId="0" xfId="0" applyFill="1" applyProtection="1"/>
    <xf numFmtId="0" fontId="11" fillId="11" borderId="28" xfId="0" applyFont="1" applyFill="1" applyBorder="1" applyAlignment="1" applyProtection="1">
      <alignment horizontal="center"/>
    </xf>
    <xf numFmtId="0" fontId="8" fillId="0" borderId="0" xfId="0" applyFont="1" applyFill="1" applyProtection="1">
      <protection locked="0"/>
    </xf>
    <xf numFmtId="0" fontId="0" fillId="0" borderId="0" xfId="0" applyAlignment="1" applyProtection="1">
      <alignment vertical="top" wrapText="1"/>
      <protection locked="0"/>
    </xf>
    <xf numFmtId="171" fontId="12" fillId="13" borderId="25" xfId="0" applyNumberFormat="1" applyFont="1" applyFill="1" applyBorder="1" applyProtection="1"/>
    <xf numFmtId="171" fontId="12" fillId="13" borderId="32" xfId="0" applyNumberFormat="1" applyFont="1" applyFill="1" applyBorder="1" applyProtection="1"/>
    <xf numFmtId="171" fontId="12" fillId="13" borderId="36" xfId="0" applyNumberFormat="1" applyFont="1" applyFill="1" applyBorder="1" applyProtection="1"/>
    <xf numFmtId="0" fontId="8" fillId="11" borderId="5" xfId="0" applyFont="1" applyFill="1" applyBorder="1" applyProtection="1"/>
    <xf numFmtId="0" fontId="8" fillId="11" borderId="11" xfId="0" applyFont="1" applyFill="1" applyBorder="1" applyProtection="1"/>
    <xf numFmtId="0" fontId="8" fillId="11" borderId="17" xfId="0" applyFont="1" applyFill="1" applyBorder="1" applyAlignment="1" applyProtection="1">
      <alignment horizontal="center"/>
    </xf>
    <xf numFmtId="0" fontId="18" fillId="11" borderId="17" xfId="0" applyFont="1" applyFill="1" applyBorder="1" applyAlignment="1" applyProtection="1">
      <alignment horizontal="center" vertical="top" wrapText="1"/>
    </xf>
    <xf numFmtId="0" fontId="4" fillId="11" borderId="15" xfId="0" applyFont="1" applyFill="1" applyBorder="1" applyAlignment="1" applyProtection="1">
      <alignment horizontal="center"/>
    </xf>
    <xf numFmtId="0" fontId="0" fillId="10" borderId="8" xfId="0" applyFill="1" applyBorder="1" applyAlignment="1" applyProtection="1">
      <alignment horizontal="center"/>
    </xf>
    <xf numFmtId="39" fontId="23" fillId="11" borderId="12" xfId="0" applyNumberFormat="1" applyFont="1" applyFill="1" applyBorder="1" applyAlignment="1" applyProtection="1">
      <alignment vertical="top"/>
    </xf>
    <xf numFmtId="39" fontId="18" fillId="11" borderId="13" xfId="0" applyNumberFormat="1" applyFont="1" applyFill="1" applyBorder="1" applyAlignment="1" applyProtection="1">
      <alignment vertical="top"/>
    </xf>
    <xf numFmtId="0" fontId="0" fillId="10" borderId="10" xfId="0" applyFill="1" applyBorder="1" applyAlignment="1" applyProtection="1">
      <alignment horizontal="center"/>
    </xf>
    <xf numFmtId="0" fontId="4" fillId="0" borderId="0" xfId="0" applyFont="1" applyAlignment="1" applyProtection="1">
      <alignment wrapText="1"/>
      <protection locked="0"/>
    </xf>
    <xf numFmtId="0" fontId="4" fillId="11" borderId="29" xfId="0" applyFont="1" applyFill="1" applyBorder="1" applyAlignment="1" applyProtection="1">
      <alignment horizontal="center" vertical="top" wrapText="1"/>
    </xf>
    <xf numFmtId="0" fontId="4" fillId="11" borderId="33" xfId="0" applyFont="1" applyFill="1" applyBorder="1" applyAlignment="1" applyProtection="1">
      <alignment horizontal="center" vertical="top" wrapText="1"/>
    </xf>
    <xf numFmtId="0" fontId="8" fillId="11" borderId="5" xfId="0" applyFont="1" applyFill="1" applyBorder="1" applyAlignment="1" applyProtection="1">
      <alignment wrapText="1"/>
    </xf>
    <xf numFmtId="0" fontId="8" fillId="11" borderId="11" xfId="0" applyFont="1" applyFill="1" applyBorder="1" applyAlignment="1" applyProtection="1">
      <alignment wrapText="1"/>
    </xf>
    <xf numFmtId="0" fontId="8" fillId="11" borderId="46" xfId="0" applyFont="1" applyFill="1" applyBorder="1" applyAlignment="1" applyProtection="1">
      <alignment wrapText="1"/>
    </xf>
    <xf numFmtId="0" fontId="8" fillId="11" borderId="21" xfId="0" applyFont="1" applyFill="1" applyBorder="1" applyAlignment="1" applyProtection="1">
      <alignment wrapText="1"/>
    </xf>
    <xf numFmtId="0" fontId="4" fillId="11" borderId="56" xfId="0" applyFont="1" applyFill="1" applyBorder="1" applyAlignment="1" applyProtection="1">
      <alignment horizontal="center" wrapText="1"/>
    </xf>
    <xf numFmtId="0" fontId="0" fillId="11" borderId="0" xfId="0" applyFill="1" applyBorder="1" applyProtection="1"/>
    <xf numFmtId="0" fontId="4" fillId="11" borderId="41" xfId="0" applyFont="1" applyFill="1" applyBorder="1" applyAlignment="1" applyProtection="1">
      <alignment horizontal="center" vertical="top" wrapText="1"/>
    </xf>
    <xf numFmtId="0" fontId="4" fillId="11" borderId="39" xfId="0" applyFont="1" applyFill="1" applyBorder="1" applyAlignment="1" applyProtection="1">
      <alignment horizontal="center" vertical="top" wrapText="1"/>
    </xf>
    <xf numFmtId="0" fontId="4" fillId="11" borderId="12" xfId="0" applyFont="1" applyFill="1" applyBorder="1" applyAlignment="1" applyProtection="1">
      <alignment horizontal="center" vertical="top" wrapText="1"/>
    </xf>
    <xf numFmtId="0" fontId="4" fillId="11" borderId="46" xfId="0" applyFont="1" applyFill="1" applyBorder="1" applyAlignment="1" applyProtection="1">
      <alignment horizontal="center" vertical="top" wrapText="1"/>
    </xf>
    <xf numFmtId="0" fontId="4" fillId="11" borderId="23" xfId="0" applyFont="1" applyFill="1" applyBorder="1" applyAlignment="1" applyProtection="1">
      <alignment horizontal="center" vertical="top" wrapText="1"/>
    </xf>
    <xf numFmtId="0" fontId="4" fillId="11" borderId="49" xfId="0" applyFont="1" applyFill="1" applyBorder="1" applyAlignment="1" applyProtection="1">
      <alignment horizontal="center" vertical="top" wrapText="1"/>
    </xf>
    <xf numFmtId="0" fontId="4" fillId="0" borderId="0" xfId="0" applyFont="1" applyAlignment="1">
      <alignment horizontal="center"/>
    </xf>
    <xf numFmtId="0" fontId="0" fillId="0" borderId="7" xfId="0" applyBorder="1"/>
    <xf numFmtId="0" fontId="0" fillId="0" borderId="8" xfId="0" applyBorder="1"/>
    <xf numFmtId="0" fontId="4" fillId="0" borderId="0" xfId="0" applyFont="1" applyBorder="1"/>
    <xf numFmtId="0" fontId="4" fillId="0" borderId="7" xfId="0" applyFont="1" applyBorder="1"/>
    <xf numFmtId="0" fontId="4" fillId="0" borderId="8" xfId="0" applyFont="1" applyBorder="1"/>
    <xf numFmtId="0" fontId="4" fillId="0" borderId="9" xfId="0" applyFont="1" applyBorder="1"/>
    <xf numFmtId="0" fontId="4" fillId="0" borderId="4" xfId="0" applyFont="1" applyBorder="1"/>
    <xf numFmtId="0" fontId="0" fillId="0" borderId="4" xfId="0" applyBorder="1"/>
    <xf numFmtId="0" fontId="0" fillId="0" borderId="0" xfId="0" applyFont="1" applyFill="1" applyBorder="1" applyAlignment="1">
      <alignment horizontal="center"/>
    </xf>
    <xf numFmtId="0" fontId="33" fillId="0" borderId="0" xfId="0" applyFont="1" applyFill="1" applyBorder="1"/>
    <xf numFmtId="0" fontId="4" fillId="0" borderId="0" xfId="0" applyFont="1" applyFill="1" applyBorder="1"/>
    <xf numFmtId="0" fontId="34" fillId="0" borderId="0" xfId="0" applyFont="1" applyBorder="1"/>
    <xf numFmtId="0" fontId="0" fillId="0" borderId="5" xfId="0" applyBorder="1"/>
    <xf numFmtId="0" fontId="31" fillId="0" borderId="11" xfId="0" applyFont="1" applyBorder="1" applyAlignment="1">
      <alignment horizontal="center"/>
    </xf>
    <xf numFmtId="0" fontId="0" fillId="0" borderId="11" xfId="0" applyBorder="1"/>
    <xf numFmtId="0" fontId="0" fillId="0" borderId="6" xfId="0" applyBorder="1"/>
    <xf numFmtId="0" fontId="0" fillId="0" borderId="9" xfId="0" applyBorder="1"/>
    <xf numFmtId="0" fontId="0" fillId="0" borderId="10" xfId="0" applyBorder="1"/>
    <xf numFmtId="0" fontId="34" fillId="0" borderId="0" xfId="0" applyFont="1" applyBorder="1" applyAlignment="1">
      <alignment horizontal="center"/>
    </xf>
    <xf numFmtId="0" fontId="34" fillId="0" borderId="8" xfId="0" applyFont="1" applyBorder="1" applyAlignment="1">
      <alignment horizontal="center"/>
    </xf>
    <xf numFmtId="0" fontId="34" fillId="0" borderId="7" xfId="0" applyFont="1" applyBorder="1" applyAlignment="1">
      <alignment horizontal="center"/>
    </xf>
    <xf numFmtId="0" fontId="4" fillId="0" borderId="8" xfId="0" applyFont="1" applyFill="1" applyBorder="1"/>
    <xf numFmtId="0" fontId="4" fillId="0" borderId="7" xfId="0" applyFont="1" applyFill="1" applyBorder="1"/>
    <xf numFmtId="0" fontId="0" fillId="11" borderId="3" xfId="0" applyFill="1" applyBorder="1" applyAlignment="1">
      <alignment horizontal="center" wrapText="1"/>
    </xf>
    <xf numFmtId="0" fontId="0" fillId="0" borderId="0" xfId="0" applyFill="1" applyBorder="1" applyAlignment="1" applyProtection="1">
      <alignment horizontal="center" wrapText="1"/>
    </xf>
    <xf numFmtId="0" fontId="0" fillId="11" borderId="77" xfId="0" applyFill="1" applyBorder="1" applyAlignment="1" applyProtection="1">
      <alignment horizontal="center" wrapText="1"/>
    </xf>
    <xf numFmtId="0" fontId="0" fillId="11" borderId="60" xfId="0" applyFill="1" applyBorder="1" applyAlignment="1" applyProtection="1">
      <alignment horizontal="center" wrapText="1"/>
    </xf>
    <xf numFmtId="0" fontId="0" fillId="11" borderId="78" xfId="0" applyFill="1" applyBorder="1" applyAlignment="1" applyProtection="1">
      <alignment horizontal="center" wrapText="1"/>
    </xf>
    <xf numFmtId="0" fontId="10" fillId="0" borderId="0" xfId="0" applyFont="1" applyFill="1" applyBorder="1" applyAlignment="1" applyProtection="1">
      <alignment vertical="center" textRotation="90" wrapText="1"/>
    </xf>
    <xf numFmtId="0" fontId="0" fillId="11" borderId="0" xfId="0" applyFill="1" applyBorder="1" applyAlignment="1" applyProtection="1">
      <alignment horizontal="center" wrapText="1"/>
    </xf>
    <xf numFmtId="0" fontId="0" fillId="0" borderId="0" xfId="0" applyAlignment="1" applyProtection="1">
      <alignment horizontal="center" wrapText="1"/>
    </xf>
    <xf numFmtId="0" fontId="0" fillId="11" borderId="7" xfId="0" applyFill="1" applyBorder="1" applyProtection="1"/>
    <xf numFmtId="3" fontId="0" fillId="11" borderId="8" xfId="0" applyNumberFormat="1" applyFill="1" applyBorder="1" applyProtection="1"/>
    <xf numFmtId="3" fontId="0" fillId="0" borderId="0" xfId="0" applyNumberFormat="1" applyFill="1" applyBorder="1" applyProtection="1"/>
    <xf numFmtId="4" fontId="0" fillId="11" borderId="7" xfId="0" applyNumberFormat="1" applyFill="1" applyBorder="1" applyProtection="1"/>
    <xf numFmtId="4" fontId="0" fillId="11" borderId="0" xfId="0" applyNumberFormat="1" applyFill="1" applyBorder="1" applyProtection="1"/>
    <xf numFmtId="4" fontId="0" fillId="11" borderId="8" xfId="0" applyNumberFormat="1" applyFill="1" applyBorder="1" applyProtection="1"/>
    <xf numFmtId="4" fontId="0" fillId="0" borderId="0" xfId="0" applyNumberFormat="1" applyFill="1" applyBorder="1" applyProtection="1"/>
    <xf numFmtId="2" fontId="0" fillId="11" borderId="7" xfId="0" applyNumberFormat="1" applyFill="1" applyBorder="1" applyProtection="1"/>
    <xf numFmtId="3" fontId="0" fillId="11" borderId="0" xfId="0" applyNumberFormat="1" applyFill="1" applyBorder="1" applyProtection="1"/>
    <xf numFmtId="9" fontId="0" fillId="11" borderId="64" xfId="0" applyNumberFormat="1" applyFill="1" applyBorder="1" applyProtection="1"/>
    <xf numFmtId="166" fontId="0" fillId="13" borderId="73" xfId="0" applyNumberFormat="1" applyFill="1" applyBorder="1" applyProtection="1"/>
    <xf numFmtId="166" fontId="0" fillId="13" borderId="7" xfId="3" applyNumberFormat="1" applyFont="1" applyFill="1" applyBorder="1" applyProtection="1"/>
    <xf numFmtId="165" fontId="0" fillId="13" borderId="20" xfId="0" applyNumberFormat="1" applyFill="1" applyBorder="1" applyProtection="1"/>
    <xf numFmtId="9" fontId="0" fillId="13" borderId="73" xfId="1" applyFont="1" applyFill="1" applyBorder="1" applyProtection="1"/>
    <xf numFmtId="166" fontId="0" fillId="0" borderId="0" xfId="0" applyNumberFormat="1" applyFill="1" applyBorder="1" applyProtection="1"/>
    <xf numFmtId="2" fontId="0" fillId="13" borderId="64" xfId="0" applyNumberFormat="1" applyFill="1" applyBorder="1" applyProtection="1"/>
    <xf numFmtId="166" fontId="0" fillId="13" borderId="42" xfId="0" applyNumberFormat="1" applyFill="1" applyBorder="1" applyProtection="1"/>
    <xf numFmtId="166" fontId="0" fillId="13" borderId="80" xfId="0" applyNumberFormat="1" applyFill="1" applyBorder="1" applyProtection="1"/>
    <xf numFmtId="166" fontId="0" fillId="13" borderId="68" xfId="0" applyNumberFormat="1" applyFill="1" applyBorder="1" applyProtection="1"/>
    <xf numFmtId="9" fontId="0" fillId="11" borderId="50" xfId="0" applyNumberFormat="1" applyFill="1" applyBorder="1" applyProtection="1"/>
    <xf numFmtId="166" fontId="0" fillId="13" borderId="76" xfId="0" applyNumberFormat="1" applyFill="1" applyBorder="1" applyProtection="1"/>
    <xf numFmtId="165" fontId="0" fillId="13" borderId="33" xfId="0" applyNumberFormat="1" applyFill="1" applyBorder="1" applyProtection="1"/>
    <xf numFmtId="9" fontId="0" fillId="13" borderId="76" xfId="1" applyFont="1" applyFill="1" applyBorder="1" applyProtection="1"/>
    <xf numFmtId="2" fontId="0" fillId="13" borderId="50" xfId="0" applyNumberFormat="1" applyFill="1" applyBorder="1" applyProtection="1"/>
    <xf numFmtId="166" fontId="0" fillId="13" borderId="30" xfId="0" applyNumberFormat="1" applyFill="1" applyBorder="1" applyProtection="1"/>
    <xf numFmtId="166" fontId="0" fillId="13" borderId="0" xfId="0" applyNumberFormat="1" applyFill="1" applyBorder="1" applyProtection="1"/>
    <xf numFmtId="166" fontId="0" fillId="13" borderId="8" xfId="0" applyNumberFormat="1" applyFill="1" applyBorder="1" applyProtection="1"/>
    <xf numFmtId="166" fontId="0" fillId="13" borderId="9" xfId="3" applyNumberFormat="1" applyFont="1" applyFill="1" applyBorder="1" applyProtection="1"/>
    <xf numFmtId="165" fontId="0" fillId="13" borderId="45" xfId="0" applyNumberFormat="1" applyFill="1" applyBorder="1" applyProtection="1"/>
    <xf numFmtId="9" fontId="0" fillId="13" borderId="48" xfId="1" applyFont="1" applyFill="1" applyBorder="1" applyProtection="1"/>
    <xf numFmtId="9" fontId="0" fillId="11" borderId="59" xfId="0" applyNumberFormat="1" applyFill="1" applyBorder="1" applyProtection="1"/>
    <xf numFmtId="166" fontId="0" fillId="13" borderId="48" xfId="0" applyNumberFormat="1" applyFill="1" applyBorder="1" applyProtection="1"/>
    <xf numFmtId="166" fontId="0" fillId="11" borderId="0" xfId="3" applyNumberFormat="1" applyFont="1" applyFill="1" applyBorder="1" applyProtection="1"/>
    <xf numFmtId="165" fontId="0" fillId="11" borderId="0" xfId="0" applyNumberFormat="1" applyFill="1" applyBorder="1" applyProtection="1"/>
    <xf numFmtId="9" fontId="0" fillId="11" borderId="8" xfId="1" applyFont="1" applyFill="1" applyBorder="1" applyProtection="1"/>
    <xf numFmtId="9" fontId="0" fillId="11" borderId="7" xfId="0" applyNumberFormat="1" applyFill="1" applyBorder="1" applyProtection="1"/>
    <xf numFmtId="166" fontId="0" fillId="11" borderId="0" xfId="0" applyNumberFormat="1" applyFill="1" applyBorder="1" applyProtection="1"/>
    <xf numFmtId="0" fontId="0" fillId="11" borderId="8" xfId="0" applyFill="1" applyBorder="1" applyProtection="1"/>
    <xf numFmtId="2" fontId="0" fillId="13" borderId="29" xfId="0" applyNumberFormat="1" applyFill="1" applyBorder="1" applyProtection="1"/>
    <xf numFmtId="166" fontId="0" fillId="13" borderId="23" xfId="0" applyNumberFormat="1" applyFill="1" applyBorder="1" applyProtection="1"/>
    <xf numFmtId="166" fontId="0" fillId="13" borderId="21" xfId="0" applyNumberFormat="1" applyFill="1" applyBorder="1" applyProtection="1"/>
    <xf numFmtId="166" fontId="0" fillId="13" borderId="47" xfId="0" applyNumberFormat="1" applyFill="1" applyBorder="1" applyProtection="1"/>
    <xf numFmtId="9" fontId="0" fillId="9" borderId="12" xfId="0" applyNumberFormat="1" applyFill="1" applyBorder="1" applyProtection="1"/>
    <xf numFmtId="166" fontId="0" fillId="13" borderId="13" xfId="3" applyNumberFormat="1" applyFont="1" applyFill="1" applyBorder="1" applyProtection="1"/>
    <xf numFmtId="0" fontId="0" fillId="11" borderId="13" xfId="0" applyFill="1" applyBorder="1" applyAlignment="1" applyProtection="1">
      <alignment horizontal="left"/>
    </xf>
    <xf numFmtId="0" fontId="0" fillId="11" borderId="14" xfId="0" applyFill="1" applyBorder="1" applyAlignment="1" applyProtection="1">
      <alignment horizontal="left"/>
    </xf>
    <xf numFmtId="9" fontId="0" fillId="13" borderId="7" xfId="0" applyNumberFormat="1" applyFill="1" applyBorder="1" applyProtection="1"/>
    <xf numFmtId="0" fontId="0" fillId="13" borderId="0" xfId="0" applyFill="1" applyBorder="1" applyProtection="1"/>
    <xf numFmtId="0" fontId="0" fillId="13" borderId="8" xfId="0" applyFill="1" applyBorder="1" applyProtection="1"/>
    <xf numFmtId="0" fontId="0" fillId="13" borderId="7" xfId="0" applyFill="1" applyBorder="1" applyProtection="1"/>
    <xf numFmtId="0" fontId="0" fillId="13" borderId="9" xfId="0" applyFill="1" applyBorder="1" applyProtection="1"/>
    <xf numFmtId="0" fontId="0" fillId="13" borderId="4" xfId="0" applyFill="1" applyBorder="1" applyProtection="1"/>
    <xf numFmtId="0" fontId="0" fillId="13" borderId="10" xfId="0" applyFill="1" applyBorder="1" applyProtection="1"/>
    <xf numFmtId="0" fontId="0" fillId="11" borderId="9" xfId="0" applyFill="1" applyBorder="1" applyProtection="1"/>
    <xf numFmtId="166" fontId="0" fillId="13" borderId="55" xfId="0" applyNumberFormat="1" applyFill="1" applyBorder="1" applyProtection="1"/>
    <xf numFmtId="0" fontId="0" fillId="0" borderId="0" xfId="0" applyFill="1" applyBorder="1" applyProtection="1"/>
    <xf numFmtId="2" fontId="0" fillId="13" borderId="54" xfId="0" applyNumberFormat="1" applyFill="1" applyBorder="1" applyProtection="1"/>
    <xf numFmtId="166" fontId="0" fillId="13" borderId="45" xfId="0" applyNumberFormat="1" applyFill="1" applyBorder="1" applyAlignment="1" applyProtection="1"/>
    <xf numFmtId="166" fontId="0" fillId="13" borderId="45" xfId="0" applyNumberFormat="1" applyFill="1" applyBorder="1" applyProtection="1"/>
    <xf numFmtId="0" fontId="0" fillId="11" borderId="48" xfId="0"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right"/>
    </xf>
    <xf numFmtId="0" fontId="4" fillId="11" borderId="59" xfId="0" applyFont="1" applyFill="1" applyBorder="1" applyAlignment="1" applyProtection="1">
      <alignment horizontal="right"/>
    </xf>
    <xf numFmtId="0" fontId="0" fillId="11" borderId="45" xfId="0" applyFill="1" applyBorder="1" applyAlignment="1" applyProtection="1">
      <alignment horizontal="center"/>
    </xf>
    <xf numFmtId="0" fontId="0" fillId="0" borderId="7" xfId="0" applyFill="1" applyBorder="1" applyProtection="1"/>
    <xf numFmtId="0" fontId="0" fillId="11" borderId="11" xfId="0" applyFill="1" applyBorder="1" applyProtection="1"/>
    <xf numFmtId="0" fontId="0" fillId="11" borderId="6" xfId="0" applyFill="1" applyBorder="1" applyProtection="1"/>
    <xf numFmtId="0" fontId="0" fillId="0" borderId="0" xfId="0" applyBorder="1" applyProtection="1"/>
    <xf numFmtId="0" fontId="0" fillId="0" borderId="0" xfId="0" applyAlignment="1" applyProtection="1">
      <alignment horizontal="right"/>
    </xf>
    <xf numFmtId="9" fontId="0" fillId="0" borderId="0" xfId="0" applyNumberFormat="1" applyProtection="1"/>
    <xf numFmtId="9" fontId="0" fillId="4" borderId="83" xfId="0" applyNumberFormat="1" applyFill="1" applyBorder="1"/>
    <xf numFmtId="9" fontId="0" fillId="4" borderId="8" xfId="0" applyNumberFormat="1" applyFill="1" applyBorder="1"/>
    <xf numFmtId="0" fontId="4" fillId="11" borderId="15" xfId="0" applyFont="1" applyFill="1" applyBorder="1" applyAlignment="1">
      <alignment horizontal="center" wrapText="1"/>
    </xf>
    <xf numFmtId="0" fontId="4" fillId="11" borderId="16" xfId="0" applyFont="1" applyFill="1" applyBorder="1" applyAlignment="1">
      <alignment horizontal="center" wrapText="1"/>
    </xf>
    <xf numFmtId="0" fontId="4" fillId="11" borderId="2" xfId="0" applyFont="1" applyFill="1" applyBorder="1" applyAlignment="1">
      <alignment horizontal="center" wrapText="1"/>
    </xf>
    <xf numFmtId="9" fontId="0" fillId="11" borderId="31" xfId="0" applyNumberFormat="1" applyFill="1" applyBorder="1"/>
    <xf numFmtId="2" fontId="4" fillId="11" borderId="33" xfId="0" quotePrefix="1" applyNumberFormat="1" applyFont="1" applyFill="1" applyBorder="1"/>
    <xf numFmtId="2" fontId="0" fillId="11" borderId="30" xfId="1" applyNumberFormat="1" applyFont="1" applyFill="1" applyBorder="1"/>
    <xf numFmtId="9" fontId="0" fillId="11" borderId="21" xfId="0" applyNumberFormat="1" applyFill="1" applyBorder="1"/>
    <xf numFmtId="9" fontId="0" fillId="11" borderId="22" xfId="0" applyNumberFormat="1" applyFill="1" applyBorder="1"/>
    <xf numFmtId="2" fontId="4" fillId="11" borderId="19" xfId="0" quotePrefix="1" applyNumberFormat="1" applyFont="1" applyFill="1" applyBorder="1"/>
    <xf numFmtId="2" fontId="0" fillId="11" borderId="23" xfId="1" applyNumberFormat="1" applyFont="1" applyFill="1" applyBorder="1"/>
    <xf numFmtId="0" fontId="36" fillId="0" borderId="0" xfId="0" applyFont="1" applyFill="1" applyBorder="1" applyAlignment="1">
      <alignment horizontal="left"/>
    </xf>
    <xf numFmtId="0" fontId="0" fillId="0" borderId="0" xfId="0" applyFill="1"/>
    <xf numFmtId="9" fontId="0" fillId="0" borderId="0" xfId="0" applyNumberFormat="1" applyBorder="1"/>
    <xf numFmtId="0" fontId="11" fillId="11" borderId="26" xfId="0" quotePrefix="1" applyFont="1" applyFill="1" applyBorder="1"/>
    <xf numFmtId="0" fontId="9" fillId="11" borderId="29" xfId="0" applyFont="1" applyFill="1" applyBorder="1" applyAlignment="1">
      <alignment horizontal="center" wrapText="1"/>
    </xf>
    <xf numFmtId="0" fontId="0" fillId="11" borderId="32" xfId="0" applyFill="1" applyBorder="1" applyAlignment="1">
      <alignment horizontal="center" wrapText="1"/>
    </xf>
    <xf numFmtId="0" fontId="4" fillId="11" borderId="50" xfId="0" quotePrefix="1" applyFont="1" applyFill="1" applyBorder="1"/>
    <xf numFmtId="9" fontId="0" fillId="11" borderId="0" xfId="0" applyNumberFormat="1" applyFill="1" applyBorder="1"/>
    <xf numFmtId="0" fontId="4" fillId="11" borderId="29" xfId="0" quotePrefix="1" applyFont="1" applyFill="1" applyBorder="1"/>
    <xf numFmtId="9" fontId="0" fillId="0" borderId="0" xfId="0" applyNumberFormat="1" applyBorder="1" applyAlignment="1">
      <alignment horizontal="right"/>
    </xf>
    <xf numFmtId="2" fontId="0" fillId="9" borderId="19" xfId="1" applyNumberFormat="1" applyFont="1" applyFill="1" applyBorder="1"/>
    <xf numFmtId="2" fontId="0" fillId="9" borderId="49" xfId="0" applyNumberFormat="1" applyFill="1" applyBorder="1"/>
    <xf numFmtId="2" fontId="0" fillId="9" borderId="2" xfId="1" applyNumberFormat="1" applyFont="1" applyFill="1" applyBorder="1"/>
    <xf numFmtId="9" fontId="0" fillId="11" borderId="7" xfId="0" applyNumberFormat="1" applyFill="1" applyBorder="1" applyAlignment="1">
      <alignment horizontal="right"/>
    </xf>
    <xf numFmtId="0" fontId="4" fillId="11" borderId="7" xfId="0" quotePrefix="1" applyFont="1" applyFill="1" applyBorder="1"/>
    <xf numFmtId="2" fontId="0" fillId="11" borderId="0" xfId="0" applyNumberFormat="1" applyFill="1" applyBorder="1"/>
    <xf numFmtId="2" fontId="4" fillId="11" borderId="0" xfId="0" quotePrefix="1" applyNumberFormat="1" applyFont="1" applyFill="1" applyBorder="1"/>
    <xf numFmtId="2" fontId="0" fillId="11" borderId="19" xfId="0" applyNumberFormat="1" applyFill="1" applyBorder="1"/>
    <xf numFmtId="0" fontId="9" fillId="11" borderId="26" xfId="0" applyFont="1" applyFill="1" applyBorder="1" applyAlignment="1">
      <alignment horizontal="center" wrapText="1"/>
    </xf>
    <xf numFmtId="2" fontId="0" fillId="11" borderId="0" xfId="1" applyNumberFormat="1" applyFont="1" applyFill="1" applyBorder="1"/>
    <xf numFmtId="0" fontId="4" fillId="5" borderId="12" xfId="0" quotePrefix="1" applyFont="1" applyFill="1" applyBorder="1"/>
    <xf numFmtId="9" fontId="0" fillId="5" borderId="13" xfId="0" applyNumberFormat="1" applyFill="1" applyBorder="1"/>
    <xf numFmtId="2" fontId="4" fillId="5" borderId="13" xfId="0" quotePrefix="1" applyNumberFormat="1" applyFont="1" applyFill="1" applyBorder="1"/>
    <xf numFmtId="2" fontId="0" fillId="5" borderId="13" xfId="1" applyNumberFormat="1" applyFont="1" applyFill="1" applyBorder="1"/>
    <xf numFmtId="2" fontId="0" fillId="5" borderId="13" xfId="0" applyNumberFormat="1" applyFill="1" applyBorder="1"/>
    <xf numFmtId="0" fontId="4" fillId="5" borderId="13" xfId="0" quotePrefix="1" applyFont="1" applyFill="1" applyBorder="1"/>
    <xf numFmtId="2" fontId="0" fillId="5" borderId="14" xfId="0" applyNumberFormat="1" applyFill="1" applyBorder="1"/>
    <xf numFmtId="2" fontId="4" fillId="9" borderId="33" xfId="0" quotePrefix="1" applyNumberFormat="1" applyFont="1" applyFill="1" applyBorder="1"/>
    <xf numFmtId="2" fontId="4" fillId="9" borderId="19" xfId="0" quotePrefix="1" applyNumberFormat="1" applyFont="1" applyFill="1" applyBorder="1"/>
    <xf numFmtId="0" fontId="4" fillId="11" borderId="59" xfId="0" quotePrefix="1" applyFont="1" applyFill="1" applyBorder="1"/>
    <xf numFmtId="9" fontId="0" fillId="11" borderId="4" xfId="0" applyNumberFormat="1" applyFill="1" applyBorder="1"/>
    <xf numFmtId="9" fontId="0" fillId="11" borderId="81" xfId="0" applyNumberFormat="1" applyFill="1" applyBorder="1"/>
    <xf numFmtId="2" fontId="0" fillId="11" borderId="85" xfId="1" applyNumberFormat="1" applyFont="1" applyFill="1" applyBorder="1"/>
    <xf numFmtId="2" fontId="0" fillId="9" borderId="48" xfId="0" applyNumberFormat="1" applyFill="1" applyBorder="1"/>
    <xf numFmtId="0" fontId="11" fillId="6" borderId="26" xfId="0" quotePrefix="1" applyFont="1" applyFill="1" applyBorder="1"/>
    <xf numFmtId="2" fontId="0" fillId="11" borderId="8" xfId="0" applyNumberFormat="1" applyFill="1" applyBorder="1"/>
    <xf numFmtId="0" fontId="0" fillId="11" borderId="21" xfId="0" applyFill="1" applyBorder="1"/>
    <xf numFmtId="2" fontId="0" fillId="11" borderId="3" xfId="1" applyNumberFormat="1" applyFont="1" applyFill="1" applyBorder="1"/>
    <xf numFmtId="9" fontId="4" fillId="0" borderId="0" xfId="0" applyNumberFormat="1" applyFont="1" applyBorder="1" applyAlignment="1">
      <alignment horizontal="right"/>
    </xf>
    <xf numFmtId="0" fontId="4" fillId="21" borderId="7" xfId="0" applyFont="1" applyFill="1" applyBorder="1"/>
    <xf numFmtId="4" fontId="4" fillId="23" borderId="33" xfId="0" applyNumberFormat="1" applyFont="1" applyFill="1" applyBorder="1"/>
    <xf numFmtId="4" fontId="4" fillId="23" borderId="8" xfId="0" applyNumberFormat="1" applyFont="1" applyFill="1" applyBorder="1"/>
    <xf numFmtId="0" fontId="4" fillId="21" borderId="9" xfId="0" applyFont="1" applyFill="1" applyBorder="1"/>
    <xf numFmtId="4" fontId="4" fillId="21" borderId="4" xfId="0" applyNumberFormat="1" applyFont="1" applyFill="1" applyBorder="1"/>
    <xf numFmtId="4" fontId="4" fillId="23" borderId="45" xfId="0" applyNumberFormat="1" applyFont="1" applyFill="1" applyBorder="1"/>
    <xf numFmtId="4" fontId="4" fillId="23" borderId="10" xfId="0" applyNumberFormat="1" applyFont="1" applyFill="1" applyBorder="1"/>
    <xf numFmtId="0" fontId="4" fillId="21" borderId="5" xfId="0" applyFont="1" applyFill="1" applyBorder="1"/>
    <xf numFmtId="4" fontId="4" fillId="21" borderId="0" xfId="0" applyNumberFormat="1" applyFont="1" applyFill="1" applyBorder="1"/>
    <xf numFmtId="4" fontId="4" fillId="21" borderId="46" xfId="0" applyNumberFormat="1" applyFont="1" applyFill="1" applyBorder="1"/>
    <xf numFmtId="4" fontId="4" fillId="21" borderId="21" xfId="0" applyNumberFormat="1" applyFont="1" applyFill="1" applyBorder="1"/>
    <xf numFmtId="4" fontId="4" fillId="21" borderId="32" xfId="0" applyNumberFormat="1" applyFont="1" applyFill="1" applyBorder="1"/>
    <xf numFmtId="0" fontId="4" fillId="24" borderId="8" xfId="0" applyFont="1" applyFill="1" applyBorder="1"/>
    <xf numFmtId="2" fontId="4" fillId="24" borderId="7" xfId="0" applyNumberFormat="1" applyFont="1" applyFill="1" applyBorder="1"/>
    <xf numFmtId="0" fontId="4" fillId="21" borderId="77" xfId="0" applyFont="1" applyFill="1" applyBorder="1" applyAlignment="1">
      <alignment horizontal="center" wrapText="1"/>
    </xf>
    <xf numFmtId="0" fontId="4" fillId="21" borderId="25" xfId="0" applyFont="1" applyFill="1" applyBorder="1" applyAlignment="1">
      <alignment horizontal="center" wrapText="1"/>
    </xf>
    <xf numFmtId="0" fontId="4" fillId="21" borderId="11" xfId="0" applyFont="1" applyFill="1" applyBorder="1" applyAlignment="1">
      <alignment horizontal="center" wrapText="1"/>
    </xf>
    <xf numFmtId="0" fontId="4" fillId="21" borderId="6" xfId="0" applyFont="1" applyFill="1" applyBorder="1" applyAlignment="1">
      <alignment horizontal="center" wrapText="1"/>
    </xf>
    <xf numFmtId="2" fontId="4" fillId="24" borderId="9" xfId="0" applyNumberFormat="1" applyFont="1" applyFill="1" applyBorder="1"/>
    <xf numFmtId="0" fontId="4" fillId="24" borderId="10" xfId="0" applyFont="1" applyFill="1" applyBorder="1"/>
    <xf numFmtId="2" fontId="4" fillId="11" borderId="45" xfId="0" quotePrefix="1" applyNumberFormat="1" applyFont="1" applyFill="1" applyBorder="1"/>
    <xf numFmtId="0" fontId="0" fillId="11" borderId="47" xfId="0" applyFill="1" applyBorder="1" applyAlignment="1">
      <alignment horizontal="center" wrapText="1"/>
    </xf>
    <xf numFmtId="2" fontId="9" fillId="9" borderId="17" xfId="0" applyNumberFormat="1" applyFont="1" applyFill="1" applyBorder="1"/>
    <xf numFmtId="2" fontId="0" fillId="9" borderId="44" xfId="1" applyNumberFormat="1" applyFont="1" applyFill="1" applyBorder="1"/>
    <xf numFmtId="0" fontId="0" fillId="11" borderId="3" xfId="0" applyFill="1" applyBorder="1" applyAlignment="1">
      <alignment horizontal="center" wrapText="1"/>
    </xf>
    <xf numFmtId="4" fontId="9" fillId="25" borderId="59" xfId="0" applyNumberFormat="1" applyFont="1" applyFill="1" applyBorder="1"/>
    <xf numFmtId="4" fontId="9" fillId="25" borderId="45" xfId="0" applyNumberFormat="1" applyFont="1" applyFill="1" applyBorder="1"/>
    <xf numFmtId="4" fontId="9" fillId="25" borderId="48" xfId="0" applyNumberFormat="1" applyFont="1" applyFill="1" applyBorder="1"/>
    <xf numFmtId="0" fontId="11" fillId="6" borderId="64" xfId="0" quotePrefix="1" applyFont="1" applyFill="1" applyBorder="1"/>
    <xf numFmtId="2" fontId="9" fillId="9" borderId="1" xfId="0" applyNumberFormat="1" applyFont="1" applyFill="1" applyBorder="1"/>
    <xf numFmtId="0" fontId="4" fillId="21" borderId="0" xfId="0" applyFont="1" applyFill="1" applyBorder="1"/>
    <xf numFmtId="0" fontId="4" fillId="21" borderId="4" xfId="0" applyFont="1" applyFill="1" applyBorder="1"/>
    <xf numFmtId="0" fontId="4" fillId="21" borderId="11" xfId="0" applyFont="1" applyFill="1" applyBorder="1"/>
    <xf numFmtId="9" fontId="0" fillId="11" borderId="46" xfId="0" applyNumberFormat="1" applyFill="1" applyBorder="1" applyAlignment="1">
      <alignment horizontal="right"/>
    </xf>
    <xf numFmtId="9" fontId="0" fillId="11" borderId="34" xfId="0" applyNumberFormat="1" applyFill="1" applyBorder="1" applyAlignment="1">
      <alignment horizontal="right"/>
    </xf>
    <xf numFmtId="9" fontId="4" fillId="11" borderId="35" xfId="0" applyNumberFormat="1" applyFont="1" applyFill="1" applyBorder="1" applyAlignment="1">
      <alignment horizontal="right"/>
    </xf>
    <xf numFmtId="2" fontId="0" fillId="11" borderId="21" xfId="0" applyNumberFormat="1" applyFill="1" applyBorder="1"/>
    <xf numFmtId="2" fontId="4" fillId="11" borderId="21" xfId="0" quotePrefix="1" applyNumberFormat="1" applyFont="1" applyFill="1" applyBorder="1"/>
    <xf numFmtId="0" fontId="11" fillId="6" borderId="29" xfId="0" quotePrefix="1" applyFont="1" applyFill="1" applyBorder="1"/>
    <xf numFmtId="0" fontId="4" fillId="11" borderId="3" xfId="0" applyFont="1" applyFill="1" applyBorder="1" applyAlignment="1">
      <alignment horizontal="center" wrapText="1"/>
    </xf>
    <xf numFmtId="2" fontId="4" fillId="9" borderId="23" xfId="0" quotePrefix="1" applyNumberFormat="1" applyFont="1" applyFill="1" applyBorder="1"/>
    <xf numFmtId="2" fontId="0" fillId="9" borderId="22" xfId="1" applyNumberFormat="1" applyFont="1" applyFill="1" applyBorder="1"/>
    <xf numFmtId="0" fontId="0" fillId="11" borderId="42" xfId="0" applyFill="1" applyBorder="1" applyAlignment="1">
      <alignment horizontal="center" wrapText="1"/>
    </xf>
    <xf numFmtId="0" fontId="0" fillId="11" borderId="43" xfId="0" applyFill="1" applyBorder="1" applyAlignment="1">
      <alignment horizontal="center" wrapText="1"/>
    </xf>
    <xf numFmtId="2" fontId="0" fillId="11" borderId="16" xfId="1" applyNumberFormat="1" applyFont="1" applyFill="1" applyBorder="1"/>
    <xf numFmtId="2" fontId="9" fillId="9" borderId="17" xfId="0" applyNumberFormat="1" applyFont="1" applyFill="1" applyBorder="1" applyAlignment="1">
      <alignment horizontal="center"/>
    </xf>
    <xf numFmtId="0" fontId="0" fillId="11" borderId="7" xfId="0" applyFill="1" applyBorder="1" applyAlignment="1">
      <alignment horizontal="right"/>
    </xf>
    <xf numFmtId="0" fontId="0" fillId="11" borderId="3" xfId="0" applyFill="1" applyBorder="1" applyAlignment="1">
      <alignment horizontal="center" wrapText="1"/>
    </xf>
    <xf numFmtId="0" fontId="0" fillId="0" borderId="0" xfId="0"/>
    <xf numFmtId="0" fontId="38" fillId="0" borderId="0" xfId="0" applyFont="1" applyFill="1" applyBorder="1"/>
    <xf numFmtId="0" fontId="4" fillId="11" borderId="46" xfId="0" quotePrefix="1" applyFont="1" applyFill="1" applyBorder="1"/>
    <xf numFmtId="4" fontId="4" fillId="22" borderId="66" xfId="0" applyNumberFormat="1" applyFont="1" applyFill="1" applyBorder="1" applyAlignment="1">
      <alignment horizontal="center"/>
    </xf>
    <xf numFmtId="4" fontId="4" fillId="21" borderId="11" xfId="0" applyNumberFormat="1" applyFont="1" applyFill="1" applyBorder="1" applyAlignment="1">
      <alignment horizontal="center"/>
    </xf>
    <xf numFmtId="4" fontId="4" fillId="22" borderId="25" xfId="0" applyNumberFormat="1" applyFont="1" applyFill="1" applyBorder="1" applyAlignment="1">
      <alignment horizontal="center"/>
    </xf>
    <xf numFmtId="2" fontId="0" fillId="11" borderId="47" xfId="0" applyNumberFormat="1" applyFill="1" applyBorder="1"/>
    <xf numFmtId="2" fontId="4" fillId="9" borderId="85" xfId="0" quotePrefix="1" applyNumberFormat="1" applyFont="1" applyFill="1" applyBorder="1"/>
    <xf numFmtId="2" fontId="0" fillId="11" borderId="88" xfId="1" applyNumberFormat="1" applyFont="1" applyFill="1" applyBorder="1"/>
    <xf numFmtId="2" fontId="0" fillId="11" borderId="62" xfId="1" applyNumberFormat="1" applyFont="1" applyFill="1" applyBorder="1"/>
    <xf numFmtId="2" fontId="0" fillId="9" borderId="81" xfId="1" applyNumberFormat="1" applyFont="1" applyFill="1" applyBorder="1"/>
    <xf numFmtId="0" fontId="0" fillId="11" borderId="47" xfId="0" applyFill="1" applyBorder="1"/>
    <xf numFmtId="0" fontId="4" fillId="16" borderId="25" xfId="0" applyFont="1" applyFill="1" applyBorder="1" applyAlignment="1">
      <alignment horizontal="center" wrapText="1"/>
    </xf>
    <xf numFmtId="4" fontId="4" fillId="16" borderId="0" xfId="0" applyNumberFormat="1" applyFont="1" applyFill="1" applyBorder="1"/>
    <xf numFmtId="9" fontId="0" fillId="11" borderId="24" xfId="0" applyNumberFormat="1" applyFill="1" applyBorder="1" applyAlignment="1">
      <alignment horizontal="right"/>
    </xf>
    <xf numFmtId="4" fontId="4" fillId="21" borderId="7" xfId="0" applyNumberFormat="1" applyFont="1" applyFill="1" applyBorder="1"/>
    <xf numFmtId="4" fontId="4" fillId="21" borderId="68" xfId="0" applyNumberFormat="1" applyFont="1" applyFill="1" applyBorder="1"/>
    <xf numFmtId="4" fontId="9" fillId="23" borderId="17" xfId="0" applyNumberFormat="1" applyFont="1" applyFill="1" applyBorder="1"/>
    <xf numFmtId="0" fontId="0" fillId="0" borderId="33" xfId="0" applyBorder="1" applyAlignment="1">
      <alignment horizontal="center"/>
    </xf>
    <xf numFmtId="0" fontId="34" fillId="0" borderId="33" xfId="0" applyFont="1" applyBorder="1" applyAlignment="1">
      <alignment horizontal="center"/>
    </xf>
    <xf numFmtId="0" fontId="4" fillId="0" borderId="33" xfId="0" applyFont="1" applyBorder="1"/>
    <xf numFmtId="0" fontId="0" fillId="0" borderId="33" xfId="0" applyBorder="1"/>
    <xf numFmtId="0" fontId="31" fillId="0" borderId="58" xfId="0" applyFont="1" applyBorder="1" applyAlignment="1">
      <alignment horizontal="center"/>
    </xf>
    <xf numFmtId="0" fontId="31" fillId="0" borderId="61" xfId="0" applyFont="1" applyBorder="1" applyAlignment="1">
      <alignment horizontal="center"/>
    </xf>
    <xf numFmtId="0" fontId="0" fillId="0" borderId="76" xfId="0" applyBorder="1" applyAlignment="1">
      <alignment horizontal="center"/>
    </xf>
    <xf numFmtId="0" fontId="34" fillId="0" borderId="76" xfId="0" applyFont="1" applyBorder="1" applyAlignment="1">
      <alignment horizontal="center"/>
    </xf>
    <xf numFmtId="0" fontId="0" fillId="0" borderId="76" xfId="0" applyBorder="1"/>
    <xf numFmtId="0" fontId="4" fillId="0" borderId="76" xfId="0" applyFont="1" applyBorder="1"/>
    <xf numFmtId="0" fontId="4" fillId="0" borderId="45" xfId="0" applyFont="1" applyBorder="1"/>
    <xf numFmtId="0" fontId="4" fillId="0" borderId="48" xfId="0" applyFont="1" applyBorder="1"/>
    <xf numFmtId="0" fontId="0" fillId="0" borderId="0" xfId="0"/>
    <xf numFmtId="0" fontId="39" fillId="0" borderId="0" xfId="0" applyFont="1"/>
    <xf numFmtId="0" fontId="0" fillId="4" borderId="8" xfId="0" applyFill="1" applyBorder="1"/>
    <xf numFmtId="0" fontId="0" fillId="0" borderId="0" xfId="0"/>
    <xf numFmtId="0" fontId="0" fillId="11" borderId="0" xfId="0" applyFill="1" applyBorder="1" applyAlignment="1" applyProtection="1">
      <alignment horizontal="right"/>
    </xf>
    <xf numFmtId="0" fontId="0" fillId="11" borderId="4" xfId="0" applyFill="1" applyBorder="1" applyAlignment="1" applyProtection="1">
      <alignment horizontal="right"/>
    </xf>
    <xf numFmtId="0" fontId="0" fillId="0" borderId="0" xfId="0"/>
    <xf numFmtId="0" fontId="8" fillId="0" borderId="0" xfId="0" applyFont="1" applyFill="1" applyBorder="1" applyAlignment="1" applyProtection="1">
      <alignment wrapText="1"/>
      <protection locked="0"/>
    </xf>
    <xf numFmtId="39" fontId="0" fillId="11" borderId="7" xfId="0" applyNumberFormat="1" applyFill="1" applyBorder="1" applyProtection="1"/>
    <xf numFmtId="166" fontId="0" fillId="9" borderId="68" xfId="0" applyNumberFormat="1" applyFill="1" applyBorder="1" applyProtection="1"/>
    <xf numFmtId="166" fontId="0" fillId="9" borderId="8" xfId="0" applyNumberFormat="1" applyFill="1" applyBorder="1" applyProtection="1"/>
    <xf numFmtId="166" fontId="0" fillId="9" borderId="47" xfId="0" applyNumberFormat="1" applyFill="1" applyBorder="1" applyProtection="1"/>
    <xf numFmtId="39" fontId="0" fillId="11" borderId="0" xfId="0" applyNumberFormat="1" applyFill="1" applyBorder="1" applyProtection="1"/>
    <xf numFmtId="0" fontId="29" fillId="11" borderId="77" xfId="0" applyFont="1" applyFill="1" applyBorder="1" applyAlignment="1">
      <alignment horizontal="center" wrapText="1"/>
    </xf>
    <xf numFmtId="0" fontId="29" fillId="11" borderId="60" xfId="0" applyFont="1" applyFill="1" applyBorder="1" applyAlignment="1">
      <alignment horizontal="center" wrapText="1"/>
    </xf>
    <xf numFmtId="0" fontId="29" fillId="11" borderId="78" xfId="0" applyFont="1" applyFill="1" applyBorder="1" applyAlignment="1">
      <alignment horizontal="center" wrapText="1"/>
    </xf>
    <xf numFmtId="2" fontId="38" fillId="9" borderId="27" xfId="0" applyNumberFormat="1" applyFont="1" applyFill="1" applyBorder="1"/>
    <xf numFmtId="2" fontId="38" fillId="9" borderId="55" xfId="0" applyNumberFormat="1" applyFont="1" applyFill="1" applyBorder="1"/>
    <xf numFmtId="0" fontId="0" fillId="0" borderId="0" xfId="0"/>
    <xf numFmtId="49" fontId="4" fillId="26" borderId="28" xfId="0" applyNumberFormat="1" applyFont="1" applyFill="1" applyBorder="1" applyAlignment="1" applyProtection="1">
      <alignment vertical="top" wrapText="1"/>
      <protection locked="0"/>
    </xf>
    <xf numFmtId="166" fontId="25" fillId="13" borderId="55" xfId="2" applyNumberFormat="1" applyFont="1" applyFill="1" applyBorder="1" applyAlignment="1" applyProtection="1">
      <alignment horizontal="right" vertical="center"/>
    </xf>
    <xf numFmtId="166" fontId="9" fillId="13" borderId="51" xfId="0" applyNumberFormat="1" applyFont="1" applyFill="1" applyBorder="1" applyAlignment="1" applyProtection="1">
      <alignment horizontal="center" vertical="top"/>
    </xf>
    <xf numFmtId="166" fontId="4" fillId="26" borderId="52" xfId="0" applyNumberFormat="1" applyFont="1" applyFill="1" applyBorder="1" applyAlignment="1" applyProtection="1">
      <alignment horizontal="center" vertical="top"/>
      <protection locked="0"/>
    </xf>
    <xf numFmtId="0" fontId="4" fillId="26" borderId="16" xfId="0" applyFont="1" applyFill="1" applyBorder="1" applyProtection="1">
      <protection locked="0"/>
    </xf>
    <xf numFmtId="166" fontId="4" fillId="13" borderId="52" xfId="0" applyNumberFormat="1" applyFont="1" applyFill="1" applyBorder="1" applyAlignment="1" applyProtection="1">
      <alignment horizontal="center" vertical="top"/>
    </xf>
    <xf numFmtId="166" fontId="4" fillId="9" borderId="52" xfId="0" applyNumberFormat="1" applyFont="1" applyFill="1" applyBorder="1" applyAlignment="1" applyProtection="1">
      <alignment horizontal="center" vertical="top"/>
    </xf>
    <xf numFmtId="166" fontId="9" fillId="13" borderId="52" xfId="0" applyNumberFormat="1" applyFont="1" applyFill="1" applyBorder="1" applyAlignment="1" applyProtection="1">
      <alignment horizontal="center" vertical="top"/>
    </xf>
    <xf numFmtId="166" fontId="4" fillId="13" borderId="63" xfId="0" applyNumberFormat="1" applyFont="1" applyFill="1" applyBorder="1" applyAlignment="1" applyProtection="1">
      <alignment horizontal="center" vertical="top"/>
    </xf>
    <xf numFmtId="166" fontId="4" fillId="9" borderId="63" xfId="0" applyNumberFormat="1" applyFont="1" applyFill="1" applyBorder="1" applyAlignment="1" applyProtection="1">
      <alignment horizontal="center" vertical="top"/>
    </xf>
    <xf numFmtId="166" fontId="9" fillId="13" borderId="17" xfId="0" applyNumberFormat="1" applyFont="1" applyFill="1" applyBorder="1" applyAlignment="1" applyProtection="1">
      <alignment horizontal="center" vertical="top"/>
    </xf>
    <xf numFmtId="166" fontId="4" fillId="26" borderId="63" xfId="0" applyNumberFormat="1" applyFont="1" applyFill="1" applyBorder="1" applyAlignment="1" applyProtection="1">
      <alignment horizontal="center" vertical="top"/>
      <protection locked="0"/>
    </xf>
    <xf numFmtId="0" fontId="4" fillId="26" borderId="62" xfId="0" applyFont="1" applyFill="1" applyBorder="1" applyProtection="1">
      <protection locked="0"/>
    </xf>
    <xf numFmtId="166" fontId="4" fillId="12" borderId="34" xfId="0" applyNumberFormat="1" applyFont="1" applyFill="1" applyBorder="1" applyAlignment="1" applyProtection="1">
      <alignment horizontal="center" vertical="top"/>
    </xf>
    <xf numFmtId="166" fontId="9" fillId="14" borderId="26" xfId="0" applyNumberFormat="1" applyFont="1" applyFill="1" applyBorder="1" applyAlignment="1" applyProtection="1">
      <alignment horizontal="center" vertical="top"/>
    </xf>
    <xf numFmtId="166" fontId="9" fillId="14" borderId="2" xfId="0" applyNumberFormat="1" applyFont="1" applyFill="1" applyBorder="1" applyAlignment="1" applyProtection="1">
      <alignment horizontal="center" vertical="top"/>
    </xf>
    <xf numFmtId="166" fontId="9" fillId="14" borderId="27" xfId="0" applyNumberFormat="1" applyFont="1" applyFill="1" applyBorder="1" applyAlignment="1" applyProtection="1">
      <alignment horizontal="center" vertical="top"/>
    </xf>
    <xf numFmtId="166" fontId="4" fillId="13" borderId="3" xfId="0" applyNumberFormat="1" applyFont="1" applyFill="1" applyBorder="1" applyAlignment="1" applyProtection="1">
      <alignment horizontal="center" vertical="top"/>
    </xf>
    <xf numFmtId="166" fontId="4" fillId="13" borderId="2" xfId="0" applyNumberFormat="1" applyFont="1" applyFill="1" applyBorder="1" applyAlignment="1" applyProtection="1">
      <alignment horizontal="center" vertical="top"/>
    </xf>
    <xf numFmtId="166" fontId="4" fillId="26" borderId="3" xfId="0" applyNumberFormat="1" applyFont="1" applyFill="1" applyBorder="1" applyAlignment="1" applyProtection="1">
      <alignment horizontal="center" vertical="top"/>
      <protection locked="0"/>
    </xf>
    <xf numFmtId="166" fontId="4" fillId="14" borderId="34" xfId="0" applyNumberFormat="1" applyFont="1" applyFill="1" applyBorder="1" applyAlignment="1" applyProtection="1">
      <alignment horizontal="center" vertical="top"/>
    </xf>
    <xf numFmtId="166" fontId="4" fillId="14" borderId="3" xfId="0" applyNumberFormat="1" applyFont="1" applyFill="1" applyBorder="1" applyAlignment="1" applyProtection="1">
      <alignment horizontal="center" vertical="top"/>
    </xf>
    <xf numFmtId="166" fontId="4" fillId="14" borderId="27" xfId="0" applyNumberFormat="1" applyFont="1" applyFill="1" applyBorder="1" applyAlignment="1" applyProtection="1">
      <alignment horizontal="center" vertical="top"/>
    </xf>
    <xf numFmtId="166" fontId="4" fillId="12" borderId="67" xfId="0" applyNumberFormat="1" applyFont="1" applyFill="1" applyBorder="1" applyAlignment="1" applyProtection="1">
      <alignment horizontal="center" vertical="top"/>
    </xf>
    <xf numFmtId="166" fontId="4" fillId="13" borderId="42" xfId="0" applyNumberFormat="1" applyFont="1" applyFill="1" applyBorder="1" applyAlignment="1" applyProtection="1">
      <alignment horizontal="center" vertical="top"/>
    </xf>
    <xf numFmtId="166" fontId="4" fillId="13" borderId="20" xfId="0" applyNumberFormat="1" applyFont="1" applyFill="1" applyBorder="1" applyAlignment="1" applyProtection="1">
      <alignment horizontal="center" vertical="top"/>
    </xf>
    <xf numFmtId="166" fontId="4" fillId="26" borderId="42" xfId="0" applyNumberFormat="1" applyFont="1" applyFill="1" applyBorder="1" applyAlignment="1" applyProtection="1">
      <alignment horizontal="center" vertical="top"/>
      <protection locked="0"/>
    </xf>
    <xf numFmtId="166" fontId="4" fillId="14" borderId="67" xfId="0" applyNumberFormat="1" applyFont="1" applyFill="1" applyBorder="1" applyAlignment="1" applyProtection="1">
      <alignment horizontal="center" vertical="top"/>
    </xf>
    <xf numFmtId="166" fontId="4" fillId="14" borderId="42" xfId="0" applyNumberFormat="1" applyFont="1" applyFill="1" applyBorder="1" applyAlignment="1" applyProtection="1">
      <alignment horizontal="center" vertical="top"/>
    </xf>
    <xf numFmtId="166" fontId="4" fillId="14" borderId="73" xfId="0" applyNumberFormat="1" applyFont="1" applyFill="1" applyBorder="1" applyAlignment="1" applyProtection="1">
      <alignment horizontal="center" vertical="top"/>
    </xf>
    <xf numFmtId="166" fontId="9" fillId="14" borderId="75" xfId="0" applyNumberFormat="1" applyFont="1" applyFill="1" applyBorder="1" applyAlignment="1" applyProtection="1">
      <alignment horizontal="center" vertical="top"/>
    </xf>
    <xf numFmtId="166" fontId="9" fillId="14" borderId="71" xfId="0" applyNumberFormat="1" applyFont="1" applyFill="1" applyBorder="1" applyAlignment="1" applyProtection="1">
      <alignment horizontal="center" vertical="top"/>
    </xf>
    <xf numFmtId="166" fontId="9" fillId="14" borderId="72" xfId="0" applyNumberFormat="1" applyFont="1" applyFill="1" applyBorder="1" applyAlignment="1" applyProtection="1">
      <alignment horizontal="center" vertical="top"/>
    </xf>
    <xf numFmtId="166" fontId="9" fillId="14" borderId="29" xfId="0" applyNumberFormat="1" applyFont="1" applyFill="1" applyBorder="1" applyAlignment="1" applyProtection="1">
      <alignment horizontal="center" vertical="top"/>
    </xf>
    <xf numFmtId="166" fontId="9" fillId="14" borderId="19" xfId="0" applyNumberFormat="1" applyFont="1" applyFill="1" applyBorder="1" applyAlignment="1" applyProtection="1">
      <alignment horizontal="center" vertical="top"/>
    </xf>
    <xf numFmtId="166" fontId="9" fillId="14" borderId="49" xfId="0" applyNumberFormat="1" applyFont="1" applyFill="1" applyBorder="1" applyAlignment="1" applyProtection="1">
      <alignment horizontal="center" vertical="top"/>
    </xf>
    <xf numFmtId="166" fontId="9" fillId="14" borderId="37" xfId="0" applyNumberFormat="1" applyFont="1" applyFill="1" applyBorder="1" applyAlignment="1" applyProtection="1">
      <alignment horizontal="center" vertical="top"/>
    </xf>
    <xf numFmtId="166" fontId="9" fillId="14" borderId="38" xfId="0" applyNumberFormat="1" applyFont="1" applyFill="1" applyBorder="1" applyAlignment="1" applyProtection="1">
      <alignment horizontal="center" vertical="top"/>
    </xf>
    <xf numFmtId="166" fontId="9" fillId="14" borderId="39" xfId="0" applyNumberFormat="1" applyFont="1" applyFill="1" applyBorder="1" applyAlignment="1" applyProtection="1">
      <alignment horizontal="center" vertical="top"/>
    </xf>
    <xf numFmtId="0" fontId="4" fillId="26" borderId="8" xfId="0" applyFont="1" applyFill="1" applyBorder="1" applyAlignment="1" applyProtection="1">
      <alignment wrapText="1"/>
      <protection locked="0"/>
    </xf>
    <xf numFmtId="0" fontId="4" fillId="26" borderId="10" xfId="0" applyFont="1" applyFill="1" applyBorder="1" applyAlignment="1" applyProtection="1">
      <alignment wrapText="1"/>
      <protection locked="0"/>
    </xf>
    <xf numFmtId="39" fontId="25" fillId="11" borderId="7" xfId="0" applyNumberFormat="1" applyFont="1" applyFill="1" applyBorder="1" applyAlignment="1" applyProtection="1">
      <alignment vertical="top"/>
    </xf>
    <xf numFmtId="39" fontId="25" fillId="11" borderId="0" xfId="0" applyNumberFormat="1" applyFont="1" applyFill="1" applyBorder="1" applyAlignment="1" applyProtection="1">
      <alignment vertical="top"/>
    </xf>
    <xf numFmtId="10" fontId="9" fillId="9" borderId="52" xfId="1" applyNumberFormat="1" applyFont="1" applyFill="1" applyBorder="1" applyAlignment="1" applyProtection="1">
      <alignment horizontal="center" vertical="top"/>
    </xf>
    <xf numFmtId="0" fontId="4" fillId="11" borderId="0" xfId="0" applyFont="1" applyFill="1" applyBorder="1" applyAlignment="1" applyProtection="1">
      <alignment wrapText="1"/>
    </xf>
    <xf numFmtId="10" fontId="9" fillId="26" borderId="29" xfId="0" applyNumberFormat="1" applyFont="1" applyFill="1" applyBorder="1" applyAlignment="1" applyProtection="1">
      <alignment horizontal="center" vertical="top"/>
      <protection locked="0"/>
    </xf>
    <xf numFmtId="166" fontId="9" fillId="13" borderId="19" xfId="0" applyNumberFormat="1" applyFont="1" applyFill="1" applyBorder="1" applyAlignment="1" applyProtection="1">
      <alignment horizontal="center" vertical="top"/>
    </xf>
    <xf numFmtId="166" fontId="9" fillId="13" borderId="49" xfId="0" applyNumberFormat="1" applyFont="1" applyFill="1" applyBorder="1" applyAlignment="1" applyProtection="1">
      <alignment horizontal="center" vertical="top"/>
    </xf>
    <xf numFmtId="166" fontId="9" fillId="13" borderId="2" xfId="0" applyNumberFormat="1" applyFont="1" applyFill="1" applyBorder="1" applyAlignment="1" applyProtection="1">
      <alignment horizontal="center" vertical="top"/>
    </xf>
    <xf numFmtId="166" fontId="9" fillId="13" borderId="27" xfId="0" applyNumberFormat="1" applyFont="1" applyFill="1" applyBorder="1" applyAlignment="1" applyProtection="1">
      <alignment horizontal="center" vertical="top"/>
    </xf>
    <xf numFmtId="166" fontId="9" fillId="13" borderId="26" xfId="0" applyNumberFormat="1" applyFont="1" applyFill="1" applyBorder="1" applyAlignment="1" applyProtection="1">
      <alignment horizontal="center" vertical="top"/>
    </xf>
    <xf numFmtId="39" fontId="4" fillId="11" borderId="7" xfId="0" applyNumberFormat="1" applyFont="1" applyFill="1" applyBorder="1" applyAlignment="1" applyProtection="1">
      <alignment horizontal="right" vertical="top"/>
    </xf>
    <xf numFmtId="39" fontId="4" fillId="11" borderId="0" xfId="0" applyNumberFormat="1" applyFont="1" applyFill="1" applyBorder="1" applyAlignment="1" applyProtection="1">
      <alignment vertical="top"/>
    </xf>
    <xf numFmtId="10" fontId="4" fillId="13" borderId="52" xfId="1" applyNumberFormat="1" applyFont="1" applyFill="1" applyBorder="1" applyAlignment="1" applyProtection="1">
      <alignment horizontal="center" vertical="top"/>
    </xf>
    <xf numFmtId="166" fontId="4" fillId="11" borderId="0" xfId="0" applyNumberFormat="1" applyFont="1" applyFill="1" applyBorder="1" applyAlignment="1" applyProtection="1">
      <alignment wrapText="1"/>
    </xf>
    <xf numFmtId="166" fontId="4" fillId="9" borderId="3" xfId="0" applyNumberFormat="1" applyFont="1" applyFill="1" applyBorder="1" applyAlignment="1" applyProtection="1">
      <alignment horizontal="center" vertical="top"/>
    </xf>
    <xf numFmtId="166" fontId="4" fillId="13" borderId="27" xfId="0" applyNumberFormat="1" applyFont="1" applyFill="1" applyBorder="1" applyAlignment="1" applyProtection="1">
      <alignment horizontal="center" vertical="top"/>
    </xf>
    <xf numFmtId="166" fontId="4" fillId="13" borderId="34" xfId="0" applyNumberFormat="1" applyFont="1" applyFill="1" applyBorder="1" applyAlignment="1" applyProtection="1">
      <alignment horizontal="center" vertical="top"/>
    </xf>
    <xf numFmtId="10" fontId="9" fillId="26" borderId="26" xfId="0" applyNumberFormat="1" applyFont="1" applyFill="1" applyBorder="1" applyAlignment="1" applyProtection="1">
      <alignment horizontal="center" vertical="top"/>
      <protection locked="0"/>
    </xf>
    <xf numFmtId="168" fontId="4" fillId="11" borderId="7" xfId="0" applyNumberFormat="1" applyFont="1" applyFill="1" applyBorder="1" applyAlignment="1" applyProtection="1">
      <alignment vertical="top"/>
    </xf>
    <xf numFmtId="0" fontId="4" fillId="11" borderId="0" xfId="0" applyFont="1" applyFill="1" applyBorder="1" applyAlignment="1" applyProtection="1">
      <alignment vertical="top"/>
    </xf>
    <xf numFmtId="0" fontId="4" fillId="11" borderId="0" xfId="0" applyFont="1" applyFill="1" applyBorder="1" applyAlignment="1" applyProtection="1">
      <alignment horizontal="left" vertical="top"/>
    </xf>
    <xf numFmtId="0" fontId="25" fillId="11" borderId="0" xfId="0" applyFont="1" applyFill="1" applyBorder="1" applyAlignment="1" applyProtection="1">
      <alignment vertical="top"/>
    </xf>
    <xf numFmtId="0" fontId="4" fillId="11" borderId="0" xfId="0" applyFont="1" applyFill="1" applyBorder="1" applyAlignment="1" applyProtection="1">
      <alignment vertical="top" wrapText="1"/>
    </xf>
    <xf numFmtId="10" fontId="4" fillId="13" borderId="63" xfId="1" applyNumberFormat="1" applyFont="1" applyFill="1" applyBorder="1" applyAlignment="1" applyProtection="1">
      <alignment horizontal="center" vertical="top"/>
    </xf>
    <xf numFmtId="166" fontId="4" fillId="13" borderId="73" xfId="0" applyNumberFormat="1" applyFont="1" applyFill="1" applyBorder="1" applyAlignment="1" applyProtection="1">
      <alignment horizontal="center" vertical="top"/>
    </xf>
    <xf numFmtId="166" fontId="9" fillId="13" borderId="75" xfId="0" applyNumberFormat="1" applyFont="1" applyFill="1" applyBorder="1" applyAlignment="1" applyProtection="1">
      <alignment horizontal="center" vertical="top"/>
    </xf>
    <xf numFmtId="166" fontId="9" fillId="13" borderId="71" xfId="0" applyNumberFormat="1" applyFont="1" applyFill="1" applyBorder="1" applyAlignment="1" applyProtection="1">
      <alignment horizontal="center" vertical="top"/>
    </xf>
    <xf numFmtId="166" fontId="9" fillId="13" borderId="72" xfId="0" applyNumberFormat="1" applyFont="1" applyFill="1" applyBorder="1" applyAlignment="1" applyProtection="1">
      <alignment horizontal="center" vertical="top"/>
    </xf>
    <xf numFmtId="10" fontId="9" fillId="9" borderId="51" xfId="1" applyNumberFormat="1" applyFont="1" applyFill="1" applyBorder="1" applyAlignment="1" applyProtection="1">
      <alignment horizontal="center" vertical="top"/>
    </xf>
    <xf numFmtId="166" fontId="9" fillId="13" borderId="29" xfId="0" applyNumberFormat="1" applyFont="1" applyFill="1" applyBorder="1" applyAlignment="1" applyProtection="1">
      <alignment horizontal="center" vertical="top"/>
    </xf>
    <xf numFmtId="168" fontId="25" fillId="11" borderId="7" xfId="0" applyNumberFormat="1" applyFont="1" applyFill="1" applyBorder="1" applyAlignment="1" applyProtection="1">
      <alignment vertical="top"/>
    </xf>
    <xf numFmtId="0" fontId="25" fillId="11" borderId="0" xfId="0" applyFont="1" applyFill="1" applyBorder="1" applyAlignment="1" applyProtection="1">
      <alignment horizontal="left" vertical="top"/>
    </xf>
    <xf numFmtId="39" fontId="4" fillId="11" borderId="7" xfId="0" applyNumberFormat="1" applyFont="1" applyFill="1" applyBorder="1" applyAlignment="1" applyProtection="1">
      <alignment vertical="top"/>
    </xf>
    <xf numFmtId="0" fontId="4" fillId="11" borderId="4" xfId="0" applyFont="1" applyFill="1" applyBorder="1" applyAlignment="1" applyProtection="1">
      <alignment wrapText="1"/>
    </xf>
    <xf numFmtId="166" fontId="9" fillId="13" borderId="37" xfId="0" applyNumberFormat="1" applyFont="1" applyFill="1" applyBorder="1" applyAlignment="1" applyProtection="1">
      <alignment horizontal="center" vertical="top"/>
    </xf>
    <xf numFmtId="166" fontId="9" fillId="13" borderId="38" xfId="0" applyNumberFormat="1" applyFont="1" applyFill="1" applyBorder="1" applyAlignment="1" applyProtection="1">
      <alignment horizontal="center" vertical="top"/>
    </xf>
    <xf numFmtId="166" fontId="9" fillId="13" borderId="39" xfId="0" applyNumberFormat="1" applyFont="1" applyFill="1" applyBorder="1" applyAlignment="1" applyProtection="1">
      <alignment horizontal="center" vertical="top"/>
    </xf>
    <xf numFmtId="4" fontId="0" fillId="26" borderId="60" xfId="0" applyNumberFormat="1" applyFill="1" applyBorder="1" applyProtection="1">
      <protection locked="0"/>
    </xf>
    <xf numFmtId="4" fontId="0" fillId="26" borderId="2" xfId="0" applyNumberFormat="1" applyFill="1" applyBorder="1" applyProtection="1">
      <protection locked="0"/>
    </xf>
    <xf numFmtId="4" fontId="0" fillId="26" borderId="55" xfId="0" applyNumberFormat="1" applyFill="1" applyBorder="1" applyProtection="1">
      <protection locked="0"/>
    </xf>
    <xf numFmtId="9" fontId="0" fillId="26" borderId="54" xfId="0" applyNumberFormat="1" applyFill="1" applyBorder="1" applyProtection="1">
      <protection locked="0"/>
    </xf>
    <xf numFmtId="0" fontId="0" fillId="26" borderId="0" xfId="0" applyFill="1"/>
    <xf numFmtId="0" fontId="38" fillId="26" borderId="26" xfId="0" applyFont="1" applyFill="1" applyBorder="1" applyProtection="1">
      <protection locked="0"/>
    </xf>
    <xf numFmtId="0" fontId="38" fillId="26" borderId="2" xfId="0" applyFont="1" applyFill="1" applyBorder="1" applyAlignment="1" applyProtection="1">
      <alignment horizontal="center"/>
      <protection locked="0"/>
    </xf>
    <xf numFmtId="0" fontId="38" fillId="26" borderId="54" xfId="0" applyFont="1" applyFill="1" applyBorder="1" applyProtection="1">
      <protection locked="0"/>
    </xf>
    <xf numFmtId="0" fontId="38" fillId="26" borderId="44" xfId="0" applyFont="1" applyFill="1" applyBorder="1" applyAlignment="1" applyProtection="1">
      <alignment horizontal="center"/>
      <protection locked="0"/>
    </xf>
    <xf numFmtId="9" fontId="4" fillId="26" borderId="56" xfId="3" applyNumberFormat="1" applyFont="1" applyFill="1" applyBorder="1" applyProtection="1">
      <protection locked="0"/>
    </xf>
    <xf numFmtId="9" fontId="4" fillId="26" borderId="52" xfId="3" applyNumberFormat="1" applyFont="1" applyFill="1" applyBorder="1" applyProtection="1">
      <protection locked="0"/>
    </xf>
    <xf numFmtId="9" fontId="4" fillId="26" borderId="53" xfId="3" applyNumberFormat="1" applyFont="1" applyFill="1" applyBorder="1" applyProtection="1">
      <protection locked="0"/>
    </xf>
    <xf numFmtId="9" fontId="4" fillId="26" borderId="51" xfId="3" applyNumberFormat="1" applyFont="1" applyFill="1" applyBorder="1" applyProtection="1">
      <protection locked="0"/>
    </xf>
    <xf numFmtId="0" fontId="0" fillId="0" borderId="0" xfId="0" applyAlignment="1"/>
    <xf numFmtId="14" fontId="25" fillId="26" borderId="1" xfId="0" applyNumberFormat="1" applyFont="1" applyFill="1" applyBorder="1" applyAlignment="1" applyProtection="1">
      <alignment horizontal="center" vertical="center"/>
      <protection locked="0"/>
    </xf>
    <xf numFmtId="0" fontId="22" fillId="26" borderId="28" xfId="0" applyFont="1" applyFill="1" applyBorder="1" applyAlignment="1" applyProtection="1">
      <alignment horizontal="center" vertical="center"/>
      <protection locked="0"/>
    </xf>
    <xf numFmtId="0" fontId="22" fillId="26" borderId="18" xfId="0" applyNumberFormat="1" applyFont="1" applyFill="1" applyBorder="1" applyAlignment="1" applyProtection="1">
      <alignment horizontal="center" vertical="center"/>
      <protection locked="0"/>
    </xf>
    <xf numFmtId="166" fontId="22" fillId="26" borderId="27" xfId="2" applyNumberFormat="1" applyFont="1" applyFill="1" applyBorder="1" applyAlignment="1" applyProtection="1">
      <alignment horizontal="right" vertical="center"/>
      <protection locked="0"/>
    </xf>
    <xf numFmtId="166" fontId="22" fillId="9" borderId="27" xfId="2" applyNumberFormat="1" applyFont="1" applyFill="1" applyBorder="1" applyAlignment="1" applyProtection="1">
      <alignment horizontal="right" vertical="center"/>
    </xf>
    <xf numFmtId="0" fontId="22" fillId="11" borderId="2" xfId="0" applyFont="1" applyFill="1" applyBorder="1" applyAlignment="1" applyProtection="1">
      <alignment horizontal="center" vertical="center" wrapText="1"/>
    </xf>
    <xf numFmtId="0" fontId="22" fillId="11" borderId="27" xfId="0" applyFont="1" applyFill="1" applyBorder="1" applyAlignment="1" applyProtection="1">
      <alignment horizontal="center" vertical="center" wrapText="1"/>
    </xf>
    <xf numFmtId="166" fontId="22" fillId="9" borderId="2" xfId="2" applyNumberFormat="1" applyFont="1" applyFill="1" applyBorder="1" applyAlignment="1" applyProtection="1">
      <alignment horizontal="right" vertical="center"/>
    </xf>
    <xf numFmtId="166" fontId="25" fillId="13" borderId="44" xfId="2" applyNumberFormat="1" applyFont="1" applyFill="1" applyBorder="1" applyAlignment="1" applyProtection="1">
      <alignment horizontal="right" vertical="center"/>
    </xf>
    <xf numFmtId="0" fontId="25" fillId="11" borderId="60" xfId="0" applyFont="1" applyFill="1" applyBorder="1" applyAlignment="1" applyProtection="1">
      <alignment horizontal="center" vertical="center"/>
    </xf>
    <xf numFmtId="0" fontId="25" fillId="11" borderId="78" xfId="0" applyFont="1" applyFill="1" applyBorder="1" applyAlignment="1" applyProtection="1">
      <alignment horizontal="center" vertical="center"/>
    </xf>
    <xf numFmtId="171" fontId="41" fillId="13" borderId="2" xfId="0" applyNumberFormat="1" applyFont="1" applyFill="1" applyBorder="1"/>
    <xf numFmtId="171" fontId="41" fillId="13" borderId="27" xfId="0" applyNumberFormat="1" applyFont="1" applyFill="1" applyBorder="1"/>
    <xf numFmtId="171" fontId="41" fillId="13" borderId="44" xfId="0" applyNumberFormat="1" applyFont="1" applyFill="1" applyBorder="1"/>
    <xf numFmtId="171" fontId="41" fillId="13" borderId="55" xfId="0" applyNumberFormat="1" applyFont="1" applyFill="1" applyBorder="1"/>
    <xf numFmtId="0" fontId="38" fillId="0" borderId="0" xfId="0" applyFont="1" applyProtection="1"/>
    <xf numFmtId="0" fontId="38" fillId="0" borderId="0" xfId="0" applyFont="1" applyProtection="1">
      <protection locked="0"/>
    </xf>
    <xf numFmtId="0" fontId="42" fillId="0" borderId="1" xfId="0" applyFont="1" applyBorder="1" applyAlignment="1" applyProtection="1">
      <alignment horizontal="center"/>
    </xf>
    <xf numFmtId="0" fontId="38" fillId="17" borderId="1" xfId="0" applyFont="1" applyFill="1" applyBorder="1" applyAlignment="1" applyProtection="1">
      <alignment horizontal="center"/>
    </xf>
    <xf numFmtId="0" fontId="38" fillId="18" borderId="28" xfId="0" applyFont="1" applyFill="1" applyBorder="1" applyAlignment="1" applyProtection="1">
      <alignment horizontal="center"/>
    </xf>
    <xf numFmtId="0" fontId="38" fillId="6" borderId="28" xfId="0" applyFont="1" applyFill="1" applyBorder="1" applyAlignment="1" applyProtection="1">
      <alignment horizontal="center"/>
    </xf>
    <xf numFmtId="0" fontId="38" fillId="19" borderId="28" xfId="0" applyFont="1" applyFill="1" applyBorder="1" applyAlignment="1" applyProtection="1">
      <alignment horizontal="center"/>
    </xf>
    <xf numFmtId="0" fontId="38" fillId="9" borderId="28" xfId="0" applyFont="1" applyFill="1" applyBorder="1" applyAlignment="1" applyProtection="1">
      <alignment horizontal="center"/>
    </xf>
    <xf numFmtId="0" fontId="38" fillId="7" borderId="28" xfId="0" applyFont="1" applyFill="1" applyBorder="1" applyAlignment="1" applyProtection="1">
      <alignment horizontal="center"/>
    </xf>
    <xf numFmtId="0" fontId="38" fillId="3" borderId="18" xfId="0" applyFont="1" applyFill="1" applyBorder="1" applyAlignment="1" applyProtection="1">
      <alignment horizontal="center"/>
    </xf>
    <xf numFmtId="0" fontId="38" fillId="26" borderId="1" xfId="0" applyFont="1" applyFill="1" applyBorder="1" applyAlignment="1" applyProtection="1">
      <alignment horizontal="center"/>
    </xf>
    <xf numFmtId="0" fontId="38" fillId="13" borderId="28" xfId="0" applyFont="1" applyFill="1" applyBorder="1" applyAlignment="1" applyProtection="1">
      <alignment horizontal="center"/>
    </xf>
    <xf numFmtId="0" fontId="38" fillId="10" borderId="28" xfId="0" applyFont="1" applyFill="1" applyBorder="1" applyAlignment="1" applyProtection="1">
      <alignment horizontal="center"/>
    </xf>
    <xf numFmtId="0" fontId="38" fillId="11" borderId="28" xfId="0" applyFont="1" applyFill="1" applyBorder="1" applyAlignment="1" applyProtection="1">
      <alignment horizontal="center"/>
    </xf>
    <xf numFmtId="0" fontId="38" fillId="7" borderId="18" xfId="0" applyFont="1" applyFill="1" applyBorder="1" applyAlignment="1" applyProtection="1">
      <alignment horizontal="center"/>
    </xf>
    <xf numFmtId="174" fontId="38" fillId="26" borderId="2" xfId="3" applyNumberFormat="1" applyFont="1" applyFill="1" applyBorder="1" applyProtection="1">
      <protection locked="0"/>
    </xf>
    <xf numFmtId="174" fontId="38" fillId="26" borderId="44" xfId="3" applyNumberFormat="1" applyFont="1" applyFill="1" applyBorder="1" applyProtection="1">
      <protection locked="0"/>
    </xf>
    <xf numFmtId="0" fontId="20" fillId="26" borderId="5" xfId="0" applyFont="1" applyFill="1" applyBorder="1" applyAlignment="1" applyProtection="1">
      <alignment horizontal="left" vertical="center" indent="1"/>
      <protection locked="0"/>
    </xf>
    <xf numFmtId="0" fontId="20" fillId="26" borderId="6" xfId="0" applyFont="1" applyFill="1" applyBorder="1" applyAlignment="1" applyProtection="1">
      <alignment horizontal="left" vertical="center" indent="1"/>
      <protection locked="0"/>
    </xf>
    <xf numFmtId="0" fontId="20" fillId="26" borderId="7" xfId="0" applyFont="1" applyFill="1" applyBorder="1" applyAlignment="1" applyProtection="1">
      <alignment horizontal="left" vertical="center" indent="1"/>
      <protection locked="0"/>
    </xf>
    <xf numFmtId="0" fontId="20" fillId="26" borderId="8" xfId="0" applyFont="1" applyFill="1" applyBorder="1" applyAlignment="1" applyProtection="1">
      <alignment horizontal="left" vertical="center" indent="1"/>
      <protection locked="0"/>
    </xf>
    <xf numFmtId="0" fontId="20" fillId="26" borderId="9" xfId="0" applyFont="1" applyFill="1" applyBorder="1" applyAlignment="1" applyProtection="1">
      <alignment horizontal="left" vertical="center" indent="1"/>
      <protection locked="0"/>
    </xf>
    <xf numFmtId="0" fontId="20" fillId="26" borderId="10" xfId="0" applyFont="1" applyFill="1" applyBorder="1" applyAlignment="1" applyProtection="1">
      <alignment horizontal="left" vertical="center" indent="1"/>
      <protection locked="0"/>
    </xf>
    <xf numFmtId="0" fontId="0" fillId="0" borderId="0" xfId="0"/>
    <xf numFmtId="0" fontId="0" fillId="5" borderId="0" xfId="0" applyFill="1" applyProtection="1">
      <protection locked="0"/>
    </xf>
    <xf numFmtId="0" fontId="0" fillId="5" borderId="0" xfId="0" applyFill="1" applyAlignment="1" applyProtection="1">
      <alignment wrapText="1"/>
      <protection locked="0"/>
    </xf>
    <xf numFmtId="0" fontId="8" fillId="0" borderId="0" xfId="0" applyFont="1" applyFill="1" applyBorder="1" applyAlignment="1" applyProtection="1">
      <alignment horizontal="left" wrapText="1"/>
    </xf>
    <xf numFmtId="0" fontId="30" fillId="0" borderId="0" xfId="0" applyFont="1" applyFill="1" applyBorder="1" applyAlignment="1">
      <alignment horizontal="left" wrapText="1"/>
    </xf>
    <xf numFmtId="0" fontId="8" fillId="0" borderId="0" xfId="0" applyFont="1" applyFill="1" applyBorder="1" applyAlignment="1">
      <alignment horizontal="left" wrapText="1"/>
    </xf>
    <xf numFmtId="166" fontId="4" fillId="26" borderId="8" xfId="0" applyNumberFormat="1" applyFont="1" applyFill="1" applyBorder="1" applyAlignment="1" applyProtection="1">
      <alignment wrapText="1"/>
      <protection locked="0"/>
    </xf>
    <xf numFmtId="0" fontId="38" fillId="0" borderId="0" xfId="0" applyFont="1" applyAlignment="1" applyProtection="1">
      <alignment wrapText="1"/>
      <protection locked="0"/>
    </xf>
    <xf numFmtId="0" fontId="42" fillId="0" borderId="0" xfId="0" applyFont="1" applyFill="1" applyAlignment="1" applyProtection="1">
      <alignment wrapText="1"/>
    </xf>
    <xf numFmtId="0" fontId="38" fillId="0" borderId="0" xfId="0" applyFont="1" applyFill="1" applyAlignment="1" applyProtection="1">
      <alignment wrapText="1"/>
    </xf>
    <xf numFmtId="0" fontId="29" fillId="0" borderId="0" xfId="69" applyFont="1" applyFill="1" applyAlignment="1" applyProtection="1">
      <alignment horizontal="center" wrapText="1"/>
    </xf>
    <xf numFmtId="0" fontId="42" fillId="0" borderId="0" xfId="0" quotePrefix="1" applyFont="1" applyFill="1" applyAlignment="1" applyProtection="1">
      <alignment wrapText="1"/>
    </xf>
    <xf numFmtId="0" fontId="0" fillId="0" borderId="0" xfId="0"/>
    <xf numFmtId="0" fontId="0" fillId="11" borderId="4" xfId="0" applyFill="1" applyBorder="1" applyAlignment="1" applyProtection="1">
      <alignment horizontal="right"/>
    </xf>
    <xf numFmtId="0" fontId="17" fillId="11" borderId="11" xfId="0" applyFont="1" applyFill="1" applyBorder="1" applyAlignment="1">
      <alignment vertical="center"/>
    </xf>
    <xf numFmtId="0" fontId="18" fillId="11" borderId="12"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11" borderId="57" xfId="0" applyFont="1" applyFill="1" applyBorder="1" applyAlignment="1">
      <alignment horizontal="center" vertical="top" wrapText="1"/>
    </xf>
    <xf numFmtId="0" fontId="18" fillId="11" borderId="61" xfId="0" applyFont="1" applyFill="1" applyBorder="1" applyAlignment="1">
      <alignment horizontal="center" vertical="top" wrapText="1"/>
    </xf>
    <xf numFmtId="0" fontId="18" fillId="11" borderId="89" xfId="0" applyFont="1" applyFill="1" applyBorder="1" applyAlignment="1">
      <alignment horizontal="center" vertical="top" wrapText="1"/>
    </xf>
    <xf numFmtId="39" fontId="23" fillId="11" borderId="5" xfId="0" applyNumberFormat="1" applyFont="1" applyFill="1" applyBorder="1" applyAlignment="1">
      <alignment vertical="top"/>
    </xf>
    <xf numFmtId="39" fontId="23" fillId="11" borderId="11" xfId="0" applyNumberFormat="1" applyFont="1" applyFill="1" applyBorder="1" applyAlignment="1">
      <alignment vertical="top"/>
    </xf>
    <xf numFmtId="172" fontId="25" fillId="9" borderId="9" xfId="0" applyNumberFormat="1" applyFont="1" applyFill="1" applyBorder="1" applyAlignment="1" applyProtection="1">
      <alignment horizontal="center" vertical="top"/>
      <protection locked="0"/>
    </xf>
    <xf numFmtId="172" fontId="25" fillId="5" borderId="12" xfId="0" applyNumberFormat="1" applyFont="1" applyFill="1" applyBorder="1" applyAlignment="1" applyProtection="1">
      <alignment horizontal="center" vertical="top"/>
      <protection locked="0"/>
    </xf>
    <xf numFmtId="172" fontId="25" fillId="5" borderId="13" xfId="0" applyNumberFormat="1" applyFont="1" applyFill="1" applyBorder="1" applyAlignment="1" applyProtection="1">
      <alignment horizontal="center" vertical="top"/>
      <protection locked="0"/>
    </xf>
    <xf numFmtId="172" fontId="25" fillId="5" borderId="14" xfId="0" applyNumberFormat="1" applyFont="1" applyFill="1" applyBorder="1" applyAlignment="1" applyProtection="1">
      <alignment horizontal="center" vertical="top"/>
      <protection locked="0"/>
    </xf>
    <xf numFmtId="39" fontId="18" fillId="11" borderId="7" xfId="0" applyNumberFormat="1" applyFont="1" applyFill="1" applyBorder="1" applyAlignment="1">
      <alignment horizontal="right" vertical="top"/>
    </xf>
    <xf numFmtId="39" fontId="18" fillId="11" borderId="0" xfId="0" applyNumberFormat="1" applyFont="1" applyFill="1" applyAlignment="1">
      <alignment vertical="top"/>
    </xf>
    <xf numFmtId="172" fontId="4" fillId="13" borderId="46" xfId="0" applyNumberFormat="1" applyFont="1" applyFill="1" applyBorder="1" applyAlignment="1" applyProtection="1">
      <alignment horizontal="center" vertical="top"/>
      <protection locked="0"/>
    </xf>
    <xf numFmtId="4" fontId="4" fillId="5" borderId="28" xfId="0" applyNumberFormat="1" applyFont="1" applyFill="1" applyBorder="1" applyAlignment="1" applyProtection="1">
      <alignment horizontal="center" vertical="top"/>
      <protection locked="0"/>
    </xf>
    <xf numFmtId="2" fontId="4" fillId="26" borderId="29" xfId="0" applyNumberFormat="1" applyFont="1" applyFill="1" applyBorder="1" applyAlignment="1" applyProtection="1">
      <alignment horizontal="center" vertical="top"/>
      <protection locked="0"/>
    </xf>
    <xf numFmtId="166" fontId="4" fillId="13" borderId="49" xfId="0" applyNumberFormat="1" applyFont="1" applyFill="1" applyBorder="1" applyAlignment="1" applyProtection="1">
      <alignment horizontal="center" vertical="top"/>
      <protection locked="0"/>
    </xf>
    <xf numFmtId="166" fontId="4" fillId="26" borderId="22" xfId="0" applyNumberFormat="1" applyFont="1" applyFill="1" applyBorder="1" applyAlignment="1" applyProtection="1">
      <alignment horizontal="center" vertical="top"/>
      <protection locked="0"/>
    </xf>
    <xf numFmtId="172" fontId="4" fillId="13" borderId="34" xfId="0" applyNumberFormat="1" applyFont="1" applyFill="1" applyBorder="1" applyAlignment="1" applyProtection="1">
      <alignment horizontal="center" vertical="top"/>
      <protection locked="0"/>
    </xf>
    <xf numFmtId="166" fontId="4" fillId="5" borderId="28" xfId="0" applyNumberFormat="1" applyFont="1" applyFill="1" applyBorder="1" applyAlignment="1" applyProtection="1">
      <alignment horizontal="center" vertical="top"/>
      <protection locked="0"/>
    </xf>
    <xf numFmtId="2" fontId="4" fillId="26" borderId="26" xfId="0" applyNumberFormat="1" applyFont="1" applyFill="1" applyBorder="1" applyAlignment="1" applyProtection="1">
      <alignment horizontal="center" vertical="top"/>
      <protection locked="0"/>
    </xf>
    <xf numFmtId="166" fontId="4" fillId="26" borderId="16" xfId="0" applyNumberFormat="1" applyFont="1" applyFill="1" applyBorder="1" applyAlignment="1" applyProtection="1">
      <alignment horizontal="center" vertical="top"/>
      <protection locked="0"/>
    </xf>
    <xf numFmtId="3" fontId="4" fillId="26" borderId="26" xfId="0" applyNumberFormat="1" applyFont="1" applyFill="1" applyBorder="1" applyAlignment="1" applyProtection="1">
      <alignment horizontal="center" vertical="top"/>
      <protection locked="0"/>
    </xf>
    <xf numFmtId="39" fontId="23" fillId="11" borderId="7" xfId="0" applyNumberFormat="1" applyFont="1" applyFill="1" applyBorder="1" applyAlignment="1">
      <alignment vertical="top"/>
    </xf>
    <xf numFmtId="39" fontId="23" fillId="11" borderId="0" xfId="0" applyNumberFormat="1" applyFont="1" applyFill="1" applyAlignment="1">
      <alignment vertical="top"/>
    </xf>
    <xf numFmtId="168" fontId="18" fillId="11" borderId="7" xfId="0" applyNumberFormat="1" applyFont="1" applyFill="1" applyBorder="1" applyAlignment="1">
      <alignment vertical="top"/>
    </xf>
    <xf numFmtId="0" fontId="18" fillId="11" borderId="0" xfId="0" applyFont="1" applyFill="1" applyAlignment="1">
      <alignment vertical="top"/>
    </xf>
    <xf numFmtId="1" fontId="4" fillId="26" borderId="26" xfId="0" applyNumberFormat="1" applyFont="1" applyFill="1" applyBorder="1" applyAlignment="1" applyProtection="1">
      <alignment horizontal="center" vertical="top"/>
      <protection locked="0"/>
    </xf>
    <xf numFmtId="0" fontId="18" fillId="11" borderId="0" xfId="0" applyFont="1" applyFill="1" applyAlignment="1">
      <alignment horizontal="left" vertical="top"/>
    </xf>
    <xf numFmtId="0" fontId="23" fillId="11" borderId="0" xfId="0" applyFont="1" applyFill="1" applyAlignment="1">
      <alignment vertical="top"/>
    </xf>
    <xf numFmtId="0" fontId="4" fillId="26" borderId="26" xfId="0" applyFont="1" applyFill="1" applyBorder="1" applyAlignment="1" applyProtection="1">
      <alignment horizontal="center" vertical="top"/>
      <protection locked="0"/>
    </xf>
    <xf numFmtId="0" fontId="18" fillId="11" borderId="0" xfId="0" applyFont="1" applyFill="1" applyAlignment="1">
      <alignment vertical="top" wrapText="1"/>
    </xf>
    <xf numFmtId="172" fontId="4" fillId="13" borderId="67" xfId="0" applyNumberFormat="1" applyFont="1" applyFill="1" applyBorder="1" applyAlignment="1" applyProtection="1">
      <alignment horizontal="center" vertical="top"/>
      <protection locked="0"/>
    </xf>
    <xf numFmtId="0" fontId="4" fillId="26" borderId="64" xfId="0" applyFont="1" applyFill="1" applyBorder="1" applyAlignment="1" applyProtection="1">
      <alignment horizontal="center" vertical="top"/>
      <protection locked="0"/>
    </xf>
    <xf numFmtId="166" fontId="4" fillId="26" borderId="43" xfId="0" applyNumberFormat="1" applyFont="1" applyFill="1" applyBorder="1" applyAlignment="1" applyProtection="1">
      <alignment horizontal="center" vertical="top"/>
      <protection locked="0"/>
    </xf>
    <xf numFmtId="172" fontId="25" fillId="11" borderId="70" xfId="0" applyNumberFormat="1" applyFont="1" applyFill="1" applyBorder="1" applyAlignment="1" applyProtection="1">
      <alignment horizontal="center" vertical="top"/>
      <protection locked="0"/>
    </xf>
    <xf numFmtId="168" fontId="23" fillId="11" borderId="7" xfId="0" applyNumberFormat="1" applyFont="1" applyFill="1" applyBorder="1" applyAlignment="1">
      <alignment vertical="top"/>
    </xf>
    <xf numFmtId="0" fontId="23" fillId="11" borderId="0" xfId="0" applyFont="1" applyFill="1" applyAlignment="1">
      <alignment horizontal="left" vertical="top"/>
    </xf>
    <xf numFmtId="39" fontId="18" fillId="11" borderId="7" xfId="0" applyNumberFormat="1" applyFont="1" applyFill="1" applyBorder="1" applyAlignment="1">
      <alignment vertical="top"/>
    </xf>
    <xf numFmtId="9" fontId="4" fillId="26" borderId="26" xfId="0" applyNumberFormat="1" applyFont="1" applyFill="1" applyBorder="1" applyAlignment="1" applyProtection="1">
      <alignment horizontal="center" vertical="top"/>
      <protection locked="0"/>
    </xf>
    <xf numFmtId="39" fontId="18" fillId="11" borderId="9" xfId="0" applyNumberFormat="1" applyFont="1" applyFill="1" applyBorder="1" applyAlignment="1">
      <alignment vertical="top"/>
    </xf>
    <xf numFmtId="39" fontId="18" fillId="11" borderId="4" xfId="0" applyNumberFormat="1" applyFont="1" applyFill="1" applyBorder="1" applyAlignment="1">
      <alignment vertical="top"/>
    </xf>
    <xf numFmtId="172" fontId="4" fillId="13" borderId="35" xfId="0" applyNumberFormat="1" applyFont="1" applyFill="1" applyBorder="1" applyAlignment="1" applyProtection="1">
      <alignment horizontal="center" vertical="top"/>
      <protection locked="0"/>
    </xf>
    <xf numFmtId="166" fontId="4" fillId="5" borderId="18" xfId="0" applyNumberFormat="1" applyFont="1" applyFill="1" applyBorder="1" applyAlignment="1" applyProtection="1">
      <alignment horizontal="center" vertical="top"/>
      <protection locked="0"/>
    </xf>
    <xf numFmtId="9" fontId="4" fillId="26" borderId="54" xfId="0" applyNumberFormat="1" applyFont="1" applyFill="1" applyBorder="1" applyAlignment="1" applyProtection="1">
      <alignment horizontal="center" vertical="top"/>
      <protection locked="0"/>
    </xf>
    <xf numFmtId="166" fontId="4" fillId="26" borderId="62" xfId="0" applyNumberFormat="1" applyFont="1" applyFill="1" applyBorder="1" applyAlignment="1" applyProtection="1">
      <alignment horizontal="center" vertical="top"/>
      <protection locked="0"/>
    </xf>
    <xf numFmtId="0" fontId="4" fillId="11" borderId="0" xfId="0" applyFont="1" applyFill="1" applyBorder="1" applyAlignment="1" applyProtection="1">
      <alignment horizontal="right"/>
    </xf>
    <xf numFmtId="166" fontId="0" fillId="27" borderId="73" xfId="0" applyNumberFormat="1" applyFill="1" applyBorder="1" applyProtection="1">
      <protection locked="0"/>
    </xf>
    <xf numFmtId="166" fontId="0" fillId="27" borderId="76" xfId="0" applyNumberFormat="1" applyFill="1" applyBorder="1" applyProtection="1">
      <protection locked="0"/>
    </xf>
    <xf numFmtId="166" fontId="0" fillId="27" borderId="49" xfId="0" applyNumberFormat="1" applyFill="1" applyBorder="1" applyProtection="1">
      <protection locked="0"/>
    </xf>
    <xf numFmtId="4" fontId="0" fillId="27" borderId="20" xfId="0" applyNumberFormat="1" applyFill="1" applyBorder="1" applyProtection="1">
      <protection locked="0"/>
    </xf>
    <xf numFmtId="4" fontId="0" fillId="27" borderId="33" xfId="0" applyNumberFormat="1" applyFill="1" applyBorder="1" applyProtection="1">
      <protection locked="0"/>
    </xf>
    <xf numFmtId="4" fontId="0" fillId="27" borderId="19" xfId="0" applyNumberFormat="1" applyFill="1" applyBorder="1" applyProtection="1">
      <protection locked="0"/>
    </xf>
    <xf numFmtId="4" fontId="0" fillId="27" borderId="73" xfId="0" applyNumberFormat="1" applyFill="1" applyBorder="1" applyProtection="1">
      <protection locked="0"/>
    </xf>
    <xf numFmtId="4" fontId="0" fillId="27" borderId="76" xfId="0" applyNumberFormat="1" applyFill="1" applyBorder="1" applyProtection="1">
      <protection locked="0"/>
    </xf>
    <xf numFmtId="4" fontId="0" fillId="27" borderId="49" xfId="0" applyNumberFormat="1" applyFill="1" applyBorder="1" applyProtection="1">
      <protection locked="0"/>
    </xf>
    <xf numFmtId="4" fontId="0" fillId="27" borderId="45" xfId="0" applyNumberFormat="1" applyFill="1" applyBorder="1" applyProtection="1">
      <protection locked="0"/>
    </xf>
    <xf numFmtId="4" fontId="0" fillId="27" borderId="48" xfId="0" applyNumberFormat="1" applyFill="1" applyBorder="1" applyProtection="1">
      <protection locked="0"/>
    </xf>
    <xf numFmtId="0" fontId="0" fillId="0" borderId="0" xfId="0" applyAlignment="1" applyProtection="1">
      <alignment horizontal="center" wrapText="1"/>
      <protection locked="0"/>
    </xf>
    <xf numFmtId="0" fontId="0" fillId="11" borderId="7" xfId="0" applyFill="1" applyBorder="1" applyAlignment="1" applyProtection="1">
      <alignment horizontal="center" wrapText="1"/>
    </xf>
    <xf numFmtId="0" fontId="0" fillId="11" borderId="19" xfId="0" applyFill="1" applyBorder="1" applyAlignment="1" applyProtection="1">
      <alignment horizontal="center" wrapText="1"/>
    </xf>
    <xf numFmtId="0" fontId="0" fillId="11" borderId="49" xfId="0" applyFill="1" applyBorder="1" applyAlignment="1" applyProtection="1">
      <alignment horizontal="center" wrapText="1"/>
    </xf>
    <xf numFmtId="4" fontId="0" fillId="16" borderId="7" xfId="0" applyNumberFormat="1" applyFill="1" applyBorder="1" applyProtection="1"/>
    <xf numFmtId="4" fontId="0" fillId="16" borderId="31" xfId="0" applyNumberFormat="1" applyFill="1" applyBorder="1" applyProtection="1"/>
    <xf numFmtId="4" fontId="0" fillId="16" borderId="9" xfId="0" applyNumberFormat="1" applyFill="1" applyBorder="1" applyProtection="1"/>
    <xf numFmtId="4" fontId="0" fillId="16" borderId="81" xfId="0" applyNumberFormat="1" applyFill="1" applyBorder="1" applyProtection="1"/>
    <xf numFmtId="166" fontId="0" fillId="13" borderId="27" xfId="0" applyNumberFormat="1" applyFill="1" applyBorder="1" applyProtection="1"/>
    <xf numFmtId="0" fontId="0" fillId="0" borderId="8" xfId="0" applyFill="1" applyBorder="1" applyProtection="1"/>
    <xf numFmtId="0" fontId="0" fillId="0" borderId="4" xfId="0" applyFill="1" applyBorder="1" applyAlignment="1" applyProtection="1">
      <alignment horizontal="center"/>
    </xf>
    <xf numFmtId="0" fontId="0" fillId="0" borderId="4" xfId="0" applyFill="1" applyBorder="1" applyAlignment="1" applyProtection="1">
      <alignment horizontal="right"/>
    </xf>
    <xf numFmtId="0" fontId="0" fillId="0" borderId="10" xfId="0" applyFill="1" applyBorder="1" applyAlignment="1" applyProtection="1">
      <alignment horizontal="right"/>
    </xf>
    <xf numFmtId="0" fontId="18" fillId="11" borderId="37" xfId="0" applyFont="1" applyFill="1" applyBorder="1" applyAlignment="1" applyProtection="1">
      <alignment horizontal="center" vertical="top" wrapText="1"/>
    </xf>
    <xf numFmtId="0" fontId="18" fillId="11" borderId="39" xfId="0" applyFont="1" applyFill="1" applyBorder="1" applyAlignment="1" applyProtection="1">
      <alignment horizontal="center" vertical="top" wrapText="1"/>
    </xf>
    <xf numFmtId="166" fontId="9" fillId="13" borderId="18" xfId="0" applyNumberFormat="1" applyFont="1" applyFill="1" applyBorder="1" applyAlignment="1" applyProtection="1">
      <alignment horizontal="center" vertical="top"/>
    </xf>
    <xf numFmtId="166" fontId="9" fillId="13" borderId="90" xfId="0" applyNumberFormat="1" applyFont="1" applyFill="1" applyBorder="1" applyAlignment="1" applyProtection="1">
      <alignment horizontal="center" vertical="top"/>
    </xf>
    <xf numFmtId="0" fontId="18" fillId="11" borderId="13" xfId="0" applyFont="1" applyFill="1" applyBorder="1" applyAlignment="1" applyProtection="1">
      <alignment horizontal="center" vertical="top" wrapText="1"/>
    </xf>
    <xf numFmtId="0" fontId="21" fillId="11" borderId="7" xfId="0" applyFont="1" applyFill="1" applyBorder="1" applyAlignment="1" applyProtection="1">
      <alignment horizontal="left" vertical="center"/>
    </xf>
    <xf numFmtId="0" fontId="21" fillId="11" borderId="8" xfId="0" applyFont="1" applyFill="1" applyBorder="1" applyAlignment="1" applyProtection="1">
      <alignment horizontal="left" vertical="center"/>
    </xf>
    <xf numFmtId="0" fontId="0" fillId="11" borderId="29" xfId="0" applyFill="1" applyBorder="1" applyAlignment="1" applyProtection="1">
      <alignment horizontal="center" wrapText="1"/>
    </xf>
    <xf numFmtId="0" fontId="0" fillId="11" borderId="7" xfId="0" applyFill="1" applyBorder="1" applyAlignment="1" applyProtection="1">
      <alignment horizontal="right"/>
    </xf>
    <xf numFmtId="0" fontId="0" fillId="11" borderId="0" xfId="0" applyFill="1" applyBorder="1" applyAlignment="1" applyProtection="1">
      <alignment horizontal="right"/>
    </xf>
    <xf numFmtId="0" fontId="0" fillId="11" borderId="9" xfId="0" applyFill="1" applyBorder="1" applyAlignment="1" applyProtection="1">
      <alignment horizontal="right"/>
    </xf>
    <xf numFmtId="0" fontId="0" fillId="11" borderId="4" xfId="0" applyFill="1" applyBorder="1" applyAlignment="1" applyProtection="1">
      <alignment horizontal="right"/>
    </xf>
    <xf numFmtId="0" fontId="0" fillId="11" borderId="5" xfId="0" applyFill="1" applyBorder="1" applyAlignment="1" applyProtection="1">
      <alignment horizontal="right"/>
    </xf>
    <xf numFmtId="0" fontId="0" fillId="11" borderId="11" xfId="0" applyFill="1" applyBorder="1" applyAlignment="1" applyProtection="1">
      <alignment horizontal="right"/>
    </xf>
    <xf numFmtId="0" fontId="0" fillId="11" borderId="7" xfId="0" applyFill="1" applyBorder="1" applyAlignment="1">
      <alignment horizontal="right"/>
    </xf>
    <xf numFmtId="0" fontId="0" fillId="11" borderId="0" xfId="0" applyFill="1" applyBorder="1" applyAlignment="1">
      <alignment horizontal="right"/>
    </xf>
    <xf numFmtId="0" fontId="0" fillId="11" borderId="9" xfId="0" applyFill="1" applyBorder="1" applyAlignment="1">
      <alignment horizontal="right"/>
    </xf>
    <xf numFmtId="0" fontId="0" fillId="11" borderId="4" xfId="0" applyFill="1" applyBorder="1" applyAlignment="1">
      <alignment horizontal="right"/>
    </xf>
    <xf numFmtId="0" fontId="0" fillId="11" borderId="5" xfId="0" applyFill="1" applyBorder="1" applyAlignment="1">
      <alignment horizontal="right"/>
    </xf>
    <xf numFmtId="0" fontId="0" fillId="11" borderId="11" xfId="0" applyFill="1" applyBorder="1" applyAlignment="1">
      <alignment horizontal="right"/>
    </xf>
    <xf numFmtId="0" fontId="0" fillId="11" borderId="8" xfId="0" applyFill="1" applyBorder="1" applyAlignment="1">
      <alignment horizontal="right"/>
    </xf>
    <xf numFmtId="0" fontId="11" fillId="11" borderId="11" xfId="0" applyFont="1" applyFill="1" applyBorder="1" applyAlignment="1">
      <alignment horizontal="right"/>
    </xf>
    <xf numFmtId="0" fontId="11" fillId="11" borderId="6" xfId="0" applyFont="1" applyFill="1" applyBorder="1" applyAlignment="1">
      <alignment horizontal="right"/>
    </xf>
    <xf numFmtId="0" fontId="0" fillId="0" borderId="0" xfId="0"/>
    <xf numFmtId="0" fontId="22" fillId="7" borderId="11" xfId="0" applyFont="1" applyFill="1" applyBorder="1" applyAlignment="1" applyProtection="1">
      <alignment horizontal="left" wrapText="1"/>
    </xf>
    <xf numFmtId="0" fontId="22" fillId="7" borderId="13" xfId="0" applyFont="1" applyFill="1" applyBorder="1" applyAlignment="1" applyProtection="1">
      <alignment wrapText="1"/>
    </xf>
    <xf numFmtId="0" fontId="22" fillId="7" borderId="14" xfId="0" applyFont="1" applyFill="1" applyBorder="1" applyAlignment="1" applyProtection="1">
      <alignment wrapText="1"/>
    </xf>
    <xf numFmtId="0" fontId="22" fillId="0" borderId="0" xfId="0" applyFont="1" applyFill="1" applyProtection="1">
      <protection locked="0"/>
    </xf>
    <xf numFmtId="0" fontId="22" fillId="0" borderId="0" xfId="0" applyFont="1" applyProtection="1"/>
    <xf numFmtId="0" fontId="22" fillId="7" borderId="11" xfId="0" applyFont="1" applyFill="1" applyBorder="1" applyAlignment="1">
      <alignment horizontal="left" wrapText="1"/>
    </xf>
    <xf numFmtId="0" fontId="22" fillId="0" borderId="0" xfId="0" applyFont="1"/>
    <xf numFmtId="0" fontId="22" fillId="0" borderId="0" xfId="0" applyFont="1" applyProtection="1">
      <protection locked="0"/>
    </xf>
    <xf numFmtId="0" fontId="25" fillId="7" borderId="13" xfId="0" applyFont="1" applyFill="1" applyBorder="1" applyAlignment="1">
      <alignment horizontal="left" wrapText="1"/>
    </xf>
    <xf numFmtId="0" fontId="44" fillId="0" borderId="0" xfId="4" applyFont="1"/>
    <xf numFmtId="0" fontId="22" fillId="7" borderId="11" xfId="0" applyFont="1" applyFill="1" applyBorder="1" applyAlignment="1" applyProtection="1">
      <alignment horizontal="left" wrapText="1"/>
    </xf>
    <xf numFmtId="0" fontId="9" fillId="11" borderId="0" xfId="0" applyFont="1" applyFill="1" applyBorder="1" applyAlignment="1">
      <alignment horizontal="right"/>
    </xf>
    <xf numFmtId="0" fontId="0" fillId="11" borderId="56" xfId="0" applyFill="1" applyBorder="1" applyAlignment="1" applyProtection="1">
      <alignment horizontal="center" wrapText="1"/>
    </xf>
    <xf numFmtId="4" fontId="0" fillId="11" borderId="15" xfId="0" applyNumberFormat="1" applyFill="1" applyBorder="1" applyProtection="1"/>
    <xf numFmtId="4" fontId="0" fillId="11" borderId="32" xfId="0" applyNumberFormat="1" applyFill="1" applyBorder="1" applyProtection="1"/>
    <xf numFmtId="4" fontId="0" fillId="11" borderId="32" xfId="0" applyNumberFormat="1" applyFill="1" applyBorder="1" applyProtection="1">
      <protection locked="0"/>
    </xf>
    <xf numFmtId="4" fontId="0" fillId="26" borderId="52" xfId="0" applyNumberFormat="1" applyFill="1" applyBorder="1" applyAlignment="1" applyProtection="1">
      <alignment wrapText="1"/>
      <protection locked="0"/>
    </xf>
    <xf numFmtId="4" fontId="0" fillId="26" borderId="53" xfId="0" applyNumberFormat="1" applyFill="1" applyBorder="1" applyAlignment="1" applyProtection="1">
      <alignment wrapText="1"/>
      <protection locked="0"/>
    </xf>
    <xf numFmtId="0" fontId="22" fillId="7" borderId="0" xfId="0" applyFont="1" applyFill="1" applyBorder="1" applyAlignment="1" applyProtection="1">
      <alignment horizontal="left" wrapText="1"/>
    </xf>
    <xf numFmtId="0" fontId="25" fillId="7" borderId="0" xfId="0" applyFont="1" applyFill="1" applyBorder="1" applyAlignment="1">
      <alignment horizontal="left" wrapText="1"/>
    </xf>
    <xf numFmtId="0" fontId="22" fillId="7" borderId="0" xfId="0" applyFont="1" applyFill="1" applyBorder="1" applyAlignment="1">
      <alignment horizontal="left" wrapText="1"/>
    </xf>
    <xf numFmtId="0" fontId="0" fillId="11" borderId="11" xfId="0" applyFill="1" applyBorder="1" applyAlignment="1" applyProtection="1">
      <alignment horizontal="center" wrapText="1"/>
    </xf>
    <xf numFmtId="4" fontId="4" fillId="26" borderId="52" xfId="0" applyNumberFormat="1" applyFont="1" applyFill="1" applyBorder="1" applyAlignment="1" applyProtection="1">
      <alignment wrapText="1"/>
      <protection locked="0"/>
    </xf>
    <xf numFmtId="4" fontId="0" fillId="26" borderId="64" xfId="0" applyNumberFormat="1" applyFill="1" applyBorder="1" applyAlignment="1" applyProtection="1">
      <alignment vertical="top"/>
      <protection locked="0"/>
    </xf>
    <xf numFmtId="4" fontId="0" fillId="26" borderId="43" xfId="0" applyNumberFormat="1" applyFill="1" applyBorder="1" applyAlignment="1" applyProtection="1">
      <alignment vertical="top"/>
      <protection locked="0"/>
    </xf>
    <xf numFmtId="4" fontId="0" fillId="13" borderId="68" xfId="0" applyNumberFormat="1" applyFill="1" applyBorder="1" applyAlignment="1" applyProtection="1">
      <alignment vertical="top"/>
    </xf>
    <xf numFmtId="4" fontId="0" fillId="26" borderId="50" xfId="0" applyNumberFormat="1" applyFill="1" applyBorder="1" applyAlignment="1" applyProtection="1">
      <alignment vertical="top"/>
      <protection locked="0"/>
    </xf>
    <xf numFmtId="4" fontId="0" fillId="26" borderId="31" xfId="0" applyNumberFormat="1" applyFill="1" applyBorder="1" applyAlignment="1" applyProtection="1">
      <alignment vertical="top"/>
      <protection locked="0"/>
    </xf>
    <xf numFmtId="4" fontId="0" fillId="13" borderId="8" xfId="0" applyNumberFormat="1" applyFill="1" applyBorder="1" applyAlignment="1" applyProtection="1">
      <alignment vertical="top"/>
    </xf>
    <xf numFmtId="4" fontId="0" fillId="26" borderId="29" xfId="0" applyNumberFormat="1" applyFill="1" applyBorder="1" applyAlignment="1" applyProtection="1">
      <alignment vertical="top"/>
      <protection locked="0"/>
    </xf>
    <xf numFmtId="4" fontId="0" fillId="26" borderId="22" xfId="0" applyNumberFormat="1" applyFill="1" applyBorder="1" applyAlignment="1" applyProtection="1">
      <alignment vertical="top"/>
      <protection locked="0"/>
    </xf>
    <xf numFmtId="4" fontId="0" fillId="13" borderId="47" xfId="0" applyNumberFormat="1" applyFill="1" applyBorder="1" applyAlignment="1" applyProtection="1">
      <alignment vertical="top"/>
    </xf>
    <xf numFmtId="4" fontId="0" fillId="11" borderId="7" xfId="0" applyNumberFormat="1" applyFill="1" applyBorder="1" applyAlignment="1" applyProtection="1">
      <alignment vertical="top"/>
    </xf>
    <xf numFmtId="4" fontId="0" fillId="11" borderId="0" xfId="0" applyNumberFormat="1" applyFill="1" applyBorder="1" applyAlignment="1" applyProtection="1">
      <alignment vertical="top"/>
    </xf>
    <xf numFmtId="4" fontId="0" fillId="11" borderId="8" xfId="0" applyNumberFormat="1" applyFill="1" applyBorder="1" applyAlignment="1" applyProtection="1">
      <alignment vertical="top"/>
    </xf>
    <xf numFmtId="4" fontId="0" fillId="11" borderId="8" xfId="0" applyNumberFormat="1" applyFill="1" applyBorder="1" applyAlignment="1" applyProtection="1">
      <alignment vertical="top"/>
      <protection locked="0"/>
    </xf>
    <xf numFmtId="4" fontId="0" fillId="26" borderId="80" xfId="0" applyNumberFormat="1" applyFill="1" applyBorder="1" applyAlignment="1" applyProtection="1">
      <alignment vertical="top"/>
      <protection locked="0"/>
    </xf>
    <xf numFmtId="4" fontId="0" fillId="26" borderId="0" xfId="0" applyNumberFormat="1" applyFill="1" applyBorder="1" applyAlignment="1" applyProtection="1">
      <alignment vertical="top"/>
      <protection locked="0"/>
    </xf>
    <xf numFmtId="4" fontId="0" fillId="11" borderId="0" xfId="0" applyNumberFormat="1" applyFill="1" applyBorder="1" applyAlignment="1" applyProtection="1">
      <alignment vertical="top"/>
      <protection locked="0"/>
    </xf>
    <xf numFmtId="4" fontId="0" fillId="26" borderId="20" xfId="0" applyNumberFormat="1" applyFill="1" applyBorder="1" applyAlignment="1" applyProtection="1">
      <alignment vertical="top"/>
      <protection locked="0"/>
    </xf>
    <xf numFmtId="4" fontId="0" fillId="13" borderId="73" xfId="0" applyNumberFormat="1" applyFill="1" applyBorder="1" applyAlignment="1" applyProtection="1">
      <alignment vertical="top"/>
    </xf>
    <xf numFmtId="4" fontId="0" fillId="26" borderId="19" xfId="0" applyNumberFormat="1" applyFill="1" applyBorder="1" applyAlignment="1" applyProtection="1">
      <alignment vertical="top"/>
      <protection locked="0"/>
    </xf>
    <xf numFmtId="4" fontId="0" fillId="13" borderId="49" xfId="0" applyNumberFormat="1" applyFill="1" applyBorder="1" applyAlignment="1" applyProtection="1">
      <alignment vertical="top"/>
    </xf>
    <xf numFmtId="4" fontId="0" fillId="26" borderId="33" xfId="0" applyNumberFormat="1" applyFill="1" applyBorder="1" applyAlignment="1" applyProtection="1">
      <alignment vertical="top"/>
      <protection locked="0"/>
    </xf>
    <xf numFmtId="4" fontId="0" fillId="13" borderId="76" xfId="0" applyNumberFormat="1" applyFill="1" applyBorder="1" applyAlignment="1" applyProtection="1">
      <alignment vertical="top"/>
    </xf>
    <xf numFmtId="4" fontId="0" fillId="26" borderId="59" xfId="0" applyNumberFormat="1" applyFill="1" applyBorder="1" applyAlignment="1" applyProtection="1">
      <alignment vertical="top"/>
      <protection locked="0"/>
    </xf>
    <xf numFmtId="4" fontId="0" fillId="26" borderId="45" xfId="0" applyNumberFormat="1" applyFill="1" applyBorder="1" applyAlignment="1" applyProtection="1">
      <alignment vertical="top"/>
      <protection locked="0"/>
    </xf>
    <xf numFmtId="4" fontId="0" fillId="13" borderId="48" xfId="0" applyNumberFormat="1" applyFill="1" applyBorder="1" applyAlignment="1" applyProtection="1">
      <alignment vertical="top"/>
    </xf>
    <xf numFmtId="4" fontId="0" fillId="26" borderId="81" xfId="0" applyNumberFormat="1" applyFill="1" applyBorder="1" applyAlignment="1" applyProtection="1">
      <alignment vertical="top"/>
      <protection locked="0"/>
    </xf>
    <xf numFmtId="4" fontId="0" fillId="26" borderId="32" xfId="0" applyNumberFormat="1" applyFill="1" applyBorder="1" applyAlignment="1" applyProtection="1">
      <alignment wrapText="1"/>
      <protection locked="0"/>
    </xf>
    <xf numFmtId="0" fontId="0" fillId="11" borderId="5" xfId="0" applyFill="1" applyBorder="1" applyAlignment="1" applyProtection="1">
      <alignment horizontal="center" wrapText="1"/>
    </xf>
    <xf numFmtId="0" fontId="0" fillId="11" borderId="89" xfId="0" applyFill="1" applyBorder="1" applyAlignment="1" applyProtection="1">
      <alignment horizontal="center" wrapText="1"/>
    </xf>
    <xf numFmtId="4" fontId="0" fillId="13" borderId="30" xfId="0" applyNumberFormat="1" applyFill="1" applyBorder="1" applyAlignment="1" applyProtection="1">
      <alignment vertical="top"/>
    </xf>
    <xf numFmtId="4" fontId="0" fillId="13" borderId="23" xfId="0" applyNumberFormat="1" applyFill="1" applyBorder="1" applyAlignment="1" applyProtection="1">
      <alignment vertical="top"/>
    </xf>
    <xf numFmtId="4" fontId="0" fillId="13" borderId="42" xfId="0" applyNumberFormat="1" applyFill="1" applyBorder="1" applyAlignment="1" applyProtection="1">
      <alignment vertical="top"/>
    </xf>
    <xf numFmtId="4" fontId="0" fillId="13" borderId="85" xfId="0" applyNumberFormat="1" applyFill="1" applyBorder="1" applyAlignment="1" applyProtection="1">
      <alignment vertical="top"/>
    </xf>
    <xf numFmtId="0" fontId="29" fillId="0" borderId="0" xfId="0" applyFont="1" applyFill="1" applyBorder="1" applyAlignment="1">
      <alignment horizontal="right"/>
    </xf>
    <xf numFmtId="0" fontId="9" fillId="11" borderId="11" xfId="0" applyFont="1" applyFill="1" applyBorder="1" applyAlignment="1">
      <alignment horizontal="right"/>
    </xf>
    <xf numFmtId="0" fontId="9" fillId="11" borderId="10" xfId="0" applyFont="1" applyFill="1" applyBorder="1" applyAlignment="1">
      <alignment horizontal="right"/>
    </xf>
    <xf numFmtId="4" fontId="0" fillId="11" borderId="9" xfId="0" applyNumberFormat="1" applyFill="1" applyBorder="1" applyAlignment="1" applyProtection="1">
      <alignment vertical="top"/>
    </xf>
    <xf numFmtId="4" fontId="0" fillId="11" borderId="4" xfId="0" applyNumberFormat="1" applyFill="1" applyBorder="1" applyAlignment="1" applyProtection="1">
      <alignment vertical="top"/>
    </xf>
    <xf numFmtId="4" fontId="0" fillId="26" borderId="56" xfId="0" applyNumberFormat="1" applyFill="1" applyBorder="1" applyAlignment="1" applyProtection="1">
      <alignment wrapText="1"/>
      <protection locked="0"/>
    </xf>
    <xf numFmtId="0" fontId="38" fillId="0" borderId="0" xfId="0" applyFont="1" applyAlignment="1" applyProtection="1">
      <alignment wrapText="1"/>
    </xf>
    <xf numFmtId="0" fontId="30" fillId="0" borderId="0" xfId="0" applyFont="1" applyFill="1" applyBorder="1" applyAlignment="1" applyProtection="1">
      <alignment horizontal="center" wrapText="1"/>
      <protection locked="0"/>
    </xf>
    <xf numFmtId="0" fontId="9" fillId="11" borderId="50" xfId="0" applyFont="1" applyFill="1" applyBorder="1" applyAlignment="1" applyProtection="1">
      <alignment horizontal="right"/>
    </xf>
    <xf numFmtId="49" fontId="4" fillId="9" borderId="8" xfId="0" applyNumberFormat="1" applyFont="1" applyFill="1" applyBorder="1" applyAlignment="1" applyProtection="1"/>
    <xf numFmtId="0" fontId="9" fillId="11" borderId="59" xfId="0" applyFont="1" applyFill="1" applyBorder="1" applyAlignment="1" applyProtection="1">
      <alignment horizontal="right"/>
    </xf>
    <xf numFmtId="49" fontId="4" fillId="9" borderId="10" xfId="0" applyNumberFormat="1" applyFont="1" applyFill="1" applyBorder="1" applyAlignment="1" applyProtection="1"/>
    <xf numFmtId="0" fontId="4" fillId="11" borderId="5" xfId="0" applyFont="1" applyFill="1" applyBorder="1" applyProtection="1"/>
    <xf numFmtId="167" fontId="9" fillId="13" borderId="56" xfId="69" applyNumberFormat="1" applyFont="1" applyFill="1" applyBorder="1" applyProtection="1"/>
    <xf numFmtId="0" fontId="4" fillId="11" borderId="7" xfId="0" applyFont="1" applyFill="1" applyBorder="1" applyAlignment="1" applyProtection="1">
      <alignment horizontal="left" indent="1"/>
    </xf>
    <xf numFmtId="167" fontId="0" fillId="13" borderId="52" xfId="0" applyNumberFormat="1" applyFill="1" applyBorder="1" applyProtection="1"/>
    <xf numFmtId="9" fontId="0" fillId="13" borderId="52" xfId="1" applyFont="1" applyFill="1" applyBorder="1" applyProtection="1"/>
    <xf numFmtId="0" fontId="4" fillId="11" borderId="7" xfId="0" applyFont="1" applyFill="1" applyBorder="1" applyProtection="1"/>
    <xf numFmtId="167" fontId="9" fillId="13" borderId="52" xfId="69" applyNumberFormat="1" applyFont="1" applyFill="1" applyBorder="1" applyProtection="1"/>
    <xf numFmtId="167" fontId="4" fillId="13" borderId="52" xfId="69" applyNumberFormat="1" applyFont="1" applyFill="1" applyBorder="1" applyProtection="1"/>
    <xf numFmtId="167" fontId="9" fillId="13" borderId="53" xfId="69" applyNumberFormat="1" applyFont="1" applyFill="1" applyBorder="1" applyProtection="1"/>
    <xf numFmtId="0" fontId="4" fillId="11" borderId="28" xfId="0" applyFont="1" applyFill="1" applyBorder="1" applyAlignment="1" applyProtection="1">
      <alignment horizontal="left"/>
    </xf>
    <xf numFmtId="167" fontId="9" fillId="13" borderId="53" xfId="0" applyNumberFormat="1" applyFont="1" applyFill="1" applyBorder="1" applyProtection="1"/>
    <xf numFmtId="0" fontId="4" fillId="11" borderId="18" xfId="0" applyFont="1" applyFill="1" applyBorder="1" applyAlignment="1" applyProtection="1">
      <alignment horizontal="left"/>
    </xf>
    <xf numFmtId="9" fontId="0" fillId="13" borderId="53" xfId="1" applyFont="1" applyFill="1" applyBorder="1" applyProtection="1"/>
    <xf numFmtId="0" fontId="9" fillId="11" borderId="57" xfId="0" applyFont="1" applyFill="1" applyBorder="1" applyAlignment="1" applyProtection="1">
      <alignment horizontal="right"/>
    </xf>
    <xf numFmtId="49" fontId="0" fillId="9" borderId="6" xfId="0" applyNumberFormat="1" applyFill="1" applyBorder="1" applyAlignment="1" applyProtection="1"/>
    <xf numFmtId="0" fontId="0" fillId="7" borderId="0" xfId="0" applyFill="1" applyProtection="1"/>
    <xf numFmtId="0" fontId="11" fillId="11" borderId="5" xfId="0" applyFont="1" applyFill="1" applyBorder="1" applyAlignment="1" applyProtection="1">
      <alignment horizontal="center"/>
    </xf>
    <xf numFmtId="0" fontId="11" fillId="11" borderId="5" xfId="0" applyFont="1" applyFill="1" applyBorder="1" applyAlignment="1" applyProtection="1">
      <alignment horizontal="center" wrapText="1"/>
    </xf>
    <xf numFmtId="0" fontId="4" fillId="9" borderId="7" xfId="0" applyFont="1" applyFill="1" applyBorder="1" applyAlignment="1" applyProtection="1">
      <alignment horizontal="left"/>
    </xf>
    <xf numFmtId="167" fontId="9" fillId="9" borderId="56" xfId="69" applyNumberFormat="1" applyFont="1" applyFill="1" applyBorder="1" applyProtection="1"/>
    <xf numFmtId="43" fontId="9" fillId="9" borderId="37" xfId="69" applyNumberFormat="1" applyFont="1" applyFill="1" applyBorder="1" applyAlignment="1" applyProtection="1">
      <alignment horizontal="center" wrapText="1"/>
    </xf>
    <xf numFmtId="43" fontId="9" fillId="9" borderId="38" xfId="69" applyNumberFormat="1" applyFont="1" applyFill="1" applyBorder="1" applyAlignment="1" applyProtection="1">
      <alignment horizontal="center" wrapText="1"/>
    </xf>
    <xf numFmtId="43" fontId="9" fillId="9" borderId="39" xfId="69" applyNumberFormat="1" applyFont="1" applyFill="1" applyBorder="1" applyAlignment="1" applyProtection="1">
      <alignment horizontal="center" wrapText="1"/>
    </xf>
    <xf numFmtId="0" fontId="4" fillId="11" borderId="9" xfId="0" applyFont="1" applyFill="1" applyBorder="1" applyAlignment="1" applyProtection="1">
      <alignment horizontal="left"/>
    </xf>
    <xf numFmtId="167" fontId="4" fillId="9" borderId="54" xfId="3" applyNumberFormat="1" applyFont="1" applyFill="1" applyBorder="1" applyProtection="1"/>
    <xf numFmtId="167" fontId="4" fillId="9" borderId="44" xfId="3" applyNumberFormat="1" applyFont="1" applyFill="1" applyBorder="1" applyProtection="1"/>
    <xf numFmtId="167" fontId="4" fillId="9" borderId="55" xfId="3" applyNumberFormat="1" applyFont="1" applyFill="1" applyBorder="1" applyProtection="1"/>
    <xf numFmtId="164" fontId="0" fillId="11" borderId="1" xfId="3" applyNumberFormat="1" applyFont="1" applyFill="1" applyBorder="1" applyAlignment="1" applyProtection="1"/>
    <xf numFmtId="164" fontId="0" fillId="11" borderId="5" xfId="3" applyNumberFormat="1" applyFont="1" applyFill="1" applyBorder="1" applyAlignment="1" applyProtection="1"/>
    <xf numFmtId="164" fontId="0" fillId="11" borderId="11" xfId="3" applyNumberFormat="1" applyFont="1" applyFill="1" applyBorder="1" applyAlignment="1" applyProtection="1"/>
    <xf numFmtId="164" fontId="0" fillId="11" borderId="6" xfId="3" applyNumberFormat="1" applyFont="1" applyFill="1" applyBorder="1" applyAlignment="1" applyProtection="1"/>
    <xf numFmtId="167" fontId="4" fillId="9" borderId="26" xfId="3" applyNumberFormat="1" applyFont="1" applyFill="1" applyBorder="1" applyProtection="1"/>
    <xf numFmtId="167" fontId="4" fillId="9" borderId="2" xfId="3" applyNumberFormat="1" applyFont="1" applyFill="1" applyBorder="1" applyProtection="1"/>
    <xf numFmtId="167" fontId="4" fillId="9" borderId="27" xfId="3" applyNumberFormat="1" applyFont="1" applyFill="1" applyBorder="1" applyProtection="1"/>
    <xf numFmtId="167" fontId="9" fillId="9" borderId="54" xfId="3" applyNumberFormat="1" applyFont="1" applyFill="1" applyBorder="1" applyProtection="1"/>
    <xf numFmtId="167" fontId="9" fillId="9" borderId="44" xfId="3" applyNumberFormat="1" applyFont="1" applyFill="1" applyBorder="1" applyProtection="1"/>
    <xf numFmtId="167" fontId="9" fillId="9" borderId="55" xfId="3" applyNumberFormat="1" applyFont="1" applyFill="1" applyBorder="1" applyProtection="1"/>
    <xf numFmtId="0" fontId="11" fillId="9" borderId="5" xfId="0" applyFont="1" applyFill="1" applyBorder="1" applyAlignment="1" applyProtection="1">
      <alignment horizontal="center"/>
    </xf>
    <xf numFmtId="167" fontId="0" fillId="13" borderId="56" xfId="3" applyNumberFormat="1" applyFont="1" applyFill="1" applyBorder="1" applyProtection="1"/>
    <xf numFmtId="167" fontId="4" fillId="9" borderId="77" xfId="3" applyNumberFormat="1" applyFont="1" applyFill="1" applyBorder="1" applyProtection="1"/>
    <xf numFmtId="167" fontId="4" fillId="9" borderId="60" xfId="3" applyNumberFormat="1" applyFont="1" applyFill="1" applyBorder="1" applyProtection="1"/>
    <xf numFmtId="167" fontId="4" fillId="9" borderId="78" xfId="3" applyNumberFormat="1" applyFont="1" applyFill="1" applyBorder="1" applyProtection="1"/>
    <xf numFmtId="0" fontId="4" fillId="11" borderId="7" xfId="0" applyFont="1" applyFill="1" applyBorder="1" applyAlignment="1" applyProtection="1">
      <alignment horizontal="right"/>
    </xf>
    <xf numFmtId="167" fontId="0" fillId="13" borderId="52" xfId="3" applyNumberFormat="1" applyFont="1" applyFill="1" applyBorder="1" applyProtection="1"/>
    <xf numFmtId="167" fontId="4" fillId="13" borderId="26" xfId="3" applyNumberFormat="1" applyFont="1" applyFill="1" applyBorder="1" applyProtection="1"/>
    <xf numFmtId="167" fontId="4" fillId="13" borderId="2" xfId="3" applyNumberFormat="1" applyFont="1" applyFill="1" applyBorder="1" applyProtection="1"/>
    <xf numFmtId="167" fontId="4" fillId="13" borderId="27" xfId="3" applyNumberFormat="1" applyFont="1" applyFill="1" applyBorder="1" applyProtection="1"/>
    <xf numFmtId="0" fontId="4" fillId="11" borderId="9" xfId="0" applyFont="1" applyFill="1" applyBorder="1" applyAlignment="1" applyProtection="1">
      <alignment horizontal="right"/>
    </xf>
    <xf numFmtId="9" fontId="4" fillId="13" borderId="54" xfId="1" applyFont="1" applyFill="1" applyBorder="1" applyProtection="1"/>
    <xf numFmtId="9" fontId="4" fillId="13" borderId="44" xfId="1" applyFont="1" applyFill="1" applyBorder="1" applyProtection="1"/>
    <xf numFmtId="9" fontId="4" fillId="13" borderId="55" xfId="1" applyFont="1" applyFill="1" applyBorder="1" applyProtection="1"/>
    <xf numFmtId="0" fontId="11" fillId="11" borderId="7" xfId="0" applyFont="1" applyFill="1" applyBorder="1" applyAlignment="1" applyProtection="1">
      <alignment horizontal="center"/>
    </xf>
    <xf numFmtId="164" fontId="0" fillId="11" borderId="28" xfId="3" applyNumberFormat="1" applyFont="1" applyFill="1" applyBorder="1" applyAlignment="1" applyProtection="1"/>
    <xf numFmtId="164" fontId="0" fillId="11" borderId="7" xfId="3" applyNumberFormat="1" applyFont="1" applyFill="1" applyBorder="1" applyAlignment="1" applyProtection="1"/>
    <xf numFmtId="164" fontId="0" fillId="11" borderId="0" xfId="3" applyNumberFormat="1" applyFont="1" applyFill="1" applyBorder="1" applyAlignment="1" applyProtection="1"/>
    <xf numFmtId="164" fontId="0" fillId="11" borderId="8" xfId="3" applyNumberFormat="1" applyFont="1" applyFill="1" applyBorder="1" applyAlignment="1" applyProtection="1"/>
    <xf numFmtId="0" fontId="4" fillId="11" borderId="7" xfId="0" applyFont="1" applyFill="1" applyBorder="1" applyAlignment="1" applyProtection="1">
      <alignment horizontal="right" indent="1"/>
    </xf>
    <xf numFmtId="167" fontId="0" fillId="13" borderId="1" xfId="3" applyNumberFormat="1" applyFont="1" applyFill="1" applyBorder="1" applyProtection="1"/>
    <xf numFmtId="167" fontId="0" fillId="9" borderId="57" xfId="3" applyNumberFormat="1" applyFont="1" applyFill="1" applyBorder="1" applyProtection="1"/>
    <xf numFmtId="167" fontId="0" fillId="9" borderId="58" xfId="3" applyNumberFormat="1" applyFont="1" applyFill="1" applyBorder="1" applyProtection="1"/>
    <xf numFmtId="167" fontId="0" fillId="9" borderId="61" xfId="3" applyNumberFormat="1" applyFont="1" applyFill="1" applyBorder="1" applyProtection="1"/>
    <xf numFmtId="0" fontId="9" fillId="9" borderId="7" xfId="0" applyFont="1" applyFill="1" applyBorder="1" applyProtection="1"/>
    <xf numFmtId="167" fontId="9" fillId="13" borderId="56" xfId="3" applyNumberFormat="1" applyFont="1" applyFill="1" applyBorder="1" applyProtection="1"/>
    <xf numFmtId="167" fontId="0" fillId="9" borderId="77" xfId="3" applyNumberFormat="1" applyFont="1" applyFill="1" applyBorder="1" applyProtection="1"/>
    <xf numFmtId="167" fontId="0" fillId="9" borderId="60" xfId="3" applyNumberFormat="1" applyFont="1" applyFill="1" applyBorder="1" applyProtection="1"/>
    <xf numFmtId="167" fontId="0" fillId="9" borderId="78" xfId="3" applyNumberFormat="1" applyFont="1" applyFill="1" applyBorder="1" applyProtection="1"/>
    <xf numFmtId="167" fontId="0" fillId="9" borderId="26" xfId="3" applyNumberFormat="1" applyFont="1" applyFill="1" applyBorder="1" applyProtection="1"/>
    <xf numFmtId="167" fontId="0" fillId="9" borderId="2" xfId="3" applyNumberFormat="1" applyFont="1" applyFill="1" applyBorder="1" applyProtection="1"/>
    <xf numFmtId="167" fontId="0" fillId="9" borderId="27" xfId="3" applyNumberFormat="1" applyFont="1" applyFill="1" applyBorder="1" applyProtection="1"/>
    <xf numFmtId="0" fontId="9" fillId="9" borderId="7" xfId="0" applyFont="1" applyFill="1" applyBorder="1" applyAlignment="1" applyProtection="1">
      <alignment horizontal="left"/>
    </xf>
    <xf numFmtId="167" fontId="9" fillId="13" borderId="53" xfId="3" applyNumberFormat="1" applyFont="1" applyFill="1" applyBorder="1" applyProtection="1"/>
    <xf numFmtId="167" fontId="0" fillId="9" borderId="54" xfId="3" applyNumberFormat="1" applyFont="1" applyFill="1" applyBorder="1" applyProtection="1"/>
    <xf numFmtId="167" fontId="0" fillId="9" borderId="44" xfId="3" applyNumberFormat="1" applyFont="1" applyFill="1" applyBorder="1" applyProtection="1"/>
    <xf numFmtId="167" fontId="0" fillId="9" borderId="55" xfId="3" applyNumberFormat="1" applyFont="1" applyFill="1" applyBorder="1" applyProtection="1"/>
    <xf numFmtId="0" fontId="0" fillId="11" borderId="9" xfId="0" applyFill="1" applyBorder="1" applyAlignment="1" applyProtection="1">
      <alignment horizontal="right" indent="1"/>
    </xf>
    <xf numFmtId="167" fontId="0" fillId="13" borderId="18" xfId="3" applyNumberFormat="1" applyFont="1" applyFill="1" applyBorder="1" applyProtection="1"/>
    <xf numFmtId="167" fontId="0" fillId="9" borderId="59" xfId="3" applyNumberFormat="1" applyFont="1" applyFill="1" applyBorder="1" applyProtection="1"/>
    <xf numFmtId="167" fontId="0" fillId="9" borderId="45" xfId="3" applyNumberFormat="1" applyFont="1" applyFill="1" applyBorder="1" applyProtection="1"/>
    <xf numFmtId="167" fontId="0" fillId="9" borderId="48" xfId="3" applyNumberFormat="1" applyFont="1" applyFill="1" applyBorder="1" applyProtection="1"/>
    <xf numFmtId="167" fontId="4" fillId="13" borderId="63" xfId="69" applyNumberFormat="1" applyFont="1" applyFill="1" applyBorder="1" applyProtection="1"/>
    <xf numFmtId="167" fontId="4" fillId="9" borderId="64" xfId="3" applyNumberFormat="1" applyFont="1" applyFill="1" applyBorder="1" applyProtection="1"/>
    <xf numFmtId="167" fontId="4" fillId="9" borderId="20" xfId="3" applyNumberFormat="1" applyFont="1" applyFill="1" applyBorder="1" applyProtection="1"/>
    <xf numFmtId="167" fontId="4" fillId="9" borderId="73" xfId="3" applyNumberFormat="1" applyFont="1" applyFill="1" applyBorder="1" applyProtection="1"/>
    <xf numFmtId="167" fontId="4" fillId="27" borderId="55" xfId="3" applyNumberFormat="1" applyFont="1" applyFill="1" applyBorder="1" applyProtection="1">
      <protection locked="0"/>
    </xf>
    <xf numFmtId="167" fontId="4" fillId="27" borderId="73" xfId="3" applyNumberFormat="1" applyFont="1" applyFill="1" applyBorder="1" applyProtection="1">
      <protection locked="0"/>
    </xf>
    <xf numFmtId="167" fontId="4" fillId="27" borderId="27" xfId="3" applyNumberFormat="1" applyFont="1" applyFill="1" applyBorder="1" applyProtection="1">
      <protection locked="0"/>
    </xf>
    <xf numFmtId="167" fontId="9" fillId="27" borderId="55" xfId="3" applyNumberFormat="1" applyFont="1" applyFill="1" applyBorder="1" applyProtection="1">
      <protection locked="0"/>
    </xf>
    <xf numFmtId="167" fontId="4" fillId="27" borderId="78" xfId="3" applyNumberFormat="1" applyFont="1" applyFill="1" applyBorder="1" applyProtection="1">
      <protection locked="0"/>
    </xf>
    <xf numFmtId="167" fontId="0" fillId="27" borderId="61" xfId="3" applyNumberFormat="1" applyFont="1" applyFill="1" applyBorder="1" applyProtection="1">
      <protection locked="0"/>
    </xf>
    <xf numFmtId="167" fontId="0" fillId="27" borderId="78" xfId="3" applyNumberFormat="1" applyFont="1" applyFill="1" applyBorder="1" applyProtection="1">
      <protection locked="0"/>
    </xf>
    <xf numFmtId="167" fontId="0" fillId="27" borderId="27" xfId="3" applyNumberFormat="1" applyFont="1" applyFill="1" applyBorder="1" applyProtection="1">
      <protection locked="0"/>
    </xf>
    <xf numFmtId="167" fontId="0" fillId="27" borderId="55" xfId="3" applyNumberFormat="1" applyFont="1" applyFill="1" applyBorder="1" applyProtection="1">
      <protection locked="0"/>
    </xf>
    <xf numFmtId="167" fontId="0" fillId="27" borderId="48" xfId="3" applyNumberFormat="1" applyFont="1" applyFill="1" applyBorder="1" applyProtection="1">
      <protection locked="0"/>
    </xf>
    <xf numFmtId="0" fontId="30" fillId="0" borderId="0" xfId="0" applyFont="1" applyFill="1" applyBorder="1" applyAlignment="1" applyProtection="1">
      <alignment horizontal="center" wrapText="1"/>
    </xf>
    <xf numFmtId="0" fontId="22" fillId="7" borderId="13" xfId="0" applyFont="1" applyFill="1" applyBorder="1" applyAlignment="1" applyProtection="1">
      <alignment wrapText="1"/>
    </xf>
    <xf numFmtId="0" fontId="22" fillId="7" borderId="14" xfId="0" applyFont="1" applyFill="1" applyBorder="1" applyAlignment="1" applyProtection="1">
      <alignment wrapText="1"/>
    </xf>
    <xf numFmtId="0" fontId="11" fillId="11" borderId="1" xfId="0" applyFont="1" applyFill="1" applyBorder="1" applyAlignment="1" applyProtection="1">
      <alignment horizontal="center"/>
    </xf>
    <xf numFmtId="0" fontId="22" fillId="7" borderId="13" xfId="0" applyFont="1" applyFill="1" applyBorder="1" applyAlignment="1">
      <alignment vertical="top" wrapText="1"/>
    </xf>
    <xf numFmtId="0" fontId="38" fillId="0" borderId="0" xfId="0" applyFont="1" applyFill="1" applyBorder="1" applyAlignment="1" applyProtection="1">
      <alignment horizontal="center"/>
    </xf>
    <xf numFmtId="0" fontId="38" fillId="0" borderId="0" xfId="0" applyFont="1" applyFill="1" applyBorder="1" applyProtection="1">
      <protection locked="0"/>
    </xf>
    <xf numFmtId="0" fontId="42" fillId="0" borderId="2" xfId="0" applyFont="1" applyBorder="1" applyAlignment="1" applyProtection="1">
      <alignment horizontal="center"/>
    </xf>
    <xf numFmtId="0" fontId="38" fillId="0" borderId="0" xfId="0" applyFont="1" applyAlignment="1" applyProtection="1">
      <alignment vertical="center"/>
      <protection locked="0"/>
    </xf>
    <xf numFmtId="0" fontId="38" fillId="0" borderId="2" xfId="0" applyFont="1" applyBorder="1" applyAlignment="1" applyProtection="1">
      <alignment vertical="center" wrapText="1"/>
    </xf>
    <xf numFmtId="0" fontId="38" fillId="28" borderId="2" xfId="0" applyFont="1" applyFill="1" applyBorder="1" applyAlignment="1" applyProtection="1">
      <alignment horizontal="center" vertical="center"/>
    </xf>
    <xf numFmtId="0" fontId="38" fillId="29" borderId="17" xfId="0" applyFont="1" applyFill="1" applyBorder="1" applyAlignment="1" applyProtection="1">
      <alignment horizontal="center"/>
    </xf>
    <xf numFmtId="0" fontId="29" fillId="30" borderId="0" xfId="69" applyFont="1" applyFill="1" applyAlignment="1" applyProtection="1">
      <alignment horizontal="center" wrapText="1"/>
    </xf>
    <xf numFmtId="10" fontId="40" fillId="31" borderId="0" xfId="2" applyNumberFormat="1" applyFont="1" applyFill="1" applyBorder="1" applyAlignment="1" applyProtection="1">
      <alignment horizontal="center" vertical="top"/>
    </xf>
    <xf numFmtId="39" fontId="18" fillId="11" borderId="46" xfId="0" applyNumberFormat="1" applyFont="1" applyFill="1" applyBorder="1" applyAlignment="1" applyProtection="1">
      <alignment vertical="center"/>
    </xf>
    <xf numFmtId="0" fontId="9" fillId="11" borderId="47" xfId="0" applyFont="1" applyFill="1" applyBorder="1" applyAlignment="1" applyProtection="1">
      <alignment vertical="center"/>
    </xf>
    <xf numFmtId="10" fontId="40" fillId="31" borderId="21" xfId="2" applyNumberFormat="1" applyFont="1" applyFill="1" applyBorder="1" applyAlignment="1" applyProtection="1">
      <alignment horizontal="center" vertical="top"/>
    </xf>
    <xf numFmtId="2" fontId="4" fillId="11" borderId="0" xfId="0" applyNumberFormat="1" applyFont="1" applyFill="1" applyBorder="1" applyAlignment="1" applyProtection="1">
      <alignment horizontal="center" vertical="top"/>
    </xf>
    <xf numFmtId="3" fontId="9" fillId="11" borderId="0" xfId="0" applyNumberFormat="1" applyFont="1" applyFill="1" applyBorder="1" applyAlignment="1" applyProtection="1">
      <alignment horizontal="center" vertical="top"/>
    </xf>
    <xf numFmtId="0" fontId="9" fillId="11" borderId="0" xfId="0" applyFont="1" applyFill="1" applyBorder="1" applyAlignment="1" applyProtection="1">
      <alignment vertical="top"/>
    </xf>
    <xf numFmtId="9" fontId="9" fillId="11" borderId="0" xfId="1" applyFont="1" applyFill="1" applyBorder="1" applyAlignment="1" applyProtection="1">
      <alignment horizontal="center" vertical="top"/>
    </xf>
    <xf numFmtId="9" fontId="9" fillId="11" borderId="0" xfId="0" applyNumberFormat="1" applyFont="1" applyFill="1" applyBorder="1" applyAlignment="1" applyProtection="1">
      <alignment horizontal="center" vertical="top"/>
    </xf>
    <xf numFmtId="3" fontId="9" fillId="11" borderId="8" xfId="0" applyNumberFormat="1" applyFont="1" applyFill="1" applyBorder="1" applyAlignment="1" applyProtection="1">
      <alignment horizontal="center" vertical="top"/>
    </xf>
    <xf numFmtId="0" fontId="4" fillId="11" borderId="0" xfId="0" applyFont="1" applyFill="1" applyBorder="1" applyAlignment="1" applyProtection="1">
      <alignment vertical="center"/>
    </xf>
    <xf numFmtId="0" fontId="40" fillId="11" borderId="0" xfId="0" applyFont="1" applyFill="1" applyBorder="1" applyAlignment="1" applyProtection="1">
      <alignment horizontal="center" vertical="center"/>
    </xf>
    <xf numFmtId="170" fontId="4" fillId="11" borderId="0" xfId="2" applyNumberFormat="1" applyFont="1" applyFill="1" applyBorder="1" applyAlignment="1" applyProtection="1">
      <alignment horizontal="left" vertical="center"/>
    </xf>
    <xf numFmtId="169" fontId="4" fillId="31" borderId="0" xfId="2" applyNumberFormat="1" applyFont="1" applyFill="1" applyBorder="1" applyAlignment="1" applyProtection="1">
      <alignment horizontal="center" vertical="center"/>
    </xf>
    <xf numFmtId="169" fontId="4" fillId="11" borderId="8" xfId="2" applyNumberFormat="1" applyFont="1" applyFill="1" applyBorder="1" applyAlignment="1" applyProtection="1">
      <alignment horizontal="center" vertical="center"/>
    </xf>
    <xf numFmtId="0" fontId="4" fillId="11" borderId="4" xfId="0" applyFont="1" applyFill="1" applyBorder="1" applyAlignment="1" applyProtection="1">
      <alignment vertical="center"/>
    </xf>
    <xf numFmtId="0" fontId="40" fillId="11" borderId="4" xfId="0" applyFont="1" applyFill="1" applyBorder="1" applyAlignment="1" applyProtection="1">
      <alignment horizontal="center" vertical="center"/>
    </xf>
    <xf numFmtId="170" fontId="4" fillId="11" borderId="4" xfId="2" applyNumberFormat="1" applyFont="1" applyFill="1" applyBorder="1" applyAlignment="1" applyProtection="1">
      <alignment horizontal="left" vertical="center"/>
    </xf>
    <xf numFmtId="169" fontId="4" fillId="31" borderId="4" xfId="2" applyNumberFormat="1" applyFont="1" applyFill="1" applyBorder="1" applyAlignment="1" applyProtection="1">
      <alignment horizontal="center" vertical="center"/>
    </xf>
    <xf numFmtId="169" fontId="4" fillId="11" borderId="10" xfId="2" applyNumberFormat="1" applyFont="1" applyFill="1" applyBorder="1" applyAlignment="1" applyProtection="1">
      <alignment horizontal="center" vertical="center"/>
    </xf>
    <xf numFmtId="2" fontId="4" fillId="11" borderId="21" xfId="0" applyNumberFormat="1" applyFont="1" applyFill="1" applyBorder="1" applyAlignment="1" applyProtection="1">
      <alignment horizontal="center" vertical="top"/>
    </xf>
    <xf numFmtId="3" fontId="9" fillId="11" borderId="21" xfId="0" applyNumberFormat="1" applyFont="1" applyFill="1" applyBorder="1" applyAlignment="1" applyProtection="1">
      <alignment horizontal="center" vertical="top"/>
    </xf>
    <xf numFmtId="0" fontId="9" fillId="11" borderId="21" xfId="0" applyFont="1" applyFill="1" applyBorder="1" applyAlignment="1" applyProtection="1">
      <alignment vertical="top"/>
    </xf>
    <xf numFmtId="9" fontId="9" fillId="11" borderId="21" xfId="1" applyFont="1" applyFill="1" applyBorder="1" applyAlignment="1" applyProtection="1">
      <alignment horizontal="center" vertical="top"/>
    </xf>
    <xf numFmtId="9" fontId="9" fillId="11" borderId="21" xfId="0" applyNumberFormat="1" applyFont="1" applyFill="1" applyBorder="1" applyAlignment="1" applyProtection="1">
      <alignment horizontal="center" vertical="top"/>
    </xf>
    <xf numFmtId="3" fontId="9" fillId="11" borderId="47" xfId="0" applyNumberFormat="1" applyFont="1" applyFill="1" applyBorder="1" applyAlignment="1" applyProtection="1">
      <alignment horizontal="center" vertical="top"/>
    </xf>
    <xf numFmtId="0" fontId="42" fillId="0" borderId="0" xfId="0" applyFont="1" applyProtection="1"/>
    <xf numFmtId="0" fontId="38" fillId="0" borderId="2" xfId="0" applyFont="1" applyBorder="1" applyAlignment="1" applyProtection="1">
      <alignment vertical="center"/>
    </xf>
    <xf numFmtId="172" fontId="25" fillId="31" borderId="85" xfId="0" applyNumberFormat="1" applyFont="1" applyFill="1" applyBorder="1" applyAlignment="1">
      <alignment horizontal="center" vertical="top"/>
    </xf>
    <xf numFmtId="0" fontId="4" fillId="7" borderId="17" xfId="0" applyFont="1" applyFill="1" applyBorder="1" applyAlignment="1" applyProtection="1">
      <alignment horizontal="center" vertical="center" wrapText="1"/>
    </xf>
    <xf numFmtId="0" fontId="4" fillId="26" borderId="28" xfId="0" applyFont="1" applyFill="1" applyBorder="1" applyAlignment="1" applyProtection="1">
      <alignment vertical="top" wrapText="1"/>
      <protection locked="0"/>
    </xf>
    <xf numFmtId="0" fontId="38" fillId="0" borderId="0" xfId="0" applyFont="1" applyAlignment="1" applyProtection="1">
      <alignment vertical="top" wrapText="1"/>
      <protection locked="0"/>
    </xf>
    <xf numFmtId="2" fontId="23" fillId="26" borderId="2" xfId="0" applyNumberFormat="1" applyFont="1" applyFill="1" applyBorder="1" applyAlignment="1" applyProtection="1">
      <alignment horizontal="center" vertical="top"/>
      <protection locked="0"/>
    </xf>
    <xf numFmtId="166" fontId="18" fillId="26" borderId="2" xfId="0" applyNumberFormat="1" applyFont="1" applyFill="1" applyBorder="1" applyAlignment="1" applyProtection="1">
      <alignment horizontal="center" vertical="top"/>
      <protection locked="0"/>
    </xf>
    <xf numFmtId="166" fontId="23" fillId="26" borderId="2" xfId="0" applyNumberFormat="1" applyFont="1" applyFill="1" applyBorder="1" applyAlignment="1" applyProtection="1">
      <alignment horizontal="center" vertical="top"/>
      <protection locked="0"/>
    </xf>
    <xf numFmtId="169" fontId="23" fillId="26" borderId="20" xfId="2" applyNumberFormat="1" applyFont="1" applyFill="1" applyBorder="1" applyAlignment="1" applyProtection="1">
      <alignment horizontal="center" vertical="top"/>
      <protection locked="0"/>
    </xf>
    <xf numFmtId="9" fontId="23" fillId="26" borderId="3" xfId="1" applyFont="1" applyFill="1" applyBorder="1" applyAlignment="1" applyProtection="1">
      <alignment horizontal="center" vertical="top"/>
      <protection locked="0"/>
    </xf>
    <xf numFmtId="9" fontId="23" fillId="26" borderId="2" xfId="0" applyNumberFormat="1" applyFont="1" applyFill="1" applyBorder="1" applyAlignment="1" applyProtection="1">
      <alignment horizontal="center" vertical="top"/>
      <protection locked="0"/>
    </xf>
    <xf numFmtId="2" fontId="18" fillId="26" borderId="2" xfId="0" applyNumberFormat="1" applyFont="1" applyFill="1" applyBorder="1" applyAlignment="1" applyProtection="1">
      <alignment horizontal="center" vertical="top"/>
      <protection locked="0"/>
    </xf>
    <xf numFmtId="166" fontId="18" fillId="26" borderId="3" xfId="0" applyNumberFormat="1" applyFont="1" applyFill="1" applyBorder="1" applyAlignment="1" applyProtection="1">
      <alignment horizontal="center" vertical="top"/>
      <protection locked="0"/>
    </xf>
    <xf numFmtId="169" fontId="18" fillId="26" borderId="20" xfId="2" applyNumberFormat="1" applyFont="1" applyFill="1" applyBorder="1" applyAlignment="1" applyProtection="1">
      <alignment horizontal="center" vertical="top"/>
      <protection locked="0"/>
    </xf>
    <xf numFmtId="9" fontId="18" fillId="26" borderId="30" xfId="1" applyFont="1" applyFill="1" applyBorder="1" applyAlignment="1" applyProtection="1">
      <alignment horizontal="center" vertical="top"/>
      <protection locked="0"/>
    </xf>
    <xf numFmtId="9" fontId="18" fillId="26" borderId="30" xfId="0" applyNumberFormat="1" applyFont="1" applyFill="1" applyBorder="1" applyAlignment="1" applyProtection="1">
      <alignment horizontal="center" vertical="top"/>
      <protection locked="0"/>
    </xf>
    <xf numFmtId="3" fontId="18" fillId="26" borderId="2" xfId="0" applyNumberFormat="1" applyFont="1" applyFill="1" applyBorder="1" applyAlignment="1" applyProtection="1">
      <alignment horizontal="center" vertical="top"/>
      <protection locked="0"/>
    </xf>
    <xf numFmtId="169" fontId="18" fillId="26" borderId="2" xfId="2" applyNumberFormat="1" applyFont="1" applyFill="1" applyBorder="1" applyAlignment="1" applyProtection="1">
      <alignment horizontal="center" vertical="top"/>
      <protection locked="0"/>
    </xf>
    <xf numFmtId="1" fontId="23" fillId="26" borderId="19" xfId="0" applyNumberFormat="1" applyFont="1" applyFill="1" applyBorder="1" applyAlignment="1" applyProtection="1">
      <alignment horizontal="center" vertical="top"/>
      <protection locked="0"/>
    </xf>
    <xf numFmtId="166" fontId="23" fillId="26" borderId="3" xfId="0" applyNumberFormat="1" applyFont="1" applyFill="1" applyBorder="1" applyAlignment="1" applyProtection="1">
      <alignment horizontal="center" vertical="top"/>
      <protection locked="0"/>
    </xf>
    <xf numFmtId="169" fontId="23" fillId="26" borderId="33" xfId="2" applyNumberFormat="1" applyFont="1" applyFill="1" applyBorder="1" applyAlignment="1" applyProtection="1">
      <alignment horizontal="center" vertical="top"/>
      <protection locked="0"/>
    </xf>
    <xf numFmtId="1" fontId="18" fillId="26" borderId="2" xfId="0" applyNumberFormat="1" applyFont="1" applyFill="1" applyBorder="1" applyAlignment="1" applyProtection="1">
      <alignment horizontal="center" vertical="top"/>
      <protection locked="0"/>
    </xf>
    <xf numFmtId="9" fontId="18" fillId="26" borderId="0" xfId="1" applyFont="1" applyFill="1" applyBorder="1" applyAlignment="1" applyProtection="1">
      <alignment horizontal="center" vertical="top"/>
      <protection locked="0"/>
    </xf>
    <xf numFmtId="2" fontId="47" fillId="26" borderId="2" xfId="0" applyNumberFormat="1" applyFont="1" applyFill="1" applyBorder="1" applyAlignment="1" applyProtection="1">
      <alignment horizontal="center" vertical="top"/>
      <protection locked="0"/>
    </xf>
    <xf numFmtId="0" fontId="18" fillId="26" borderId="2" xfId="0" applyFont="1" applyFill="1" applyBorder="1" applyAlignment="1" applyProtection="1">
      <alignment horizontal="center" vertical="top"/>
      <protection locked="0"/>
    </xf>
    <xf numFmtId="166" fontId="18" fillId="26" borderId="16" xfId="0" applyNumberFormat="1" applyFont="1" applyFill="1" applyBorder="1" applyAlignment="1" applyProtection="1">
      <alignment horizontal="center" vertical="top"/>
      <protection locked="0"/>
    </xf>
    <xf numFmtId="9" fontId="18" fillId="26" borderId="20" xfId="1" applyFont="1" applyFill="1" applyBorder="1" applyAlignment="1" applyProtection="1">
      <alignment horizontal="center" vertical="top"/>
      <protection locked="0"/>
    </xf>
    <xf numFmtId="9" fontId="18" fillId="26" borderId="0" xfId="0" applyNumberFormat="1" applyFont="1" applyFill="1" applyAlignment="1" applyProtection="1">
      <alignment horizontal="center" vertical="top"/>
      <protection locked="0"/>
    </xf>
    <xf numFmtId="9" fontId="18" fillId="26" borderId="33" xfId="1" applyFont="1" applyFill="1" applyBorder="1" applyAlignment="1" applyProtection="1">
      <alignment horizontal="center" vertical="top"/>
      <protection locked="0"/>
    </xf>
    <xf numFmtId="166" fontId="23" fillId="26" borderId="16" xfId="0" applyNumberFormat="1" applyFont="1" applyFill="1" applyBorder="1" applyAlignment="1" applyProtection="1">
      <alignment horizontal="center" vertical="top"/>
      <protection locked="0"/>
    </xf>
    <xf numFmtId="9" fontId="23" fillId="26" borderId="2" xfId="1" applyFont="1" applyFill="1" applyBorder="1" applyAlignment="1" applyProtection="1">
      <alignment horizontal="center" vertical="top"/>
      <protection locked="0"/>
    </xf>
    <xf numFmtId="166" fontId="23" fillId="26" borderId="22" xfId="0" applyNumberFormat="1" applyFont="1" applyFill="1" applyBorder="1" applyAlignment="1" applyProtection="1">
      <alignment horizontal="center" vertical="top"/>
      <protection locked="0"/>
    </xf>
    <xf numFmtId="9" fontId="23" fillId="26" borderId="33" xfId="1" applyFont="1" applyFill="1" applyBorder="1" applyAlignment="1" applyProtection="1">
      <alignment horizontal="center" vertical="top"/>
      <protection locked="0"/>
    </xf>
    <xf numFmtId="1" fontId="23" fillId="26" borderId="2" xfId="0" applyNumberFormat="1" applyFont="1" applyFill="1" applyBorder="1" applyAlignment="1" applyProtection="1">
      <alignment horizontal="center" vertical="top"/>
      <protection locked="0"/>
    </xf>
    <xf numFmtId="169" fontId="23" fillId="26" borderId="30" xfId="2" applyNumberFormat="1" applyFont="1" applyFill="1" applyBorder="1" applyAlignment="1" applyProtection="1">
      <alignment horizontal="center" vertical="top"/>
      <protection locked="0"/>
    </xf>
    <xf numFmtId="166" fontId="18" fillId="26" borderId="15" xfId="0" applyNumberFormat="1" applyFont="1" applyFill="1" applyBorder="1" applyAlignment="1" applyProtection="1">
      <alignment horizontal="center" vertical="top"/>
      <protection locked="0"/>
    </xf>
    <xf numFmtId="169" fontId="23" fillId="26" borderId="2" xfId="2" applyNumberFormat="1" applyFont="1" applyFill="1" applyBorder="1" applyAlignment="1" applyProtection="1">
      <alignment horizontal="center" vertical="top"/>
      <protection locked="0"/>
    </xf>
    <xf numFmtId="9" fontId="18" fillId="26" borderId="2" xfId="0" applyNumberFormat="1" applyFont="1" applyFill="1" applyBorder="1" applyAlignment="1" applyProtection="1">
      <alignment horizontal="center" vertical="top"/>
      <protection locked="0"/>
    </xf>
    <xf numFmtId="166" fontId="18" fillId="26" borderId="43" xfId="0" applyNumberFormat="1" applyFont="1" applyFill="1" applyBorder="1" applyAlignment="1" applyProtection="1">
      <alignment horizontal="center" vertical="top"/>
      <protection locked="0"/>
    </xf>
    <xf numFmtId="166" fontId="18" fillId="26" borderId="42" xfId="0" applyNumberFormat="1" applyFont="1" applyFill="1" applyBorder="1" applyAlignment="1" applyProtection="1">
      <alignment horizontal="center" vertical="top"/>
      <protection locked="0"/>
    </xf>
    <xf numFmtId="9" fontId="18" fillId="26" borderId="2" xfId="1" applyFont="1" applyFill="1" applyBorder="1" applyAlignment="1" applyProtection="1">
      <alignment horizontal="center" vertical="top"/>
      <protection locked="0"/>
    </xf>
    <xf numFmtId="9" fontId="21" fillId="26" borderId="2" xfId="0" applyNumberFormat="1" applyFont="1" applyFill="1" applyBorder="1" applyAlignment="1" applyProtection="1">
      <alignment horizontal="center" vertical="top"/>
      <protection locked="0"/>
    </xf>
    <xf numFmtId="169" fontId="23" fillId="26" borderId="31" xfId="2" applyNumberFormat="1" applyFont="1" applyFill="1" applyBorder="1" applyAlignment="1" applyProtection="1">
      <alignment horizontal="center" vertical="top"/>
      <protection locked="0"/>
    </xf>
    <xf numFmtId="9" fontId="23" fillId="26" borderId="33" xfId="0" applyNumberFormat="1" applyFont="1" applyFill="1" applyBorder="1" applyAlignment="1" applyProtection="1">
      <alignment horizontal="center" vertical="top"/>
      <protection locked="0"/>
    </xf>
    <xf numFmtId="166" fontId="23" fillId="26" borderId="33" xfId="0" applyNumberFormat="1" applyFont="1" applyFill="1" applyBorder="1" applyAlignment="1" applyProtection="1">
      <alignment horizontal="center" vertical="top"/>
      <protection locked="0"/>
    </xf>
    <xf numFmtId="169" fontId="23" fillId="26" borderId="19" xfId="2" applyNumberFormat="1" applyFont="1" applyFill="1" applyBorder="1" applyAlignment="1" applyProtection="1">
      <alignment horizontal="center" vertical="top"/>
      <protection locked="0"/>
    </xf>
    <xf numFmtId="9" fontId="23" fillId="26" borderId="19" xfId="1" applyFont="1" applyFill="1" applyBorder="1" applyAlignment="1" applyProtection="1">
      <alignment horizontal="center" vertical="top"/>
      <protection locked="0"/>
    </xf>
    <xf numFmtId="9" fontId="23" fillId="26" borderId="19" xfId="0" applyNumberFormat="1" applyFont="1" applyFill="1" applyBorder="1" applyAlignment="1" applyProtection="1">
      <alignment horizontal="center" vertical="top"/>
      <protection locked="0"/>
    </xf>
    <xf numFmtId="4" fontId="4" fillId="0" borderId="23" xfId="0" applyNumberFormat="1" applyFont="1" applyFill="1" applyBorder="1" applyAlignment="1" applyProtection="1">
      <alignment horizontal="center" vertical="top"/>
      <protection locked="0"/>
    </xf>
    <xf numFmtId="166" fontId="4" fillId="0" borderId="3" xfId="0" applyNumberFormat="1" applyFont="1" applyFill="1" applyBorder="1" applyAlignment="1" applyProtection="1">
      <alignment horizontal="center" vertical="top"/>
      <protection locked="0"/>
    </xf>
    <xf numFmtId="166" fontId="4" fillId="0" borderId="42" xfId="0" applyNumberFormat="1" applyFont="1" applyFill="1" applyBorder="1" applyAlignment="1" applyProtection="1">
      <alignment horizontal="center" vertical="top"/>
      <protection locked="0"/>
    </xf>
    <xf numFmtId="172" fontId="25" fillId="0" borderId="91" xfId="0" applyNumberFormat="1" applyFont="1" applyFill="1" applyBorder="1" applyAlignment="1" applyProtection="1">
      <alignment horizontal="center" vertical="top"/>
      <protection locked="0"/>
    </xf>
    <xf numFmtId="172" fontId="25" fillId="0" borderId="72" xfId="0" applyNumberFormat="1" applyFont="1" applyFill="1" applyBorder="1" applyAlignment="1" applyProtection="1">
      <alignment horizontal="center" vertical="top"/>
      <protection locked="0"/>
    </xf>
    <xf numFmtId="3" fontId="4" fillId="11" borderId="8" xfId="0" applyNumberFormat="1" applyFont="1" applyFill="1" applyBorder="1" applyProtection="1"/>
    <xf numFmtId="0" fontId="22" fillId="7" borderId="12" xfId="0" applyFont="1" applyFill="1" applyBorder="1" applyAlignment="1" applyProtection="1">
      <alignment wrapText="1"/>
    </xf>
    <xf numFmtId="0" fontId="22" fillId="7" borderId="13" xfId="0" applyFont="1" applyFill="1" applyBorder="1" applyAlignment="1" applyProtection="1">
      <alignment wrapText="1"/>
    </xf>
    <xf numFmtId="0" fontId="22" fillId="7" borderId="14" xfId="0" applyFont="1" applyFill="1" applyBorder="1" applyAlignment="1" applyProtection="1">
      <alignment wrapText="1"/>
    </xf>
    <xf numFmtId="39" fontId="23" fillId="11" borderId="12" xfId="0" applyNumberFormat="1" applyFont="1" applyFill="1" applyBorder="1" applyAlignment="1" applyProtection="1">
      <alignment vertical="center" wrapText="1"/>
    </xf>
    <xf numFmtId="0" fontId="25" fillId="11" borderId="14" xfId="0" applyFont="1" applyFill="1" applyBorder="1" applyAlignment="1" applyProtection="1">
      <alignment vertical="center" wrapText="1"/>
    </xf>
    <xf numFmtId="39" fontId="23" fillId="11" borderId="70" xfId="0" applyNumberFormat="1" applyFont="1" applyFill="1" applyBorder="1" applyAlignment="1" applyProtection="1">
      <alignment vertical="center" wrapText="1"/>
    </xf>
    <xf numFmtId="0" fontId="25" fillId="11" borderId="79" xfId="0" applyFont="1" applyFill="1" applyBorder="1" applyAlignment="1" applyProtection="1">
      <alignment vertical="center" wrapText="1"/>
    </xf>
    <xf numFmtId="0" fontId="21" fillId="11" borderId="7" xfId="0" applyFont="1" applyFill="1" applyBorder="1" applyAlignment="1" applyProtection="1">
      <alignment horizontal="left" vertical="top" wrapText="1" indent="1"/>
    </xf>
    <xf numFmtId="0" fontId="21" fillId="11" borderId="0" xfId="0" applyFont="1" applyFill="1" applyBorder="1" applyAlignment="1" applyProtection="1">
      <alignment horizontal="left" vertical="top" wrapText="1" indent="1"/>
    </xf>
    <xf numFmtId="168" fontId="21" fillId="11" borderId="0" xfId="0" applyNumberFormat="1" applyFont="1" applyFill="1" applyBorder="1" applyAlignment="1" applyProtection="1">
      <alignment horizontal="right" vertical="center" wrapText="1"/>
    </xf>
    <xf numFmtId="0" fontId="22" fillId="11" borderId="0" xfId="0" applyFont="1" applyFill="1" applyBorder="1" applyAlignment="1" applyProtection="1">
      <alignment horizontal="right" vertical="center"/>
    </xf>
    <xf numFmtId="0" fontId="21" fillId="11" borderId="0" xfId="0" applyFont="1" applyFill="1" applyBorder="1" applyAlignment="1" applyProtection="1">
      <alignment horizontal="right" vertical="center" wrapText="1"/>
    </xf>
    <xf numFmtId="0" fontId="22" fillId="11" borderId="0" xfId="0" applyFont="1" applyFill="1" applyBorder="1" applyAlignment="1" applyProtection="1">
      <alignment vertical="center"/>
    </xf>
    <xf numFmtId="0" fontId="21" fillId="11" borderId="4" xfId="0" applyFont="1" applyFill="1" applyBorder="1" applyAlignment="1" applyProtection="1">
      <alignment horizontal="right" vertical="center"/>
    </xf>
    <xf numFmtId="0" fontId="22" fillId="11" borderId="4" xfId="0" applyFont="1" applyFill="1" applyBorder="1" applyAlignment="1" applyProtection="1">
      <alignment vertical="center"/>
    </xf>
    <xf numFmtId="39" fontId="23" fillId="11" borderId="35" xfId="0" applyNumberFormat="1" applyFont="1" applyFill="1" applyBorder="1" applyAlignment="1" applyProtection="1">
      <alignment horizontal="left" vertical="center"/>
    </xf>
    <xf numFmtId="39" fontId="23" fillId="11" borderId="62" xfId="0" applyNumberFormat="1" applyFont="1" applyFill="1" applyBorder="1" applyAlignment="1" applyProtection="1">
      <alignment horizontal="left" vertical="center"/>
    </xf>
    <xf numFmtId="39" fontId="21" fillId="11" borderId="34" xfId="0" applyNumberFormat="1" applyFont="1" applyFill="1" applyBorder="1" applyAlignment="1" applyProtection="1">
      <alignment horizontal="left" vertical="center"/>
    </xf>
    <xf numFmtId="39" fontId="21" fillId="11" borderId="16" xfId="0" applyNumberFormat="1" applyFont="1" applyFill="1" applyBorder="1" applyAlignment="1" applyProtection="1">
      <alignment horizontal="left" vertical="center"/>
    </xf>
    <xf numFmtId="0" fontId="23" fillId="11" borderId="5" xfId="0" applyFont="1" applyFill="1" applyBorder="1" applyAlignment="1" applyProtection="1">
      <alignment vertical="center"/>
    </xf>
    <xf numFmtId="0" fontId="23" fillId="11" borderId="11" xfId="0" applyFont="1" applyFill="1" applyBorder="1" applyAlignment="1" applyProtection="1">
      <alignment vertical="center"/>
    </xf>
    <xf numFmtId="0" fontId="23" fillId="11" borderId="6" xfId="0" applyFont="1" applyFill="1" applyBorder="1" applyAlignment="1" applyProtection="1">
      <alignment vertical="center"/>
    </xf>
    <xf numFmtId="0" fontId="22" fillId="20" borderId="12" xfId="0" applyFont="1" applyFill="1" applyBorder="1" applyAlignment="1" applyProtection="1">
      <alignment wrapText="1"/>
    </xf>
    <xf numFmtId="0" fontId="22" fillId="20" borderId="13" xfId="0" applyFont="1" applyFill="1" applyBorder="1" applyAlignment="1" applyProtection="1">
      <alignment wrapText="1"/>
    </xf>
    <xf numFmtId="0" fontId="22" fillId="20" borderId="14" xfId="0" applyFont="1" applyFill="1" applyBorder="1" applyAlignment="1" applyProtection="1">
      <alignment wrapText="1"/>
    </xf>
    <xf numFmtId="0" fontId="4" fillId="26" borderId="54" xfId="0" applyFont="1" applyFill="1" applyBorder="1" applyAlignment="1" applyProtection="1">
      <alignment horizontal="center"/>
      <protection locked="0"/>
    </xf>
    <xf numFmtId="0" fontId="0" fillId="26" borderId="44" xfId="0" applyFill="1" applyBorder="1" applyAlignment="1" applyProtection="1">
      <alignment horizontal="center"/>
      <protection locked="0"/>
    </xf>
    <xf numFmtId="0" fontId="0" fillId="26" borderId="55" xfId="0" applyFill="1" applyBorder="1" applyAlignment="1" applyProtection="1">
      <alignment horizontal="center"/>
      <protection locked="0"/>
    </xf>
    <xf numFmtId="0" fontId="11" fillId="11" borderId="77" xfId="0" applyFont="1" applyFill="1" applyBorder="1" applyAlignment="1" applyProtection="1">
      <alignment horizontal="center"/>
    </xf>
    <xf numFmtId="0" fontId="11" fillId="11" borderId="60" xfId="0" applyFont="1" applyFill="1" applyBorder="1" applyAlignment="1" applyProtection="1">
      <alignment horizontal="center"/>
    </xf>
    <xf numFmtId="0" fontId="11" fillId="11" borderId="78" xfId="0" applyFont="1" applyFill="1" applyBorder="1" applyAlignment="1" applyProtection="1">
      <alignment horizontal="center"/>
    </xf>
    <xf numFmtId="0" fontId="26" fillId="11" borderId="34" xfId="0" applyFont="1" applyFill="1" applyBorder="1" applyAlignment="1" applyProtection="1">
      <alignment horizontal="left" vertical="top" wrapText="1" indent="1"/>
    </xf>
    <xf numFmtId="0" fontId="26" fillId="11" borderId="15" xfId="0" applyFont="1" applyFill="1" applyBorder="1" applyAlignment="1" applyProtection="1">
      <alignment horizontal="left" vertical="top" wrapText="1" indent="1"/>
    </xf>
    <xf numFmtId="0" fontId="25" fillId="11" borderId="13" xfId="0" applyFont="1" applyFill="1" applyBorder="1" applyAlignment="1" applyProtection="1">
      <alignment vertical="center" wrapText="1"/>
    </xf>
    <xf numFmtId="0" fontId="18" fillId="15" borderId="1" xfId="0" applyFont="1" applyFill="1" applyBorder="1" applyAlignment="1" applyProtection="1">
      <alignment horizontal="center" wrapText="1"/>
    </xf>
    <xf numFmtId="0" fontId="18" fillId="15" borderId="18" xfId="0" applyFont="1" applyFill="1" applyBorder="1" applyAlignment="1" applyProtection="1">
      <alignment horizontal="center" wrapText="1"/>
    </xf>
    <xf numFmtId="0" fontId="22" fillId="7" borderId="4" xfId="0" applyFont="1" applyFill="1" applyBorder="1" applyAlignment="1" applyProtection="1">
      <alignment horizontal="left" wrapText="1"/>
    </xf>
    <xf numFmtId="0" fontId="22" fillId="7" borderId="4" xfId="0" applyFont="1" applyFill="1" applyBorder="1" applyAlignment="1" applyProtection="1">
      <alignment wrapText="1"/>
    </xf>
    <xf numFmtId="0" fontId="8" fillId="11" borderId="12" xfId="0" applyFont="1" applyFill="1" applyBorder="1" applyAlignment="1" applyProtection="1">
      <alignment horizontal="center"/>
    </xf>
    <xf numFmtId="0" fontId="8" fillId="11" borderId="13" xfId="0" applyFont="1" applyFill="1" applyBorder="1" applyAlignment="1" applyProtection="1">
      <alignment horizontal="center"/>
    </xf>
    <xf numFmtId="0" fontId="8" fillId="11" borderId="14" xfId="0" applyFont="1" applyFill="1" applyBorder="1" applyAlignment="1" applyProtection="1">
      <alignment horizontal="center"/>
    </xf>
    <xf numFmtId="0" fontId="8" fillId="11" borderId="69" xfId="0" applyFont="1" applyFill="1" applyBorder="1" applyAlignment="1" applyProtection="1">
      <alignment horizontal="center"/>
    </xf>
    <xf numFmtId="0" fontId="21" fillId="11" borderId="46" xfId="0" applyFont="1" applyFill="1" applyBorder="1" applyAlignment="1" applyProtection="1">
      <alignment horizontal="left" vertical="top" wrapText="1" indent="1"/>
    </xf>
    <xf numFmtId="0" fontId="21" fillId="11" borderId="21" xfId="0" applyFont="1" applyFill="1" applyBorder="1" applyAlignment="1" applyProtection="1">
      <alignment horizontal="left" vertical="top" wrapText="1" indent="1"/>
    </xf>
    <xf numFmtId="0" fontId="25" fillId="11" borderId="0" xfId="0" applyFont="1" applyFill="1" applyBorder="1" applyAlignment="1" applyProtection="1">
      <alignment horizontal="left" vertical="center" wrapText="1"/>
    </xf>
    <xf numFmtId="0" fontId="25" fillId="11" borderId="8" xfId="0" applyFont="1" applyFill="1" applyBorder="1" applyAlignment="1" applyProtection="1">
      <alignment horizontal="left" vertical="center" wrapText="1"/>
    </xf>
    <xf numFmtId="0" fontId="4" fillId="11" borderId="6" xfId="0" applyFont="1" applyFill="1" applyBorder="1" applyAlignment="1" applyProtection="1">
      <alignment horizontal="center"/>
    </xf>
    <xf numFmtId="0" fontId="4" fillId="11" borderId="47" xfId="0" applyFont="1" applyFill="1" applyBorder="1" applyAlignment="1" applyProtection="1">
      <alignment horizontal="center"/>
    </xf>
    <xf numFmtId="0" fontId="4" fillId="7" borderId="5" xfId="0" applyFont="1" applyFill="1" applyBorder="1" applyAlignment="1" applyProtection="1">
      <alignment horizontal="left" wrapText="1"/>
    </xf>
    <xf numFmtId="0" fontId="4" fillId="7" borderId="11" xfId="0" applyFont="1" applyFill="1" applyBorder="1" applyAlignment="1" applyProtection="1">
      <alignment horizontal="left" wrapText="1"/>
    </xf>
    <xf numFmtId="0" fontId="25" fillId="11" borderId="74" xfId="0" applyFont="1" applyFill="1" applyBorder="1" applyAlignment="1" applyProtection="1">
      <alignment vertical="center" wrapText="1"/>
    </xf>
    <xf numFmtId="0" fontId="23" fillId="11" borderId="24" xfId="0" applyFont="1" applyFill="1" applyBorder="1" applyAlignment="1" applyProtection="1">
      <alignment vertical="center"/>
    </xf>
    <xf numFmtId="0" fontId="23" fillId="11" borderId="66" xfId="0" applyFont="1" applyFill="1" applyBorder="1" applyAlignment="1" applyProtection="1">
      <alignment vertical="center"/>
    </xf>
    <xf numFmtId="0" fontId="22" fillId="7" borderId="12" xfId="0" applyFont="1" applyFill="1" applyBorder="1" applyAlignment="1">
      <alignment wrapText="1"/>
    </xf>
    <xf numFmtId="0" fontId="22" fillId="7" borderId="13" xfId="0" applyFont="1" applyFill="1" applyBorder="1" applyAlignment="1">
      <alignment wrapText="1"/>
    </xf>
    <xf numFmtId="0" fontId="4" fillId="7" borderId="12" xfId="0" applyFont="1" applyFill="1" applyBorder="1" applyAlignment="1" applyProtection="1">
      <alignment horizontal="left" vertical="top" wrapText="1"/>
    </xf>
    <xf numFmtId="0" fontId="4" fillId="7" borderId="13" xfId="0" applyFont="1" applyFill="1" applyBorder="1" applyAlignment="1" applyProtection="1">
      <alignment horizontal="left" vertical="top" wrapText="1"/>
    </xf>
    <xf numFmtId="39" fontId="25" fillId="11" borderId="70" xfId="0" applyNumberFormat="1" applyFont="1" applyFill="1" applyBorder="1" applyAlignment="1" applyProtection="1">
      <alignment vertical="center" wrapText="1"/>
    </xf>
    <xf numFmtId="39" fontId="25" fillId="11" borderId="74" xfId="0" applyNumberFormat="1" applyFont="1" applyFill="1" applyBorder="1" applyAlignment="1" applyProtection="1">
      <alignment vertical="center" wrapText="1"/>
    </xf>
    <xf numFmtId="39" fontId="25" fillId="11" borderId="79" xfId="0" applyNumberFormat="1" applyFont="1" applyFill="1" applyBorder="1" applyAlignment="1" applyProtection="1">
      <alignment vertical="center" wrapText="1"/>
    </xf>
    <xf numFmtId="39" fontId="25" fillId="11" borderId="12" xfId="0" applyNumberFormat="1" applyFont="1" applyFill="1" applyBorder="1" applyAlignment="1" applyProtection="1">
      <alignment vertical="center" wrapText="1"/>
    </xf>
    <xf numFmtId="39" fontId="25" fillId="11" borderId="13" xfId="0" applyNumberFormat="1" applyFont="1" applyFill="1" applyBorder="1" applyAlignment="1" applyProtection="1">
      <alignment vertical="center" wrapText="1"/>
    </xf>
    <xf numFmtId="39" fontId="25" fillId="11" borderId="14" xfId="0" applyNumberFormat="1" applyFont="1" applyFill="1" applyBorder="1" applyAlignment="1" applyProtection="1">
      <alignment vertical="center" wrapText="1"/>
    </xf>
    <xf numFmtId="0" fontId="30" fillId="11" borderId="12" xfId="0" applyFont="1" applyFill="1" applyBorder="1" applyAlignment="1" applyProtection="1">
      <alignment horizontal="center"/>
    </xf>
    <xf numFmtId="0" fontId="30" fillId="11" borderId="13" xfId="0" applyFont="1" applyFill="1" applyBorder="1" applyAlignment="1" applyProtection="1">
      <alignment horizontal="center"/>
    </xf>
    <xf numFmtId="0" fontId="30" fillId="11" borderId="14" xfId="0" applyFont="1" applyFill="1" applyBorder="1" applyAlignment="1" applyProtection="1">
      <alignment horizontal="center"/>
    </xf>
    <xf numFmtId="0" fontId="13" fillId="10" borderId="12" xfId="69" applyFill="1" applyBorder="1" applyAlignment="1">
      <alignment horizontal="center"/>
    </xf>
    <xf numFmtId="0" fontId="13" fillId="10" borderId="13" xfId="69" applyFill="1" applyBorder="1" applyAlignment="1">
      <alignment horizontal="center"/>
    </xf>
    <xf numFmtId="0" fontId="13" fillId="10" borderId="14" xfId="69" applyFill="1" applyBorder="1" applyAlignment="1">
      <alignment horizontal="center"/>
    </xf>
    <xf numFmtId="0" fontId="0" fillId="10" borderId="12" xfId="0" applyFill="1" applyBorder="1" applyAlignment="1">
      <alignment horizontal="center"/>
    </xf>
    <xf numFmtId="0" fontId="0" fillId="10" borderId="13" xfId="0" applyFill="1" applyBorder="1" applyAlignment="1">
      <alignment horizontal="center"/>
    </xf>
    <xf numFmtId="0" fontId="0" fillId="10" borderId="14" xfId="0" applyFill="1" applyBorder="1" applyAlignment="1">
      <alignment horizontal="center"/>
    </xf>
    <xf numFmtId="0" fontId="0" fillId="8" borderId="7" xfId="0" applyFill="1" applyBorder="1" applyAlignment="1">
      <alignment horizontal="center"/>
    </xf>
    <xf numFmtId="0" fontId="0" fillId="8" borderId="0" xfId="0" applyFill="1" applyBorder="1" applyAlignment="1">
      <alignment horizontal="center"/>
    </xf>
    <xf numFmtId="0" fontId="0" fillId="8" borderId="8" xfId="0" applyFill="1" applyBorder="1" applyAlignment="1">
      <alignment horizontal="center"/>
    </xf>
    <xf numFmtId="0" fontId="4" fillId="4" borderId="7" xfId="0" applyFont="1" applyFill="1" applyBorder="1" applyAlignment="1">
      <alignment horizontal="right"/>
    </xf>
    <xf numFmtId="0" fontId="0" fillId="4" borderId="0" xfId="0" applyFill="1" applyBorder="1" applyAlignment="1">
      <alignment horizontal="right"/>
    </xf>
    <xf numFmtId="4" fontId="25" fillId="11" borderId="35" xfId="0" applyNumberFormat="1" applyFont="1" applyFill="1" applyBorder="1" applyAlignment="1" applyProtection="1">
      <alignment horizontal="center" vertical="top"/>
    </xf>
    <xf numFmtId="4" fontId="0" fillId="11" borderId="65" xfId="0" applyNumberFormat="1" applyFill="1" applyBorder="1" applyAlignment="1" applyProtection="1">
      <alignment horizontal="center" vertical="top"/>
    </xf>
    <xf numFmtId="4" fontId="0" fillId="11" borderId="36" xfId="0" applyNumberFormat="1" applyFill="1" applyBorder="1" applyAlignment="1" applyProtection="1">
      <alignment horizontal="center" vertical="top"/>
    </xf>
    <xf numFmtId="0" fontId="8" fillId="7" borderId="0" xfId="0" applyFont="1" applyFill="1" applyBorder="1" applyAlignment="1" applyProtection="1">
      <alignment horizontal="left" wrapText="1"/>
    </xf>
    <xf numFmtId="0" fontId="0" fillId="11" borderId="13" xfId="0" applyFill="1" applyBorder="1" applyAlignment="1" applyProtection="1">
      <alignment horizontal="left"/>
    </xf>
    <xf numFmtId="0" fontId="0" fillId="11" borderId="14" xfId="0" applyFill="1" applyBorder="1" applyAlignment="1" applyProtection="1">
      <alignment horizontal="left"/>
    </xf>
    <xf numFmtId="0" fontId="0" fillId="11" borderId="7" xfId="0" applyFill="1" applyBorder="1" applyAlignment="1" applyProtection="1">
      <alignment horizontal="right"/>
    </xf>
    <xf numFmtId="0" fontId="0" fillId="11" borderId="0" xfId="0" applyFill="1" applyBorder="1" applyAlignment="1" applyProtection="1">
      <alignment horizontal="right"/>
    </xf>
    <xf numFmtId="0" fontId="0" fillId="11" borderId="9" xfId="0" applyFill="1" applyBorder="1" applyAlignment="1" applyProtection="1">
      <alignment horizontal="right"/>
    </xf>
    <xf numFmtId="0" fontId="0" fillId="11" borderId="4" xfId="0" applyFill="1" applyBorder="1" applyAlignment="1" applyProtection="1">
      <alignment horizontal="right"/>
    </xf>
    <xf numFmtId="0" fontId="0" fillId="11" borderId="5" xfId="0" applyFill="1" applyBorder="1" applyAlignment="1" applyProtection="1">
      <alignment horizontal="right"/>
    </xf>
    <xf numFmtId="0" fontId="0" fillId="11" borderId="11" xfId="0" applyFill="1" applyBorder="1" applyAlignment="1" applyProtection="1">
      <alignment horizontal="right"/>
    </xf>
    <xf numFmtId="0" fontId="8" fillId="9" borderId="12" xfId="0" applyFont="1" applyFill="1" applyBorder="1" applyAlignment="1" applyProtection="1">
      <alignment horizontal="center" wrapText="1"/>
    </xf>
    <xf numFmtId="0" fontId="8" fillId="9" borderId="13" xfId="0" applyFont="1" applyFill="1" applyBorder="1" applyAlignment="1" applyProtection="1">
      <alignment horizontal="center" wrapText="1"/>
    </xf>
    <xf numFmtId="0" fontId="0" fillId="11" borderId="12" xfId="0" applyFill="1" applyBorder="1" applyAlignment="1" applyProtection="1">
      <alignment horizontal="center" wrapText="1"/>
    </xf>
    <xf numFmtId="0" fontId="0" fillId="11" borderId="13" xfId="0" applyFill="1" applyBorder="1" applyAlignment="1" applyProtection="1">
      <alignment horizontal="center" wrapText="1"/>
    </xf>
    <xf numFmtId="0" fontId="0" fillId="11" borderId="40" xfId="0" applyFill="1" applyBorder="1" applyAlignment="1" applyProtection="1">
      <alignment horizontal="center" wrapText="1"/>
    </xf>
    <xf numFmtId="0" fontId="0" fillId="11" borderId="14" xfId="0" applyFill="1" applyBorder="1" applyAlignment="1" applyProtection="1">
      <alignment horizontal="center" wrapText="1"/>
    </xf>
    <xf numFmtId="4" fontId="25" fillId="11" borderId="24" xfId="0" applyNumberFormat="1" applyFont="1" applyFill="1" applyBorder="1" applyAlignment="1" applyProtection="1">
      <alignment horizontal="center" vertical="top"/>
    </xf>
    <xf numFmtId="4" fontId="25" fillId="11" borderId="66" xfId="0" applyNumberFormat="1" applyFont="1" applyFill="1" applyBorder="1" applyAlignment="1" applyProtection="1">
      <alignment horizontal="center" vertical="top"/>
    </xf>
    <xf numFmtId="4" fontId="25" fillId="11" borderId="25" xfId="0" applyNumberFormat="1" applyFont="1" applyFill="1" applyBorder="1" applyAlignment="1" applyProtection="1">
      <alignment horizontal="center" vertical="top"/>
    </xf>
    <xf numFmtId="0" fontId="22" fillId="7" borderId="5" xfId="0" applyFont="1" applyFill="1" applyBorder="1" applyAlignment="1" applyProtection="1">
      <alignment horizontal="left" vertical="top" wrapText="1"/>
    </xf>
    <xf numFmtId="0" fontId="22" fillId="7" borderId="11" xfId="0" applyFont="1" applyFill="1" applyBorder="1" applyAlignment="1" applyProtection="1">
      <alignment horizontal="left" vertical="top" wrapText="1"/>
    </xf>
    <xf numFmtId="4" fontId="0" fillId="11" borderId="35" xfId="0" applyNumberFormat="1" applyFill="1" applyBorder="1" applyAlignment="1" applyProtection="1">
      <alignment horizontal="center" vertical="top"/>
    </xf>
    <xf numFmtId="0" fontId="22" fillId="7" borderId="5" xfId="0" applyFont="1" applyFill="1" applyBorder="1" applyAlignment="1">
      <alignment horizontal="left" vertical="top" wrapText="1"/>
    </xf>
    <xf numFmtId="0" fontId="22" fillId="7" borderId="11" xfId="0" applyFont="1" applyFill="1" applyBorder="1" applyAlignment="1">
      <alignment horizontal="left" vertical="top" wrapText="1"/>
    </xf>
    <xf numFmtId="0" fontId="0" fillId="11" borderId="13" xfId="0" applyFill="1" applyBorder="1" applyAlignment="1">
      <alignment horizontal="left"/>
    </xf>
    <xf numFmtId="0" fontId="0" fillId="11" borderId="14" xfId="0" applyFill="1" applyBorder="1" applyAlignment="1">
      <alignment horizontal="left"/>
    </xf>
    <xf numFmtId="0" fontId="8" fillId="9" borderId="12" xfId="0" applyFont="1" applyFill="1" applyBorder="1" applyAlignment="1">
      <alignment horizontal="center" wrapText="1"/>
    </xf>
    <xf numFmtId="0" fontId="8" fillId="9" borderId="13" xfId="0" applyFont="1" applyFill="1" applyBorder="1" applyAlignment="1">
      <alignment horizontal="center" wrapText="1"/>
    </xf>
    <xf numFmtId="0" fontId="4" fillId="11" borderId="10" xfId="0" applyFont="1" applyFill="1" applyBorder="1" applyAlignment="1" applyProtection="1">
      <alignment horizontal="right"/>
    </xf>
    <xf numFmtId="0" fontId="0" fillId="11" borderId="10" xfId="0" applyFill="1" applyBorder="1" applyAlignment="1" applyProtection="1">
      <alignment horizontal="right"/>
    </xf>
    <xf numFmtId="0" fontId="22" fillId="7" borderId="12" xfId="0" applyFont="1" applyFill="1" applyBorder="1" applyAlignment="1" applyProtection="1">
      <alignment horizontal="left" wrapText="1"/>
    </xf>
    <xf numFmtId="0" fontId="22" fillId="7" borderId="13" xfId="0" applyFont="1" applyFill="1" applyBorder="1" applyAlignment="1" applyProtection="1">
      <alignment horizontal="left" wrapText="1"/>
    </xf>
    <xf numFmtId="0" fontId="22" fillId="7" borderId="14" xfId="0" applyFont="1" applyFill="1" applyBorder="1" applyAlignment="1" applyProtection="1">
      <alignment horizontal="left" wrapText="1"/>
    </xf>
    <xf numFmtId="0" fontId="22" fillId="7" borderId="12" xfId="0" applyFont="1" applyFill="1" applyBorder="1" applyAlignment="1" applyProtection="1">
      <alignment horizontal="left" vertical="center" wrapText="1"/>
    </xf>
    <xf numFmtId="0" fontId="22" fillId="7" borderId="13" xfId="0" applyFont="1" applyFill="1" applyBorder="1" applyAlignment="1" applyProtection="1">
      <alignment horizontal="left" vertical="center" wrapText="1"/>
    </xf>
    <xf numFmtId="0" fontId="22" fillId="7" borderId="14" xfId="0" applyFont="1" applyFill="1" applyBorder="1" applyAlignment="1" applyProtection="1">
      <alignment horizontal="left" vertical="center" wrapText="1"/>
    </xf>
    <xf numFmtId="0" fontId="11" fillId="11" borderId="11" xfId="0" applyFont="1" applyFill="1" applyBorder="1" applyAlignment="1" applyProtection="1">
      <alignment horizontal="right"/>
    </xf>
    <xf numFmtId="0" fontId="11" fillId="11" borderId="6" xfId="0" applyFont="1" applyFill="1" applyBorder="1" applyAlignment="1" applyProtection="1">
      <alignment horizontal="right"/>
    </xf>
    <xf numFmtId="0" fontId="4" fillId="11" borderId="0" xfId="0" applyFont="1" applyFill="1" applyBorder="1" applyAlignment="1" applyProtection="1">
      <alignment horizontal="right"/>
    </xf>
    <xf numFmtId="0" fontId="0" fillId="11" borderId="8" xfId="0" applyFill="1" applyBorder="1" applyAlignment="1" applyProtection="1">
      <alignment horizontal="right"/>
    </xf>
    <xf numFmtId="0" fontId="0" fillId="11" borderId="44" xfId="0" applyFill="1" applyBorder="1" applyAlignment="1">
      <alignment horizontal="left"/>
    </xf>
    <xf numFmtId="0" fontId="0" fillId="11" borderId="55" xfId="0" applyFill="1" applyBorder="1" applyAlignment="1">
      <alignment horizontal="left"/>
    </xf>
    <xf numFmtId="0" fontId="30" fillId="9" borderId="12" xfId="0" applyFont="1" applyFill="1" applyBorder="1" applyAlignment="1">
      <alignment horizontal="center" wrapText="1"/>
    </xf>
    <xf numFmtId="0" fontId="30" fillId="9" borderId="13" xfId="0" applyFont="1" applyFill="1" applyBorder="1" applyAlignment="1">
      <alignment horizontal="center" wrapText="1"/>
    </xf>
    <xf numFmtId="0" fontId="0" fillId="11" borderId="12" xfId="0" applyFill="1" applyBorder="1" applyAlignment="1">
      <alignment horizontal="center" wrapText="1"/>
    </xf>
    <xf numFmtId="0" fontId="0" fillId="11" borderId="13" xfId="0" applyFill="1" applyBorder="1" applyAlignment="1">
      <alignment horizontal="center" wrapText="1"/>
    </xf>
    <xf numFmtId="0" fontId="0" fillId="11" borderId="40" xfId="0" applyFill="1" applyBorder="1" applyAlignment="1">
      <alignment horizontal="center" wrapText="1"/>
    </xf>
    <xf numFmtId="0" fontId="0" fillId="11" borderId="60" xfId="0" applyFill="1" applyBorder="1" applyAlignment="1">
      <alignment horizontal="left"/>
    </xf>
    <xf numFmtId="0" fontId="0" fillId="11" borderId="78" xfId="0" applyFill="1" applyBorder="1" applyAlignment="1">
      <alignment horizontal="left"/>
    </xf>
    <xf numFmtId="0" fontId="0" fillId="11" borderId="2" xfId="0" applyFill="1" applyBorder="1" applyAlignment="1">
      <alignment horizontal="left"/>
    </xf>
    <xf numFmtId="0" fontId="0" fillId="11" borderId="27" xfId="0" applyFill="1" applyBorder="1" applyAlignment="1">
      <alignment horizontal="left"/>
    </xf>
    <xf numFmtId="0" fontId="22" fillId="7" borderId="12" xfId="0" applyFont="1" applyFill="1" applyBorder="1" applyAlignment="1">
      <alignment horizontal="left" vertical="top" wrapText="1"/>
    </xf>
    <xf numFmtId="0" fontId="22" fillId="7" borderId="13" xfId="0" applyFont="1" applyFill="1" applyBorder="1" applyAlignment="1">
      <alignment horizontal="left" vertical="top" wrapText="1"/>
    </xf>
    <xf numFmtId="0" fontId="0" fillId="11" borderId="14" xfId="0" applyFill="1" applyBorder="1" applyAlignment="1">
      <alignment horizontal="center" wrapText="1"/>
    </xf>
    <xf numFmtId="0" fontId="0" fillId="11" borderId="66" xfId="0" applyFill="1" applyBorder="1" applyAlignment="1">
      <alignment horizontal="center"/>
    </xf>
    <xf numFmtId="0" fontId="0" fillId="11" borderId="25" xfId="0" applyFill="1" applyBorder="1" applyAlignment="1">
      <alignment horizontal="center"/>
    </xf>
    <xf numFmtId="0" fontId="0" fillId="10" borderId="65" xfId="0" applyFill="1" applyBorder="1" applyAlignment="1">
      <alignment horizontal="center"/>
    </xf>
    <xf numFmtId="0" fontId="0" fillId="10" borderId="36" xfId="0" applyFill="1" applyBorder="1" applyAlignment="1">
      <alignment horizontal="center"/>
    </xf>
    <xf numFmtId="0" fontId="9" fillId="11" borderId="1" xfId="0" applyFont="1" applyFill="1" applyBorder="1" applyAlignment="1" applyProtection="1">
      <alignment horizontal="center" wrapText="1"/>
    </xf>
    <xf numFmtId="0" fontId="9" fillId="11" borderId="28" xfId="0" applyFont="1" applyFill="1" applyBorder="1" applyAlignment="1" applyProtection="1">
      <alignment horizontal="center" wrapText="1"/>
    </xf>
    <xf numFmtId="0" fontId="9" fillId="11" borderId="18" xfId="0" applyFont="1" applyFill="1" applyBorder="1" applyAlignment="1" applyProtection="1">
      <alignment horizontal="center" wrapText="1"/>
    </xf>
    <xf numFmtId="0" fontId="25" fillId="7" borderId="12" xfId="0" applyFont="1" applyFill="1" applyBorder="1" applyAlignment="1" applyProtection="1">
      <alignment wrapText="1"/>
    </xf>
    <xf numFmtId="0" fontId="25" fillId="7" borderId="13" xfId="0" applyFont="1" applyFill="1" applyBorder="1" applyAlignment="1" applyProtection="1">
      <alignment wrapText="1"/>
    </xf>
    <xf numFmtId="0" fontId="25" fillId="7" borderId="12" xfId="0" applyFont="1" applyFill="1" applyBorder="1" applyAlignment="1" applyProtection="1">
      <alignment horizontal="center" wrapText="1"/>
    </xf>
    <xf numFmtId="0" fontId="25" fillId="7" borderId="13" xfId="0" applyFont="1" applyFill="1" applyBorder="1" applyAlignment="1" applyProtection="1">
      <alignment horizontal="center" wrapText="1"/>
    </xf>
    <xf numFmtId="0" fontId="9" fillId="11" borderId="5" xfId="0" applyFont="1" applyFill="1" applyBorder="1" applyAlignment="1" applyProtection="1">
      <alignment horizontal="center"/>
    </xf>
    <xf numFmtId="0" fontId="9" fillId="11" borderId="6" xfId="0" applyFont="1" applyFill="1" applyBorder="1" applyAlignment="1" applyProtection="1">
      <alignment horizontal="center"/>
    </xf>
    <xf numFmtId="0" fontId="9" fillId="11" borderId="9" xfId="0" applyFont="1" applyFill="1" applyBorder="1" applyAlignment="1" applyProtection="1">
      <alignment horizontal="center"/>
    </xf>
    <xf numFmtId="0" fontId="9" fillId="11" borderId="10" xfId="0" applyFont="1" applyFill="1" applyBorder="1" applyAlignment="1" applyProtection="1">
      <alignment horizontal="center"/>
    </xf>
    <xf numFmtId="0" fontId="9" fillId="11" borderId="12" xfId="0" applyFont="1" applyFill="1" applyBorder="1" applyAlignment="1" applyProtection="1"/>
    <xf numFmtId="0" fontId="9" fillId="11" borderId="6" xfId="0" applyFont="1" applyFill="1" applyBorder="1" applyAlignment="1" applyProtection="1"/>
    <xf numFmtId="0" fontId="9" fillId="11" borderId="4" xfId="0" applyFont="1" applyFill="1" applyBorder="1" applyAlignment="1" applyProtection="1"/>
    <xf numFmtId="0" fontId="11" fillId="11" borderId="1" xfId="0" applyFont="1" applyFill="1" applyBorder="1" applyAlignment="1" applyProtection="1">
      <alignment horizontal="center" wrapText="1"/>
    </xf>
    <xf numFmtId="0" fontId="11" fillId="11" borderId="28" xfId="0" applyFont="1" applyFill="1" applyBorder="1" applyAlignment="1" applyProtection="1">
      <alignment horizontal="center"/>
    </xf>
    <xf numFmtId="0" fontId="11" fillId="11" borderId="1" xfId="0" applyFont="1" applyFill="1" applyBorder="1" applyAlignment="1" applyProtection="1">
      <alignment horizontal="center"/>
    </xf>
    <xf numFmtId="0" fontId="9" fillId="11" borderId="12" xfId="0" applyFont="1" applyFill="1" applyBorder="1" applyAlignment="1" applyProtection="1">
      <alignment horizontal="center"/>
    </xf>
    <xf numFmtId="0" fontId="9" fillId="11" borderId="14" xfId="0" applyFont="1" applyFill="1" applyBorder="1" applyAlignment="1" applyProtection="1">
      <alignment horizontal="center"/>
    </xf>
    <xf numFmtId="0" fontId="9" fillId="11" borderId="1" xfId="0" applyFont="1" applyFill="1" applyBorder="1" applyAlignment="1" applyProtection="1">
      <alignment horizontal="center"/>
    </xf>
    <xf numFmtId="0" fontId="9" fillId="11" borderId="28" xfId="0" applyFont="1" applyFill="1" applyBorder="1" applyAlignment="1" applyProtection="1">
      <alignment horizontal="center"/>
    </xf>
    <xf numFmtId="0" fontId="9" fillId="11" borderId="18" xfId="0" applyFont="1" applyFill="1" applyBorder="1" applyAlignment="1" applyProtection="1">
      <alignment horizontal="center"/>
    </xf>
    <xf numFmtId="0" fontId="25" fillId="7" borderId="1" xfId="0" applyFont="1" applyFill="1" applyBorder="1" applyAlignment="1" applyProtection="1">
      <alignment horizontal="center" wrapText="1"/>
    </xf>
    <xf numFmtId="0" fontId="25" fillId="7" borderId="28" xfId="0" applyFont="1" applyFill="1" applyBorder="1" applyAlignment="1" applyProtection="1">
      <alignment horizontal="center" wrapText="1"/>
    </xf>
    <xf numFmtId="0" fontId="25" fillId="7" borderId="18" xfId="0" applyFont="1" applyFill="1" applyBorder="1" applyAlignment="1" applyProtection="1">
      <alignment horizontal="center" wrapText="1"/>
    </xf>
    <xf numFmtId="0" fontId="28" fillId="11" borderId="7" xfId="0" applyFont="1" applyFill="1" applyBorder="1" applyAlignment="1" applyProtection="1">
      <alignment horizontal="center"/>
    </xf>
    <xf numFmtId="0" fontId="28" fillId="11" borderId="8" xfId="0" applyFont="1" applyFill="1" applyBorder="1" applyAlignment="1" applyProtection="1">
      <alignment horizontal="center"/>
    </xf>
    <xf numFmtId="0" fontId="4" fillId="7" borderId="5" xfId="0" applyFont="1" applyFill="1" applyBorder="1"/>
    <xf numFmtId="0" fontId="4" fillId="7" borderId="11" xfId="0" applyFont="1" applyFill="1" applyBorder="1"/>
    <xf numFmtId="0" fontId="4" fillId="7" borderId="7" xfId="0" applyFont="1" applyFill="1" applyBorder="1"/>
    <xf numFmtId="0" fontId="4" fillId="7" borderId="0" xfId="0" applyFont="1" applyFill="1" applyBorder="1"/>
    <xf numFmtId="0" fontId="4" fillId="7" borderId="9" xfId="0" applyFont="1" applyFill="1" applyBorder="1"/>
    <xf numFmtId="0" fontId="4" fillId="7" borderId="4" xfId="0" applyFont="1" applyFill="1" applyBorder="1"/>
    <xf numFmtId="0" fontId="22" fillId="7" borderId="14" xfId="0" applyFont="1" applyFill="1" applyBorder="1" applyAlignment="1">
      <alignment wrapText="1"/>
    </xf>
    <xf numFmtId="0" fontId="31" fillId="7" borderId="5" xfId="0" applyFont="1" applyFill="1" applyBorder="1" applyAlignment="1"/>
    <xf numFmtId="0" fontId="31" fillId="7" borderId="11" xfId="0" applyFont="1" applyFill="1" applyBorder="1" applyAlignment="1"/>
    <xf numFmtId="0" fontId="4" fillId="7" borderId="7" xfId="0" applyFont="1" applyFill="1" applyBorder="1" applyAlignment="1"/>
    <xf numFmtId="0" fontId="4" fillId="7" borderId="0" xfId="0" applyFont="1" applyFill="1" applyBorder="1" applyAlignment="1"/>
    <xf numFmtId="0" fontId="4" fillId="7" borderId="9" xfId="0" applyFont="1" applyFill="1" applyBorder="1" applyAlignment="1"/>
    <xf numFmtId="0" fontId="4" fillId="7" borderId="4" xfId="0" applyFont="1" applyFill="1" applyBorder="1" applyAlignment="1"/>
    <xf numFmtId="0" fontId="4" fillId="11" borderId="5" xfId="0" applyFont="1" applyFill="1" applyBorder="1" applyAlignment="1">
      <alignment horizontal="center" wrapText="1"/>
    </xf>
    <xf numFmtId="0" fontId="0" fillId="11" borderId="11" xfId="0" applyFont="1" applyFill="1" applyBorder="1" applyAlignment="1">
      <alignment horizontal="center" wrapText="1"/>
    </xf>
    <xf numFmtId="0" fontId="0" fillId="11" borderId="11" xfId="0" applyFill="1" applyBorder="1" applyAlignment="1">
      <alignment wrapText="1"/>
    </xf>
    <xf numFmtId="0" fontId="0" fillId="11" borderId="6" xfId="0" applyFill="1" applyBorder="1" applyAlignment="1">
      <alignment wrapText="1"/>
    </xf>
    <xf numFmtId="0" fontId="0" fillId="11" borderId="3" xfId="0" applyFill="1" applyBorder="1" applyAlignment="1">
      <alignment horizontal="center" wrapText="1"/>
    </xf>
    <xf numFmtId="0" fontId="0" fillId="11" borderId="16" xfId="0" applyFill="1" applyBorder="1" applyAlignment="1">
      <alignment horizontal="center" wrapText="1"/>
    </xf>
    <xf numFmtId="0" fontId="0" fillId="11" borderId="6" xfId="0" applyFill="1" applyBorder="1" applyAlignment="1">
      <alignment horizontal="center" wrapText="1"/>
    </xf>
    <xf numFmtId="0" fontId="0" fillId="11" borderId="34" xfId="0" applyFill="1" applyBorder="1" applyAlignment="1">
      <alignment horizontal="center" wrapText="1"/>
    </xf>
    <xf numFmtId="0" fontId="22" fillId="7" borderId="4" xfId="0" applyFont="1" applyFill="1" applyBorder="1" applyAlignment="1">
      <alignment wrapText="1"/>
    </xf>
    <xf numFmtId="0" fontId="22" fillId="7" borderId="4" xfId="0" applyFont="1" applyFill="1" applyBorder="1"/>
    <xf numFmtId="0" fontId="2" fillId="7" borderId="0" xfId="4" applyFont="1" applyFill="1" applyAlignment="1">
      <alignment horizontal="left" wrapText="1"/>
    </xf>
    <xf numFmtId="0" fontId="3" fillId="7" borderId="0" xfId="4" applyFont="1" applyFill="1" applyAlignment="1">
      <alignment horizontal="left"/>
    </xf>
    <xf numFmtId="0" fontId="3" fillId="11" borderId="7" xfId="4" applyFill="1" applyBorder="1" applyAlignment="1">
      <alignment horizontal="left" indent="2"/>
    </xf>
    <xf numFmtId="0" fontId="3" fillId="11" borderId="8" xfId="4" applyFill="1" applyBorder="1" applyAlignment="1">
      <alignment horizontal="left" indent="2"/>
    </xf>
    <xf numFmtId="0" fontId="3" fillId="11" borderId="9" xfId="4" applyFill="1" applyBorder="1" applyAlignment="1">
      <alignment horizontal="left" indent="2"/>
    </xf>
    <xf numFmtId="0" fontId="3" fillId="11" borderId="10" xfId="4" applyFill="1" applyBorder="1" applyAlignment="1">
      <alignment horizontal="left" indent="2"/>
    </xf>
    <xf numFmtId="0" fontId="22" fillId="8" borderId="12" xfId="0" applyFont="1" applyFill="1" applyBorder="1" applyAlignment="1">
      <alignment vertical="top" wrapText="1"/>
    </xf>
    <xf numFmtId="0" fontId="22" fillId="8" borderId="13" xfId="0" applyFont="1" applyFill="1" applyBorder="1" applyAlignment="1">
      <alignment vertical="top" wrapText="1"/>
    </xf>
    <xf numFmtId="0" fontId="22" fillId="8" borderId="14" xfId="0" applyFont="1" applyFill="1" applyBorder="1" applyAlignment="1">
      <alignment vertical="top" wrapText="1"/>
    </xf>
    <xf numFmtId="0" fontId="38" fillId="7" borderId="12" xfId="0" applyFont="1" applyFill="1" applyBorder="1" applyAlignment="1">
      <alignment wrapText="1"/>
    </xf>
    <xf numFmtId="0" fontId="38" fillId="7" borderId="13" xfId="0" applyFont="1" applyFill="1" applyBorder="1" applyAlignment="1">
      <alignment wrapText="1"/>
    </xf>
    <xf numFmtId="0" fontId="38" fillId="7" borderId="14" xfId="0" applyFont="1" applyFill="1" applyBorder="1" applyAlignment="1">
      <alignment wrapText="1"/>
    </xf>
    <xf numFmtId="0" fontId="4" fillId="21" borderId="24" xfId="0" applyFont="1" applyFill="1" applyBorder="1" applyAlignment="1">
      <alignment horizontal="center" wrapText="1"/>
    </xf>
    <xf numFmtId="0" fontId="4" fillId="21" borderId="86" xfId="0" applyFont="1" applyFill="1" applyBorder="1" applyAlignment="1">
      <alignment horizontal="center" wrapText="1"/>
    </xf>
    <xf numFmtId="0" fontId="4" fillId="21" borderId="87" xfId="0" applyFont="1" applyFill="1" applyBorder="1" applyAlignment="1">
      <alignment horizontal="center" wrapText="1"/>
    </xf>
    <xf numFmtId="0" fontId="36" fillId="7" borderId="12" xfId="0" applyFont="1" applyFill="1" applyBorder="1" applyAlignment="1">
      <alignment horizontal="left"/>
    </xf>
    <xf numFmtId="0" fontId="36" fillId="7" borderId="13" xfId="0" applyFont="1" applyFill="1" applyBorder="1" applyAlignment="1">
      <alignment horizontal="left"/>
    </xf>
    <xf numFmtId="0" fontId="36" fillId="7" borderId="14" xfId="0" applyFont="1" applyFill="1" applyBorder="1" applyAlignment="1">
      <alignment horizontal="left"/>
    </xf>
    <xf numFmtId="0" fontId="35" fillId="11" borderId="26" xfId="0" applyFont="1" applyFill="1" applyBorder="1"/>
    <xf numFmtId="0" fontId="35" fillId="11" borderId="27" xfId="0" applyFont="1" applyFill="1" applyBorder="1"/>
    <xf numFmtId="0" fontId="0" fillId="11" borderId="3" xfId="0" applyFill="1" applyBorder="1" applyAlignment="1">
      <alignment horizontal="center"/>
    </xf>
    <xf numFmtId="0" fontId="0" fillId="11" borderId="15" xfId="0" applyFill="1" applyBorder="1" applyAlignment="1">
      <alignment horizontal="center"/>
    </xf>
    <xf numFmtId="0" fontId="0" fillId="11" borderId="32" xfId="0" applyFill="1" applyBorder="1" applyAlignment="1">
      <alignment horizontal="center"/>
    </xf>
    <xf numFmtId="0" fontId="36" fillId="11" borderId="7" xfId="0" applyFont="1" applyFill="1" applyBorder="1" applyAlignment="1">
      <alignment horizontal="left"/>
    </xf>
    <xf numFmtId="0" fontId="36" fillId="11" borderId="0" xfId="0" applyFont="1" applyFill="1" applyBorder="1" applyAlignment="1">
      <alignment horizontal="left"/>
    </xf>
    <xf numFmtId="0" fontId="36" fillId="11" borderId="8" xfId="0" applyFont="1" applyFill="1" applyBorder="1" applyAlignment="1">
      <alignment horizontal="left"/>
    </xf>
    <xf numFmtId="0" fontId="4" fillId="11" borderId="3" xfId="0" applyFont="1" applyFill="1" applyBorder="1" applyAlignment="1">
      <alignment horizontal="center"/>
    </xf>
    <xf numFmtId="0" fontId="36" fillId="11" borderId="5" xfId="0" applyFont="1" applyFill="1" applyBorder="1" applyAlignment="1">
      <alignment horizontal="left"/>
    </xf>
    <xf numFmtId="0" fontId="36" fillId="11" borderId="11" xfId="0" applyFont="1" applyFill="1" applyBorder="1" applyAlignment="1">
      <alignment horizontal="left"/>
    </xf>
    <xf numFmtId="0" fontId="36" fillId="11" borderId="6" xfId="0" applyFont="1" applyFill="1" applyBorder="1" applyAlignment="1">
      <alignment horizontal="left"/>
    </xf>
    <xf numFmtId="0" fontId="0" fillId="11" borderId="42" xfId="0" applyFill="1" applyBorder="1" applyAlignment="1">
      <alignment horizontal="center"/>
    </xf>
    <xf numFmtId="0" fontId="0" fillId="11" borderId="80" xfId="0" applyFill="1" applyBorder="1" applyAlignment="1">
      <alignment horizontal="center"/>
    </xf>
    <xf numFmtId="0" fontId="0" fillId="11" borderId="68" xfId="0" applyFill="1" applyBorder="1" applyAlignment="1">
      <alignment horizontal="center"/>
    </xf>
    <xf numFmtId="0" fontId="0" fillId="0" borderId="0" xfId="0"/>
    <xf numFmtId="0" fontId="4" fillId="11" borderId="42" xfId="0" applyFont="1" applyFill="1" applyBorder="1" applyAlignment="1">
      <alignment horizontal="center"/>
    </xf>
    <xf numFmtId="0" fontId="9" fillId="11" borderId="0" xfId="0" applyFont="1" applyFill="1" applyBorder="1" applyAlignment="1">
      <alignment horizontal="right"/>
    </xf>
    <xf numFmtId="0" fontId="9" fillId="11" borderId="21" xfId="0" applyFont="1" applyFill="1" applyBorder="1" applyAlignment="1">
      <alignment horizontal="right"/>
    </xf>
    <xf numFmtId="0" fontId="22" fillId="7" borderId="12" xfId="0" applyFont="1" applyFill="1" applyBorder="1" applyAlignment="1">
      <alignment vertical="top" wrapText="1"/>
    </xf>
    <xf numFmtId="0" fontId="22" fillId="7" borderId="13" xfId="0" applyFont="1" applyFill="1" applyBorder="1" applyAlignment="1">
      <alignment vertical="top" wrapText="1"/>
    </xf>
    <xf numFmtId="0" fontId="22" fillId="7" borderId="14" xfId="0" applyFont="1" applyFill="1" applyBorder="1" applyAlignment="1">
      <alignment vertical="top" wrapText="1"/>
    </xf>
    <xf numFmtId="0" fontId="36" fillId="7" borderId="5" xfId="0" applyFont="1" applyFill="1" applyBorder="1" applyAlignment="1">
      <alignment horizontal="left"/>
    </xf>
    <xf numFmtId="0" fontId="36" fillId="7" borderId="11" xfId="0" applyFont="1" applyFill="1" applyBorder="1" applyAlignment="1">
      <alignment horizontal="left"/>
    </xf>
    <xf numFmtId="0" fontId="36" fillId="7" borderId="6" xfId="0" applyFont="1" applyFill="1" applyBorder="1" applyAlignment="1">
      <alignment horizontal="left"/>
    </xf>
    <xf numFmtId="0" fontId="37" fillId="7" borderId="34" xfId="0" applyFont="1" applyFill="1" applyBorder="1" applyAlignment="1">
      <alignment horizontal="center" vertical="top"/>
    </xf>
    <xf numFmtId="0" fontId="37" fillId="7" borderId="32" xfId="0" applyFont="1" applyFill="1" applyBorder="1" applyAlignment="1">
      <alignment horizontal="center" vertical="top"/>
    </xf>
    <xf numFmtId="0" fontId="19" fillId="11" borderId="5" xfId="0" applyFont="1" applyFill="1" applyBorder="1" applyAlignment="1">
      <alignment horizontal="center" vertical="top" wrapText="1"/>
    </xf>
    <xf numFmtId="0" fontId="19" fillId="11" borderId="11" xfId="0" applyFont="1" applyFill="1" applyBorder="1" applyAlignment="1">
      <alignment horizontal="center" vertical="top" wrapText="1"/>
    </xf>
    <xf numFmtId="0" fontId="19" fillId="11" borderId="9" xfId="0" applyFont="1" applyFill="1" applyBorder="1" applyAlignment="1">
      <alignment horizontal="center" vertical="top" wrapText="1"/>
    </xf>
    <xf numFmtId="0" fontId="19" fillId="11" borderId="4" xfId="0" applyFont="1" applyFill="1" applyBorder="1" applyAlignment="1">
      <alignment horizontal="center" vertical="top" wrapText="1"/>
    </xf>
    <xf numFmtId="0" fontId="18" fillId="11" borderId="12" xfId="0" applyFont="1" applyFill="1" applyBorder="1" applyAlignment="1">
      <alignment horizontal="center" vertical="center" wrapText="1"/>
    </xf>
    <xf numFmtId="0" fontId="18" fillId="11" borderId="14" xfId="0" applyFont="1" applyFill="1" applyBorder="1" applyAlignment="1">
      <alignment horizontal="center" vertical="center" wrapText="1"/>
    </xf>
    <xf numFmtId="39" fontId="23" fillId="11" borderId="70" xfId="0" applyNumberFormat="1" applyFont="1" applyFill="1" applyBorder="1" applyAlignment="1">
      <alignment vertical="center" wrapText="1"/>
    </xf>
    <xf numFmtId="0" fontId="25" fillId="11" borderId="74" xfId="0" applyFont="1" applyFill="1" applyBorder="1" applyAlignment="1">
      <alignment vertical="center" wrapText="1"/>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38" fillId="29" borderId="2" xfId="0" applyFont="1" applyFill="1" applyBorder="1" applyAlignment="1" applyProtection="1">
      <alignment horizontal="center" vertical="center"/>
    </xf>
    <xf numFmtId="0" fontId="38" fillId="0" borderId="2" xfId="0" applyFont="1" applyBorder="1" applyAlignment="1" applyProtection="1">
      <alignment horizontal="center" vertical="center"/>
    </xf>
  </cellXfs>
  <cellStyles count="70">
    <cellStyle name="Comma" xfId="3" builtinId="3"/>
    <cellStyle name="Currency" xfId="2" builtinId="4"/>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cellStyle name="Normal" xfId="0" builtinId="0"/>
    <cellStyle name="Normal 2" xfId="4" xr:uid="{00000000-0005-0000-0000-00004300000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538DD5"/>
      <color rgb="FFCCCCFF"/>
      <color rgb="FFFFCCFF"/>
      <color rgb="FFFFCC00"/>
      <color rgb="FFFFFF00"/>
      <color rgb="FF99CC00"/>
      <color rgb="FFCCCC00"/>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probability distribution</a:t>
            </a:r>
          </a:p>
        </c:rich>
      </c:tx>
      <c:overlay val="0"/>
    </c:title>
    <c:autoTitleDeleted val="0"/>
    <c:plotArea>
      <c:layout>
        <c:manualLayout>
          <c:layoutTarget val="inner"/>
          <c:xMode val="edge"/>
          <c:yMode val="edge"/>
          <c:x val="0.10182135339518204"/>
          <c:y val="0.14284400358274402"/>
          <c:w val="0.80005359787947294"/>
          <c:h val="0.76817453845434003"/>
        </c:manualLayout>
      </c:layout>
      <c:scatterChart>
        <c:scatterStyle val="smoothMarker"/>
        <c:varyColors val="0"/>
        <c:ser>
          <c:idx val="0"/>
          <c:order val="0"/>
          <c:tx>
            <c:strRef>
              <c:f>'Risk Assessment (1)'!$AB$3</c:f>
              <c:strCache>
                <c:ptCount val="1"/>
                <c:pt idx="0">
                  <c:v>Modeled cost</c:v>
                </c:pt>
              </c:strCache>
            </c:strRef>
          </c:tx>
          <c:marker>
            <c:symbol val="none"/>
          </c:marker>
          <c:xVal>
            <c:numRef>
              <c:f>'Risk Assessment (1)'!$AB$4:$AB$15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xVal>
          <c:yVal>
            <c:numRef>
              <c:f>'Risk Assessment (1)'!$AA$4:$AA$15</c:f>
              <c:numCache>
                <c:formatCode>0%</c:formatCode>
                <c:ptCount val="12"/>
                <c:pt idx="0">
                  <c:v>0</c:v>
                </c:pt>
                <c:pt idx="1">
                  <c:v>0.1</c:v>
                </c:pt>
                <c:pt idx="2">
                  <c:v>0.2</c:v>
                </c:pt>
                <c:pt idx="3">
                  <c:v>0.3</c:v>
                </c:pt>
                <c:pt idx="4">
                  <c:v>0.4</c:v>
                </c:pt>
                <c:pt idx="5">
                  <c:v>0.5</c:v>
                </c:pt>
                <c:pt idx="6">
                  <c:v>0.6</c:v>
                </c:pt>
                <c:pt idx="7">
                  <c:v>0.65</c:v>
                </c:pt>
                <c:pt idx="8">
                  <c:v>0.7</c:v>
                </c:pt>
                <c:pt idx="9">
                  <c:v>0.8</c:v>
                </c:pt>
                <c:pt idx="10">
                  <c:v>0.9</c:v>
                </c:pt>
                <c:pt idx="11">
                  <c:v>1</c:v>
                </c:pt>
              </c:numCache>
            </c:numRef>
          </c:yVal>
          <c:smooth val="1"/>
          <c:extLst>
            <c:ext xmlns:c16="http://schemas.microsoft.com/office/drawing/2014/chart" uri="{C3380CC4-5D6E-409C-BE32-E72D297353CC}">
              <c16:uniqueId val="{00000000-54ED-1F48-ADCC-B031FF706EF2}"/>
            </c:ext>
          </c:extLst>
        </c:ser>
        <c:dLbls>
          <c:showLegendKey val="0"/>
          <c:showVal val="0"/>
          <c:showCatName val="0"/>
          <c:showSerName val="0"/>
          <c:showPercent val="0"/>
          <c:showBubbleSize val="0"/>
        </c:dLbls>
        <c:axId val="2097071528"/>
        <c:axId val="2097076904"/>
      </c:scatterChart>
      <c:valAx>
        <c:axId val="2097071528"/>
        <c:scaling>
          <c:orientation val="minMax"/>
        </c:scaling>
        <c:delete val="0"/>
        <c:axPos val="b"/>
        <c:numFmt formatCode="#,##0.00" sourceLinked="0"/>
        <c:majorTickMark val="out"/>
        <c:minorTickMark val="out"/>
        <c:tickLblPos val="nextTo"/>
        <c:crossAx val="2097076904"/>
        <c:crossesAt val="0.5"/>
        <c:crossBetween val="midCat"/>
        <c:dispUnits>
          <c:builtInUnit val="millions"/>
          <c:dispUnitsLbl/>
        </c:dispUnits>
      </c:valAx>
      <c:valAx>
        <c:axId val="2097076904"/>
        <c:scaling>
          <c:orientation val="minMax"/>
        </c:scaling>
        <c:delete val="0"/>
        <c:axPos val="l"/>
        <c:majorGridlines/>
        <c:numFmt formatCode="0%" sourceLinked="1"/>
        <c:majorTickMark val="out"/>
        <c:minorTickMark val="none"/>
        <c:tickLblPos val="nextTo"/>
        <c:crossAx val="2097071528"/>
        <c:crossesAt val="1"/>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probability distribution</a:t>
            </a:r>
          </a:p>
        </c:rich>
      </c:tx>
      <c:overlay val="0"/>
    </c:title>
    <c:autoTitleDeleted val="0"/>
    <c:plotArea>
      <c:layout/>
      <c:scatterChart>
        <c:scatterStyle val="smoothMarker"/>
        <c:varyColors val="0"/>
        <c:ser>
          <c:idx val="0"/>
          <c:order val="0"/>
          <c:marker>
            <c:symbol val="none"/>
          </c:marker>
          <c:xVal>
            <c:numRef>
              <c:f>'Risk Assessment Total'!$AD$4:$AD$14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Total'!$AF$4:$AF$14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9555-B240-A9C3-A3DF9BB291E3}"/>
            </c:ext>
          </c:extLst>
        </c:ser>
        <c:dLbls>
          <c:showLegendKey val="0"/>
          <c:showVal val="0"/>
          <c:showCatName val="0"/>
          <c:showSerName val="0"/>
          <c:showPercent val="0"/>
          <c:showBubbleSize val="0"/>
        </c:dLbls>
        <c:axId val="2097424296"/>
        <c:axId val="2097429448"/>
      </c:scatterChart>
      <c:valAx>
        <c:axId val="2097424296"/>
        <c:scaling>
          <c:orientation val="minMax"/>
        </c:scaling>
        <c:delete val="0"/>
        <c:axPos val="b"/>
        <c:numFmt formatCode="#,##0.00" sourceLinked="0"/>
        <c:majorTickMark val="out"/>
        <c:minorTickMark val="none"/>
        <c:tickLblPos val="nextTo"/>
        <c:crossAx val="2097429448"/>
        <c:crosses val="autoZero"/>
        <c:crossBetween val="midCat"/>
        <c:dispUnits>
          <c:builtInUnit val="millions"/>
          <c:dispUnitsLbl/>
        </c:dispUnits>
      </c:valAx>
      <c:valAx>
        <c:axId val="2097429448"/>
        <c:scaling>
          <c:orientation val="minMax"/>
        </c:scaling>
        <c:delete val="0"/>
        <c:axPos val="l"/>
        <c:majorGridlines/>
        <c:numFmt formatCode="0%" sourceLinked="1"/>
        <c:majorTickMark val="out"/>
        <c:minorTickMark val="none"/>
        <c:tickLblPos val="nextTo"/>
        <c:crossAx val="2097424296"/>
        <c:crosses val="autoZero"/>
        <c:crossBetween val="midCat"/>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Probability distribution (SCC 10-90)</a:t>
            </a:r>
          </a:p>
        </c:rich>
      </c:tx>
      <c:overlay val="0"/>
    </c:title>
    <c:autoTitleDeleted val="0"/>
    <c:plotArea>
      <c:layout/>
      <c:scatterChart>
        <c:scatterStyle val="smoothMarker"/>
        <c:varyColors val="0"/>
        <c:ser>
          <c:idx val="0"/>
          <c:order val="0"/>
          <c:tx>
            <c:v>Incremental %</c:v>
          </c:tx>
          <c:spPr>
            <a:ln>
              <a:solidFill>
                <a:schemeClr val="bg1">
                  <a:lumMod val="65000"/>
                </a:schemeClr>
              </a:solidFill>
            </a:ln>
          </c:spPr>
          <c:marker>
            <c:symbol val="none"/>
          </c:marker>
          <c:xVal>
            <c:numRef>
              <c:f>'Risk Assessment Total'!$AD$4:$AD$14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Total'!$AF$4:$AF$14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0DAD-774B-8F00-29A618776CCC}"/>
            </c:ext>
          </c:extLst>
        </c:ser>
        <c:ser>
          <c:idx val="1"/>
          <c:order val="1"/>
          <c:tx>
            <c:v>Cumulative %</c:v>
          </c:tx>
          <c:spPr>
            <a:ln>
              <a:solidFill>
                <a:schemeClr val="tx1"/>
              </a:solidFill>
            </a:ln>
          </c:spPr>
          <c:marker>
            <c:symbol val="none"/>
          </c:marker>
          <c:xVal>
            <c:numRef>
              <c:f>'Risk Assessment Total'!$AD$4:$AD$14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Total'!$AE$4:$AE$14</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1-0DAD-774B-8F00-29A618776CCC}"/>
            </c:ext>
          </c:extLst>
        </c:ser>
        <c:dLbls>
          <c:showLegendKey val="0"/>
          <c:showVal val="0"/>
          <c:showCatName val="0"/>
          <c:showSerName val="0"/>
          <c:showPercent val="0"/>
          <c:showBubbleSize val="0"/>
        </c:dLbls>
        <c:axId val="-2086643104"/>
        <c:axId val="-2085815728"/>
      </c:scatterChart>
      <c:valAx>
        <c:axId val="-2086643104"/>
        <c:scaling>
          <c:orientation val="minMax"/>
          <c:max val="2000000000"/>
          <c:min val="100000000"/>
        </c:scaling>
        <c:delete val="0"/>
        <c:axPos val="b"/>
        <c:numFmt formatCode="#,##0.00" sourceLinked="0"/>
        <c:majorTickMark val="cross"/>
        <c:minorTickMark val="out"/>
        <c:tickLblPos val="nextTo"/>
        <c:spPr>
          <a:ln/>
        </c:spPr>
        <c:txPr>
          <a:bodyPr/>
          <a:lstStyle/>
          <a:p>
            <a:pPr>
              <a:defRPr b="1"/>
            </a:pPr>
            <a:endParaRPr lang="en-US"/>
          </a:p>
        </c:txPr>
        <c:crossAx val="-2085815728"/>
        <c:crosses val="autoZero"/>
        <c:crossBetween val="midCat"/>
        <c:dispUnits>
          <c:builtInUnit val="millions"/>
          <c:dispUnitsLbl/>
        </c:dispUnits>
      </c:valAx>
      <c:valAx>
        <c:axId val="-2085815728"/>
        <c:scaling>
          <c:orientation val="minMax"/>
          <c:max val="1"/>
        </c:scaling>
        <c:delete val="0"/>
        <c:axPos val="l"/>
        <c:majorGridlines/>
        <c:numFmt formatCode="0%" sourceLinked="1"/>
        <c:majorTickMark val="out"/>
        <c:minorTickMark val="none"/>
        <c:tickLblPos val="nextTo"/>
        <c:txPr>
          <a:bodyPr/>
          <a:lstStyle/>
          <a:p>
            <a:pPr>
              <a:defRPr b="1"/>
            </a:pPr>
            <a:endParaRPr lang="en-US"/>
          </a:p>
        </c:txPr>
        <c:crossAx val="-2086643104"/>
        <c:crosses val="autoZero"/>
        <c:crossBetween val="midCat"/>
      </c:valAx>
    </c:plotArea>
    <c:legend>
      <c:legendPos val="b"/>
      <c:overlay val="0"/>
    </c:legend>
    <c:plotVisOnly val="1"/>
    <c:dispBlanksAs val="gap"/>
    <c:showDLblsOverMax val="0"/>
  </c:chart>
  <c:spPr>
    <a:ln w="15875">
      <a:solidFill>
        <a:schemeClr val="tx1"/>
      </a:solidFill>
    </a:ln>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Beta transition</a:t>
            </a:r>
            <a:r>
              <a:rPr lang="en-US" baseline="0"/>
              <a:t> comparisons</a:t>
            </a:r>
            <a:endParaRPr lang="en-US"/>
          </a:p>
        </c:rich>
      </c:tx>
      <c:overlay val="0"/>
    </c:title>
    <c:autoTitleDeleted val="0"/>
    <c:plotArea>
      <c:layout/>
      <c:lineChart>
        <c:grouping val="standard"/>
        <c:varyColors val="0"/>
        <c:ser>
          <c:idx val="0"/>
          <c:order val="0"/>
          <c:tx>
            <c:strRef>
              <c:f>'DBB Beta drawdown graphs '!$C$3</c:f>
              <c:strCache>
                <c:ptCount val="1"/>
                <c:pt idx="0">
                  <c:v>Constr</c:v>
                </c:pt>
              </c:strCache>
            </c:strRef>
          </c:tx>
          <c:spPr>
            <a:ln>
              <a:solidFill>
                <a:schemeClr val="tx1"/>
              </a:solidFill>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'!$C$5:$C$13</c:f>
              <c:numCache>
                <c:formatCode>0.00</c:formatCode>
                <c:ptCount val="9"/>
                <c:pt idx="0">
                  <c:v>2.5</c:v>
                </c:pt>
                <c:pt idx="1">
                  <c:v>2.2749999999999999</c:v>
                </c:pt>
                <c:pt idx="2">
                  <c:v>2.0499999999999998</c:v>
                </c:pt>
                <c:pt idx="3">
                  <c:v>1.8</c:v>
                </c:pt>
                <c:pt idx="4">
                  <c:v>1.5</c:v>
                </c:pt>
                <c:pt idx="5">
                  <c:v>1.35</c:v>
                </c:pt>
                <c:pt idx="6">
                  <c:v>1.2</c:v>
                </c:pt>
                <c:pt idx="7">
                  <c:v>1.1499999999999999</c:v>
                </c:pt>
                <c:pt idx="8">
                  <c:v>1.1000000000000001</c:v>
                </c:pt>
              </c:numCache>
            </c:numRef>
          </c:val>
          <c:smooth val="0"/>
          <c:extLst>
            <c:ext xmlns:c16="http://schemas.microsoft.com/office/drawing/2014/chart" uri="{C3380CC4-5D6E-409C-BE32-E72D297353CC}">
              <c16:uniqueId val="{00000000-2024-684A-B4E7-CBB754868E08}"/>
            </c:ext>
          </c:extLst>
        </c:ser>
        <c:ser>
          <c:idx val="1"/>
          <c:order val="1"/>
          <c:tx>
            <c:strRef>
              <c:f>'DBB Beta drawdown graphs '!$D$3</c:f>
              <c:strCache>
                <c:ptCount val="1"/>
                <c:pt idx="0">
                  <c:v>ROW</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'!$D$5:$D$13</c:f>
              <c:numCache>
                <c:formatCode>0.00</c:formatCode>
                <c:ptCount val="9"/>
                <c:pt idx="0">
                  <c:v>3.25</c:v>
                </c:pt>
                <c:pt idx="1">
                  <c:v>3.125</c:v>
                </c:pt>
                <c:pt idx="2">
                  <c:v>3</c:v>
                </c:pt>
                <c:pt idx="3">
                  <c:v>2.5</c:v>
                </c:pt>
                <c:pt idx="4">
                  <c:v>2.0499999999999998</c:v>
                </c:pt>
                <c:pt idx="5">
                  <c:v>1.8</c:v>
                </c:pt>
                <c:pt idx="6">
                  <c:v>1.6</c:v>
                </c:pt>
                <c:pt idx="7">
                  <c:v>1.35</c:v>
                </c:pt>
                <c:pt idx="8">
                  <c:v>1.1499999999999999</c:v>
                </c:pt>
              </c:numCache>
            </c:numRef>
          </c:val>
          <c:smooth val="0"/>
          <c:extLst>
            <c:ext xmlns:c16="http://schemas.microsoft.com/office/drawing/2014/chart" uri="{C3380CC4-5D6E-409C-BE32-E72D297353CC}">
              <c16:uniqueId val="{00000001-2024-684A-B4E7-CBB754868E08}"/>
            </c:ext>
          </c:extLst>
        </c:ser>
        <c:ser>
          <c:idx val="2"/>
          <c:order val="2"/>
          <c:tx>
            <c:strRef>
              <c:f>'DBB Beta drawdown graphs '!$E$3</c:f>
              <c:strCache>
                <c:ptCount val="1"/>
                <c:pt idx="0">
                  <c:v>Vehcl</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'!$E$5:$E$13</c:f>
              <c:numCache>
                <c:formatCode>0.00</c:formatCode>
                <c:ptCount val="9"/>
                <c:pt idx="0">
                  <c:v>2</c:v>
                </c:pt>
                <c:pt idx="1">
                  <c:v>1.95</c:v>
                </c:pt>
                <c:pt idx="2">
                  <c:v>1.9</c:v>
                </c:pt>
                <c:pt idx="3">
                  <c:v>1.6</c:v>
                </c:pt>
                <c:pt idx="4">
                  <c:v>1.5</c:v>
                </c:pt>
                <c:pt idx="5">
                  <c:v>1.4</c:v>
                </c:pt>
                <c:pt idx="6">
                  <c:v>1.2</c:v>
                </c:pt>
                <c:pt idx="7">
                  <c:v>1.1000000000000001</c:v>
                </c:pt>
                <c:pt idx="8">
                  <c:v>1.05</c:v>
                </c:pt>
              </c:numCache>
            </c:numRef>
          </c:val>
          <c:smooth val="0"/>
          <c:extLst>
            <c:ext xmlns:c16="http://schemas.microsoft.com/office/drawing/2014/chart" uri="{C3380CC4-5D6E-409C-BE32-E72D297353CC}">
              <c16:uniqueId val="{00000002-2024-684A-B4E7-CBB754868E08}"/>
            </c:ext>
          </c:extLst>
        </c:ser>
        <c:dLbls>
          <c:showLegendKey val="0"/>
          <c:showVal val="0"/>
          <c:showCatName val="0"/>
          <c:showSerName val="0"/>
          <c:showPercent val="0"/>
          <c:showBubbleSize val="0"/>
        </c:dLbls>
        <c:smooth val="0"/>
        <c:axId val="2096104568"/>
        <c:axId val="2098227992"/>
      </c:lineChart>
      <c:catAx>
        <c:axId val="2096104568"/>
        <c:scaling>
          <c:orientation val="minMax"/>
        </c:scaling>
        <c:delete val="0"/>
        <c:axPos val="b"/>
        <c:numFmt formatCode="General" sourceLinked="0"/>
        <c:majorTickMark val="out"/>
        <c:minorTickMark val="none"/>
        <c:tickLblPos val="nextTo"/>
        <c:crossAx val="2098227992"/>
        <c:crosses val="autoZero"/>
        <c:auto val="1"/>
        <c:lblAlgn val="ctr"/>
        <c:lblOffset val="100"/>
        <c:noMultiLvlLbl val="0"/>
      </c:catAx>
      <c:valAx>
        <c:axId val="2098227992"/>
        <c:scaling>
          <c:orientation val="minMax"/>
          <c:min val="1"/>
        </c:scaling>
        <c:delete val="0"/>
        <c:axPos val="l"/>
        <c:majorGridlines/>
        <c:numFmt formatCode="0.00" sourceLinked="1"/>
        <c:majorTickMark val="out"/>
        <c:minorTickMark val="in"/>
        <c:tickLblPos val="nextTo"/>
        <c:crossAx val="2096104568"/>
        <c:crosses val="autoZero"/>
        <c:crossBetween val="midCat"/>
        <c:majorUnit val="0.5"/>
        <c:minorUnit val="0.1"/>
      </c:valAx>
    </c:plotArea>
    <c:legend>
      <c:legendPos val="r"/>
      <c:overlay val="0"/>
    </c:legend>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Beta transition</a:t>
            </a:r>
            <a:r>
              <a:rPr lang="en-US" baseline="0"/>
              <a:t> comparisons</a:t>
            </a:r>
            <a:endParaRPr lang="en-US"/>
          </a:p>
        </c:rich>
      </c:tx>
      <c:overlay val="0"/>
    </c:title>
    <c:autoTitleDeleted val="0"/>
    <c:plotArea>
      <c:layout/>
      <c:lineChart>
        <c:grouping val="standard"/>
        <c:varyColors val="0"/>
        <c:ser>
          <c:idx val="0"/>
          <c:order val="0"/>
          <c:tx>
            <c:strRef>
              <c:f>'DBB Beta drawdown graphs '!$C$3</c:f>
              <c:strCache>
                <c:ptCount val="1"/>
                <c:pt idx="0">
                  <c:v>Constr</c:v>
                </c:pt>
              </c:strCache>
            </c:strRef>
          </c:tx>
          <c:spPr>
            <a:ln>
              <a:solidFill>
                <a:prstClr val="black"/>
              </a:solidFill>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'!$C$5:$C$13</c:f>
              <c:numCache>
                <c:formatCode>0.00</c:formatCode>
                <c:ptCount val="9"/>
                <c:pt idx="0">
                  <c:v>2.5</c:v>
                </c:pt>
                <c:pt idx="1">
                  <c:v>2.2749999999999999</c:v>
                </c:pt>
                <c:pt idx="2">
                  <c:v>2.0499999999999998</c:v>
                </c:pt>
                <c:pt idx="3">
                  <c:v>1.8</c:v>
                </c:pt>
                <c:pt idx="4">
                  <c:v>1.5</c:v>
                </c:pt>
                <c:pt idx="5">
                  <c:v>1.35</c:v>
                </c:pt>
                <c:pt idx="6">
                  <c:v>1.2</c:v>
                </c:pt>
                <c:pt idx="7">
                  <c:v>1.1499999999999999</c:v>
                </c:pt>
                <c:pt idx="8">
                  <c:v>1.1000000000000001</c:v>
                </c:pt>
              </c:numCache>
            </c:numRef>
          </c:val>
          <c:smooth val="0"/>
          <c:extLst>
            <c:ext xmlns:c16="http://schemas.microsoft.com/office/drawing/2014/chart" uri="{C3380CC4-5D6E-409C-BE32-E72D297353CC}">
              <c16:uniqueId val="{00000000-E8D8-0E47-8F4C-62672A582282}"/>
            </c:ext>
          </c:extLst>
        </c:ser>
        <c:ser>
          <c:idx val="3"/>
          <c:order val="1"/>
          <c:tx>
            <c:strRef>
              <c:f>'DBB Beta drawdown graphs '!$F$3</c:f>
              <c:strCache>
                <c:ptCount val="1"/>
                <c:pt idx="0">
                  <c:v>ProjDev</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'!$F$5:$F$13</c:f>
              <c:numCache>
                <c:formatCode>0.00</c:formatCode>
                <c:ptCount val="9"/>
                <c:pt idx="0">
                  <c:v>1.9500000000000002</c:v>
                </c:pt>
                <c:pt idx="1">
                  <c:v>1.3</c:v>
                </c:pt>
                <c:pt idx="2">
                  <c:v>1.05</c:v>
                </c:pt>
                <c:pt idx="3">
                  <c:v>1.05</c:v>
                </c:pt>
                <c:pt idx="4">
                  <c:v>1.05</c:v>
                </c:pt>
                <c:pt idx="5">
                  <c:v>1.05</c:v>
                </c:pt>
                <c:pt idx="6">
                  <c:v>1.05</c:v>
                </c:pt>
                <c:pt idx="7">
                  <c:v>1.05</c:v>
                </c:pt>
                <c:pt idx="8">
                  <c:v>1.05</c:v>
                </c:pt>
              </c:numCache>
            </c:numRef>
          </c:val>
          <c:smooth val="0"/>
          <c:extLst>
            <c:ext xmlns:c16="http://schemas.microsoft.com/office/drawing/2014/chart" uri="{C3380CC4-5D6E-409C-BE32-E72D297353CC}">
              <c16:uniqueId val="{00000001-E8D8-0E47-8F4C-62672A582282}"/>
            </c:ext>
          </c:extLst>
        </c:ser>
        <c:ser>
          <c:idx val="4"/>
          <c:order val="2"/>
          <c:tx>
            <c:strRef>
              <c:f>'DBB Beta drawdown graphs '!$G$3</c:f>
              <c:strCache>
                <c:ptCount val="1"/>
                <c:pt idx="0">
                  <c:v>Engin'g</c:v>
                </c:pt>
              </c:strCache>
            </c:strRef>
          </c:tx>
          <c:spPr>
            <a:ln>
              <a:prstDash val="sysDash"/>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'!$G$5:$G$13</c:f>
              <c:numCache>
                <c:formatCode>0.00</c:formatCode>
                <c:ptCount val="9"/>
                <c:pt idx="0">
                  <c:v>2.0999999999999996</c:v>
                </c:pt>
                <c:pt idx="1">
                  <c:v>2.0499999999999998</c:v>
                </c:pt>
                <c:pt idx="2">
                  <c:v>2</c:v>
                </c:pt>
                <c:pt idx="3">
                  <c:v>1.65</c:v>
                </c:pt>
                <c:pt idx="4">
                  <c:v>1.1499999999999999</c:v>
                </c:pt>
                <c:pt idx="5">
                  <c:v>1.05</c:v>
                </c:pt>
                <c:pt idx="6">
                  <c:v>1.05</c:v>
                </c:pt>
                <c:pt idx="7">
                  <c:v>1.05</c:v>
                </c:pt>
                <c:pt idx="8">
                  <c:v>1.05</c:v>
                </c:pt>
              </c:numCache>
            </c:numRef>
          </c:val>
          <c:smooth val="0"/>
          <c:extLst>
            <c:ext xmlns:c16="http://schemas.microsoft.com/office/drawing/2014/chart" uri="{C3380CC4-5D6E-409C-BE32-E72D297353CC}">
              <c16:uniqueId val="{00000002-E8D8-0E47-8F4C-62672A582282}"/>
            </c:ext>
          </c:extLst>
        </c:ser>
        <c:ser>
          <c:idx val="5"/>
          <c:order val="3"/>
          <c:tx>
            <c:strRef>
              <c:f>'DBB Beta drawdown graphs '!$H$3</c:f>
              <c:strCache>
                <c:ptCount val="1"/>
                <c:pt idx="0">
                  <c:v>ProjMgt</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'!$H$5:$H$13</c:f>
              <c:numCache>
                <c:formatCode>0.00</c:formatCode>
                <c:ptCount val="9"/>
                <c:pt idx="0">
                  <c:v>2.2999999999999998</c:v>
                </c:pt>
                <c:pt idx="1">
                  <c:v>2.125</c:v>
                </c:pt>
                <c:pt idx="2">
                  <c:v>1.9500000000000002</c:v>
                </c:pt>
                <c:pt idx="3">
                  <c:v>1.6500000000000001</c:v>
                </c:pt>
                <c:pt idx="4">
                  <c:v>1.5</c:v>
                </c:pt>
                <c:pt idx="5">
                  <c:v>1.4</c:v>
                </c:pt>
                <c:pt idx="6">
                  <c:v>1.3</c:v>
                </c:pt>
                <c:pt idx="7">
                  <c:v>1.1499999999999999</c:v>
                </c:pt>
                <c:pt idx="8">
                  <c:v>1.1000000000000001</c:v>
                </c:pt>
              </c:numCache>
            </c:numRef>
          </c:val>
          <c:smooth val="0"/>
          <c:extLst>
            <c:ext xmlns:c16="http://schemas.microsoft.com/office/drawing/2014/chart" uri="{C3380CC4-5D6E-409C-BE32-E72D297353CC}">
              <c16:uniqueId val="{00000003-E8D8-0E47-8F4C-62672A582282}"/>
            </c:ext>
          </c:extLst>
        </c:ser>
        <c:ser>
          <c:idx val="6"/>
          <c:order val="4"/>
          <c:tx>
            <c:strRef>
              <c:f>'DBB Beta drawdown graphs '!$I$3</c:f>
              <c:strCache>
                <c:ptCount val="1"/>
                <c:pt idx="0">
                  <c:v>ConAdmin</c:v>
                </c:pt>
              </c:strCache>
            </c:strRef>
          </c:tx>
          <c:spPr>
            <a:ln>
              <a:prstDash val="dash"/>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'!$I$5:$I$13</c:f>
              <c:numCache>
                <c:formatCode>0.00</c:formatCode>
                <c:ptCount val="9"/>
                <c:pt idx="0">
                  <c:v>2.5</c:v>
                </c:pt>
                <c:pt idx="1">
                  <c:v>2.35</c:v>
                </c:pt>
                <c:pt idx="2">
                  <c:v>2.2000000000000002</c:v>
                </c:pt>
                <c:pt idx="3">
                  <c:v>1.9</c:v>
                </c:pt>
                <c:pt idx="4">
                  <c:v>1.8</c:v>
                </c:pt>
                <c:pt idx="5">
                  <c:v>1.6</c:v>
                </c:pt>
                <c:pt idx="6">
                  <c:v>1.4</c:v>
                </c:pt>
                <c:pt idx="7">
                  <c:v>1.35</c:v>
                </c:pt>
                <c:pt idx="8">
                  <c:v>1.1499999999999999</c:v>
                </c:pt>
              </c:numCache>
            </c:numRef>
          </c:val>
          <c:smooth val="0"/>
          <c:extLst>
            <c:ext xmlns:c16="http://schemas.microsoft.com/office/drawing/2014/chart" uri="{C3380CC4-5D6E-409C-BE32-E72D297353CC}">
              <c16:uniqueId val="{00000004-E8D8-0E47-8F4C-62672A582282}"/>
            </c:ext>
          </c:extLst>
        </c:ser>
        <c:dLbls>
          <c:showLegendKey val="0"/>
          <c:showVal val="0"/>
          <c:showCatName val="0"/>
          <c:showSerName val="0"/>
          <c:showPercent val="0"/>
          <c:showBubbleSize val="0"/>
        </c:dLbls>
        <c:smooth val="0"/>
        <c:axId val="2098275976"/>
        <c:axId val="2098279032"/>
      </c:lineChart>
      <c:catAx>
        <c:axId val="2098275976"/>
        <c:scaling>
          <c:orientation val="minMax"/>
        </c:scaling>
        <c:delete val="0"/>
        <c:axPos val="b"/>
        <c:numFmt formatCode="General" sourceLinked="0"/>
        <c:majorTickMark val="out"/>
        <c:minorTickMark val="none"/>
        <c:tickLblPos val="nextTo"/>
        <c:crossAx val="2098279032"/>
        <c:crosses val="autoZero"/>
        <c:auto val="1"/>
        <c:lblAlgn val="ctr"/>
        <c:lblOffset val="100"/>
        <c:noMultiLvlLbl val="0"/>
      </c:catAx>
      <c:valAx>
        <c:axId val="2098279032"/>
        <c:scaling>
          <c:orientation val="minMax"/>
          <c:max val="3.5"/>
          <c:min val="1"/>
        </c:scaling>
        <c:delete val="0"/>
        <c:axPos val="l"/>
        <c:majorGridlines/>
        <c:numFmt formatCode="0.00" sourceLinked="1"/>
        <c:majorTickMark val="out"/>
        <c:minorTickMark val="in"/>
        <c:tickLblPos val="nextTo"/>
        <c:crossAx val="2098275976"/>
        <c:crosses val="autoZero"/>
        <c:crossBetween val="midCat"/>
        <c:majorUnit val="0.5"/>
        <c:minorUnit val="0.1"/>
      </c:valAx>
    </c:plotArea>
    <c:legend>
      <c:legendPos val="r"/>
      <c:layout>
        <c:manualLayout>
          <c:xMode val="edge"/>
          <c:yMode val="edge"/>
          <c:x val="0.751976230243947"/>
          <c:y val="0.37918795211574202"/>
          <c:w val="0.230707752440036"/>
          <c:h val="0.36753888995582901"/>
        </c:manualLayout>
      </c:layout>
      <c:overlay val="0"/>
    </c:legend>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Beta transition</a:t>
            </a:r>
            <a:r>
              <a:rPr lang="en-US" baseline="0"/>
              <a:t> comparisons</a:t>
            </a:r>
            <a:endParaRPr lang="en-US"/>
          </a:p>
        </c:rich>
      </c:tx>
      <c:overlay val="0"/>
    </c:title>
    <c:autoTitleDeleted val="0"/>
    <c:plotArea>
      <c:layout/>
      <c:lineChart>
        <c:grouping val="standard"/>
        <c:varyColors val="0"/>
        <c:ser>
          <c:idx val="0"/>
          <c:order val="0"/>
          <c:tx>
            <c:strRef>
              <c:f>'DBB Beta drawdown graphs '!$C$3</c:f>
              <c:strCache>
                <c:ptCount val="1"/>
                <c:pt idx="0">
                  <c:v>Constr</c:v>
                </c:pt>
              </c:strCache>
            </c:strRef>
          </c:tx>
          <c:spPr>
            <a:ln>
              <a:solidFill>
                <a:prstClr val="black"/>
              </a:solidFill>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'!$C$5:$C$13</c:f>
              <c:numCache>
                <c:formatCode>0.00</c:formatCode>
                <c:ptCount val="9"/>
                <c:pt idx="0">
                  <c:v>2.5</c:v>
                </c:pt>
                <c:pt idx="1">
                  <c:v>2.2749999999999999</c:v>
                </c:pt>
                <c:pt idx="2">
                  <c:v>2.0499999999999998</c:v>
                </c:pt>
                <c:pt idx="3">
                  <c:v>1.8</c:v>
                </c:pt>
                <c:pt idx="4">
                  <c:v>1.5</c:v>
                </c:pt>
                <c:pt idx="5">
                  <c:v>1.35</c:v>
                </c:pt>
                <c:pt idx="6">
                  <c:v>1.2</c:v>
                </c:pt>
                <c:pt idx="7">
                  <c:v>1.1499999999999999</c:v>
                </c:pt>
                <c:pt idx="8">
                  <c:v>1.1000000000000001</c:v>
                </c:pt>
              </c:numCache>
            </c:numRef>
          </c:val>
          <c:smooth val="0"/>
          <c:extLst>
            <c:ext xmlns:c16="http://schemas.microsoft.com/office/drawing/2014/chart" uri="{C3380CC4-5D6E-409C-BE32-E72D297353CC}">
              <c16:uniqueId val="{00000000-EE07-1E4F-81D9-ACCC2D414E75}"/>
            </c:ext>
          </c:extLst>
        </c:ser>
        <c:ser>
          <c:idx val="7"/>
          <c:order val="1"/>
          <c:tx>
            <c:strRef>
              <c:f>'DBB Beta drawdown graphs '!$J$3</c:f>
              <c:strCache>
                <c:ptCount val="1"/>
                <c:pt idx="0">
                  <c:v>Insurance</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'!$J$5:$J$13</c:f>
              <c:numCache>
                <c:formatCode>0.00</c:formatCode>
                <c:ptCount val="9"/>
                <c:pt idx="0">
                  <c:v>1.75</c:v>
                </c:pt>
                <c:pt idx="1">
                  <c:v>1.6</c:v>
                </c:pt>
                <c:pt idx="2">
                  <c:v>1.45</c:v>
                </c:pt>
                <c:pt idx="3">
                  <c:v>1.3</c:v>
                </c:pt>
                <c:pt idx="4">
                  <c:v>1.2</c:v>
                </c:pt>
                <c:pt idx="5">
                  <c:v>1.1499999999999999</c:v>
                </c:pt>
                <c:pt idx="6">
                  <c:v>1.1000000000000001</c:v>
                </c:pt>
                <c:pt idx="7">
                  <c:v>1.05</c:v>
                </c:pt>
                <c:pt idx="8">
                  <c:v>1.05</c:v>
                </c:pt>
              </c:numCache>
            </c:numRef>
          </c:val>
          <c:smooth val="0"/>
          <c:extLst>
            <c:ext xmlns:c16="http://schemas.microsoft.com/office/drawing/2014/chart" uri="{C3380CC4-5D6E-409C-BE32-E72D297353CC}">
              <c16:uniqueId val="{00000001-EE07-1E4F-81D9-ACCC2D414E75}"/>
            </c:ext>
          </c:extLst>
        </c:ser>
        <c:ser>
          <c:idx val="8"/>
          <c:order val="2"/>
          <c:tx>
            <c:strRef>
              <c:f>'DBB Beta drawdown graphs '!$K$3</c:f>
              <c:strCache>
                <c:ptCount val="1"/>
                <c:pt idx="0">
                  <c:v>Legal</c:v>
                </c:pt>
              </c:strCache>
            </c:strRef>
          </c:tx>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'!$K$5:$K$13</c:f>
              <c:numCache>
                <c:formatCode>0.00</c:formatCode>
                <c:ptCount val="9"/>
                <c:pt idx="0">
                  <c:v>2.4000000000000004</c:v>
                </c:pt>
                <c:pt idx="1">
                  <c:v>2.1</c:v>
                </c:pt>
                <c:pt idx="2">
                  <c:v>1.8</c:v>
                </c:pt>
                <c:pt idx="3">
                  <c:v>1.45</c:v>
                </c:pt>
                <c:pt idx="4">
                  <c:v>1.35</c:v>
                </c:pt>
                <c:pt idx="5">
                  <c:v>1.25</c:v>
                </c:pt>
                <c:pt idx="6">
                  <c:v>1.1499999999999999</c:v>
                </c:pt>
                <c:pt idx="7">
                  <c:v>1.1000000000000001</c:v>
                </c:pt>
                <c:pt idx="8">
                  <c:v>1.05</c:v>
                </c:pt>
              </c:numCache>
            </c:numRef>
          </c:val>
          <c:smooth val="0"/>
          <c:extLst>
            <c:ext xmlns:c16="http://schemas.microsoft.com/office/drawing/2014/chart" uri="{C3380CC4-5D6E-409C-BE32-E72D297353CC}">
              <c16:uniqueId val="{00000002-EE07-1E4F-81D9-ACCC2D414E75}"/>
            </c:ext>
          </c:extLst>
        </c:ser>
        <c:ser>
          <c:idx val="9"/>
          <c:order val="3"/>
          <c:tx>
            <c:strRef>
              <c:f>'DBB Beta drawdown graphs '!$L$3</c:f>
              <c:strCache>
                <c:ptCount val="1"/>
                <c:pt idx="0">
                  <c:v>TechSvcs</c:v>
                </c:pt>
              </c:strCache>
            </c:strRef>
          </c:tx>
          <c:spPr>
            <a:ln>
              <a:prstDash val="sysDash"/>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'!$L$5:$L$13</c:f>
              <c:numCache>
                <c:formatCode>0.00</c:formatCode>
                <c:ptCount val="9"/>
                <c:pt idx="0">
                  <c:v>2.4000000000000004</c:v>
                </c:pt>
                <c:pt idx="1">
                  <c:v>2.2000000000000002</c:v>
                </c:pt>
                <c:pt idx="2">
                  <c:v>2</c:v>
                </c:pt>
                <c:pt idx="3">
                  <c:v>1.7</c:v>
                </c:pt>
                <c:pt idx="4">
                  <c:v>1.6</c:v>
                </c:pt>
                <c:pt idx="5">
                  <c:v>1.5</c:v>
                </c:pt>
                <c:pt idx="6">
                  <c:v>1.3</c:v>
                </c:pt>
                <c:pt idx="7">
                  <c:v>1.2</c:v>
                </c:pt>
                <c:pt idx="8">
                  <c:v>1.1499999999999999</c:v>
                </c:pt>
              </c:numCache>
            </c:numRef>
          </c:val>
          <c:smooth val="0"/>
          <c:extLst>
            <c:ext xmlns:c16="http://schemas.microsoft.com/office/drawing/2014/chart" uri="{C3380CC4-5D6E-409C-BE32-E72D297353CC}">
              <c16:uniqueId val="{00000003-EE07-1E4F-81D9-ACCC2D414E75}"/>
            </c:ext>
          </c:extLst>
        </c:ser>
        <c:ser>
          <c:idx val="10"/>
          <c:order val="4"/>
          <c:tx>
            <c:strRef>
              <c:f>'DBB Beta drawdown graphs '!$M$3</c:f>
              <c:strCache>
                <c:ptCount val="1"/>
                <c:pt idx="0">
                  <c:v>StartUp</c:v>
                </c:pt>
              </c:strCache>
            </c:strRef>
          </c:tx>
          <c:spPr>
            <a:ln>
              <a:prstDash val="dash"/>
            </a:ln>
          </c:spPr>
          <c:marker>
            <c:symbol val="none"/>
          </c:marker>
          <c:cat>
            <c:strRef>
              <c:f>'DBB Beta drawdown graphs '!$A$5:$A$13</c:f>
              <c:strCache>
                <c:ptCount val="9"/>
                <c:pt idx="0">
                  <c:v>15% design</c:v>
                </c:pt>
                <c:pt idx="1">
                  <c:v>30% design</c:v>
                </c:pt>
                <c:pt idx="2">
                  <c:v>60% design</c:v>
                </c:pt>
                <c:pt idx="3">
                  <c:v>Pre-bid</c:v>
                </c:pt>
                <c:pt idx="4">
                  <c:v>40% Bid</c:v>
                </c:pt>
                <c:pt idx="5">
                  <c:v>20% Constr</c:v>
                </c:pt>
                <c:pt idx="6">
                  <c:v>50% Constr</c:v>
                </c:pt>
                <c:pt idx="7">
                  <c:v>75% Constr</c:v>
                </c:pt>
                <c:pt idx="8">
                  <c:v>90% Constr</c:v>
                </c:pt>
              </c:strCache>
            </c:strRef>
          </c:cat>
          <c:val>
            <c:numRef>
              <c:f>'DBB Beta drawdown graphs '!$M$5:$M$13</c:f>
              <c:numCache>
                <c:formatCode>0.00</c:formatCode>
                <c:ptCount val="9"/>
                <c:pt idx="0">
                  <c:v>2.5</c:v>
                </c:pt>
                <c:pt idx="1">
                  <c:v>2.5</c:v>
                </c:pt>
                <c:pt idx="2">
                  <c:v>2.5</c:v>
                </c:pt>
                <c:pt idx="3">
                  <c:v>2.2999999999999998</c:v>
                </c:pt>
                <c:pt idx="4">
                  <c:v>2.2999999999999998</c:v>
                </c:pt>
                <c:pt idx="5">
                  <c:v>2.1</c:v>
                </c:pt>
                <c:pt idx="6">
                  <c:v>1.95</c:v>
                </c:pt>
                <c:pt idx="7">
                  <c:v>1.85</c:v>
                </c:pt>
                <c:pt idx="8">
                  <c:v>1.45</c:v>
                </c:pt>
              </c:numCache>
            </c:numRef>
          </c:val>
          <c:smooth val="0"/>
          <c:extLst>
            <c:ext xmlns:c16="http://schemas.microsoft.com/office/drawing/2014/chart" uri="{C3380CC4-5D6E-409C-BE32-E72D297353CC}">
              <c16:uniqueId val="{00000004-EE07-1E4F-81D9-ACCC2D414E75}"/>
            </c:ext>
          </c:extLst>
        </c:ser>
        <c:dLbls>
          <c:showLegendKey val="0"/>
          <c:showVal val="0"/>
          <c:showCatName val="0"/>
          <c:showSerName val="0"/>
          <c:showPercent val="0"/>
          <c:showBubbleSize val="0"/>
        </c:dLbls>
        <c:smooth val="0"/>
        <c:axId val="2098323192"/>
        <c:axId val="2098326248"/>
      </c:lineChart>
      <c:catAx>
        <c:axId val="2098323192"/>
        <c:scaling>
          <c:orientation val="minMax"/>
        </c:scaling>
        <c:delete val="0"/>
        <c:axPos val="b"/>
        <c:numFmt formatCode="General" sourceLinked="0"/>
        <c:majorTickMark val="out"/>
        <c:minorTickMark val="none"/>
        <c:tickLblPos val="nextTo"/>
        <c:crossAx val="2098326248"/>
        <c:crosses val="autoZero"/>
        <c:auto val="1"/>
        <c:lblAlgn val="ctr"/>
        <c:lblOffset val="100"/>
        <c:noMultiLvlLbl val="0"/>
      </c:catAx>
      <c:valAx>
        <c:axId val="2098326248"/>
        <c:scaling>
          <c:orientation val="minMax"/>
          <c:max val="3.5"/>
          <c:min val="1"/>
        </c:scaling>
        <c:delete val="0"/>
        <c:axPos val="l"/>
        <c:majorGridlines/>
        <c:numFmt formatCode="0.00" sourceLinked="1"/>
        <c:majorTickMark val="out"/>
        <c:minorTickMark val="in"/>
        <c:tickLblPos val="nextTo"/>
        <c:crossAx val="2098323192"/>
        <c:crosses val="autoZero"/>
        <c:crossBetween val="midCat"/>
        <c:majorUnit val="0.5"/>
        <c:minorUnit val="0.1"/>
      </c:valAx>
    </c:plotArea>
    <c:legend>
      <c:legendPos val="r"/>
      <c:overlay val="0"/>
    </c:legend>
    <c:plotVisOnly val="1"/>
    <c:dispBlanksAs val="gap"/>
    <c:showDLblsOverMax val="0"/>
  </c:chart>
  <c:spPr>
    <a:solidFill>
      <a:schemeClr val="bg1">
        <a:lumMod val="75000"/>
      </a:schemeClr>
    </a:solidFill>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probability distribution</a:t>
            </a:r>
          </a:p>
        </c:rich>
      </c:tx>
      <c:overlay val="0"/>
    </c:title>
    <c:autoTitleDeleted val="0"/>
    <c:plotArea>
      <c:layout/>
      <c:scatterChart>
        <c:scatterStyle val="smoothMarker"/>
        <c:varyColors val="0"/>
        <c:ser>
          <c:idx val="0"/>
          <c:order val="0"/>
          <c:marker>
            <c:symbol val="none"/>
          </c:marker>
          <c:xVal>
            <c:numRef>
              <c:f>'Risk Assessment (1)'!$AD$4:$AD$14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(1)'!$AF$4:$AF$14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810C-DF4D-AEC7-4BA16E5D462A}"/>
            </c:ext>
          </c:extLst>
        </c:ser>
        <c:dLbls>
          <c:showLegendKey val="0"/>
          <c:showVal val="0"/>
          <c:showCatName val="0"/>
          <c:showSerName val="0"/>
          <c:showPercent val="0"/>
          <c:showBubbleSize val="0"/>
        </c:dLbls>
        <c:axId val="2097103992"/>
        <c:axId val="2097109336"/>
      </c:scatterChart>
      <c:valAx>
        <c:axId val="2097103992"/>
        <c:scaling>
          <c:orientation val="minMax"/>
        </c:scaling>
        <c:delete val="0"/>
        <c:axPos val="b"/>
        <c:numFmt formatCode="#,##0.00" sourceLinked="0"/>
        <c:majorTickMark val="out"/>
        <c:minorTickMark val="none"/>
        <c:tickLblPos val="nextTo"/>
        <c:crossAx val="2097109336"/>
        <c:crosses val="autoZero"/>
        <c:crossBetween val="midCat"/>
        <c:dispUnits>
          <c:builtInUnit val="millions"/>
          <c:dispUnitsLbl/>
        </c:dispUnits>
      </c:valAx>
      <c:valAx>
        <c:axId val="2097109336"/>
        <c:scaling>
          <c:orientation val="minMax"/>
        </c:scaling>
        <c:delete val="0"/>
        <c:axPos val="l"/>
        <c:majorGridlines/>
        <c:numFmt formatCode="0%" sourceLinked="1"/>
        <c:majorTickMark val="out"/>
        <c:minorTickMark val="none"/>
        <c:tickLblPos val="nextTo"/>
        <c:crossAx val="209710399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probability distribution</a:t>
            </a:r>
          </a:p>
        </c:rich>
      </c:tx>
      <c:overlay val="0"/>
    </c:title>
    <c:autoTitleDeleted val="0"/>
    <c:plotArea>
      <c:layout/>
      <c:scatterChart>
        <c:scatterStyle val="smoothMarker"/>
        <c:varyColors val="0"/>
        <c:ser>
          <c:idx val="0"/>
          <c:order val="0"/>
          <c:tx>
            <c:strRef>
              <c:f>'Risk Assessment (2)'!$AB$3</c:f>
              <c:strCache>
                <c:ptCount val="1"/>
                <c:pt idx="0">
                  <c:v>Modeled cost</c:v>
                </c:pt>
              </c:strCache>
            </c:strRef>
          </c:tx>
          <c:marker>
            <c:symbol val="none"/>
          </c:marker>
          <c:xVal>
            <c:numRef>
              <c:f>'Risk Assessment (2)'!$AB$4:$AB$15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xVal>
          <c:yVal>
            <c:numRef>
              <c:f>'Risk Assessment (2)'!$AA$4:$AA$15</c:f>
              <c:numCache>
                <c:formatCode>0%</c:formatCode>
                <c:ptCount val="12"/>
                <c:pt idx="0">
                  <c:v>0</c:v>
                </c:pt>
                <c:pt idx="1">
                  <c:v>0.1</c:v>
                </c:pt>
                <c:pt idx="2">
                  <c:v>0.2</c:v>
                </c:pt>
                <c:pt idx="3">
                  <c:v>0.3</c:v>
                </c:pt>
                <c:pt idx="4">
                  <c:v>0.4</c:v>
                </c:pt>
                <c:pt idx="5">
                  <c:v>0.5</c:v>
                </c:pt>
                <c:pt idx="6">
                  <c:v>0.6</c:v>
                </c:pt>
                <c:pt idx="7">
                  <c:v>0.65</c:v>
                </c:pt>
                <c:pt idx="8">
                  <c:v>0.7</c:v>
                </c:pt>
                <c:pt idx="9">
                  <c:v>0.8</c:v>
                </c:pt>
                <c:pt idx="10">
                  <c:v>0.9</c:v>
                </c:pt>
                <c:pt idx="11">
                  <c:v>1</c:v>
                </c:pt>
              </c:numCache>
            </c:numRef>
          </c:yVal>
          <c:smooth val="1"/>
          <c:extLst>
            <c:ext xmlns:c16="http://schemas.microsoft.com/office/drawing/2014/chart" uri="{C3380CC4-5D6E-409C-BE32-E72D297353CC}">
              <c16:uniqueId val="{00000000-4A0F-2446-A557-35CB95167EB2}"/>
            </c:ext>
          </c:extLst>
        </c:ser>
        <c:dLbls>
          <c:showLegendKey val="0"/>
          <c:showVal val="0"/>
          <c:showCatName val="0"/>
          <c:showSerName val="0"/>
          <c:showPercent val="0"/>
          <c:showBubbleSize val="0"/>
        </c:dLbls>
        <c:axId val="2037331800"/>
        <c:axId val="2037336952"/>
      </c:scatterChart>
      <c:valAx>
        <c:axId val="2037331800"/>
        <c:scaling>
          <c:orientation val="minMax"/>
        </c:scaling>
        <c:delete val="0"/>
        <c:axPos val="b"/>
        <c:numFmt formatCode="#,##0.00" sourceLinked="0"/>
        <c:majorTickMark val="out"/>
        <c:minorTickMark val="out"/>
        <c:tickLblPos val="nextTo"/>
        <c:crossAx val="2037336952"/>
        <c:crossesAt val="0.5"/>
        <c:crossBetween val="midCat"/>
        <c:dispUnits>
          <c:builtInUnit val="millions"/>
          <c:dispUnitsLbl/>
        </c:dispUnits>
      </c:valAx>
      <c:valAx>
        <c:axId val="2037336952"/>
        <c:scaling>
          <c:orientation val="minMax"/>
        </c:scaling>
        <c:delete val="0"/>
        <c:axPos val="l"/>
        <c:majorGridlines/>
        <c:numFmt formatCode="0%" sourceLinked="1"/>
        <c:majorTickMark val="out"/>
        <c:minorTickMark val="none"/>
        <c:tickLblPos val="nextTo"/>
        <c:crossAx val="2037331800"/>
        <c:crossesAt val="1"/>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probability distribution</a:t>
            </a:r>
          </a:p>
        </c:rich>
      </c:tx>
      <c:overlay val="0"/>
    </c:title>
    <c:autoTitleDeleted val="0"/>
    <c:plotArea>
      <c:layout/>
      <c:scatterChart>
        <c:scatterStyle val="smoothMarker"/>
        <c:varyColors val="0"/>
        <c:ser>
          <c:idx val="0"/>
          <c:order val="0"/>
          <c:marker>
            <c:symbol val="none"/>
          </c:marker>
          <c:xVal>
            <c:numRef>
              <c:f>'Risk Assessment (2)'!$AD$4:$AD$14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(2)'!$AF$4:$AF$14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651E-FF41-96B0-D746FFF2A950}"/>
            </c:ext>
          </c:extLst>
        </c:ser>
        <c:dLbls>
          <c:showLegendKey val="0"/>
          <c:showVal val="0"/>
          <c:showCatName val="0"/>
          <c:showSerName val="0"/>
          <c:showPercent val="0"/>
          <c:showBubbleSize val="0"/>
        </c:dLbls>
        <c:axId val="2037363144"/>
        <c:axId val="2091294648"/>
      </c:scatterChart>
      <c:valAx>
        <c:axId val="2037363144"/>
        <c:scaling>
          <c:orientation val="minMax"/>
        </c:scaling>
        <c:delete val="0"/>
        <c:axPos val="b"/>
        <c:numFmt formatCode="#,##0.00" sourceLinked="0"/>
        <c:majorTickMark val="out"/>
        <c:minorTickMark val="none"/>
        <c:tickLblPos val="nextTo"/>
        <c:crossAx val="2091294648"/>
        <c:crosses val="autoZero"/>
        <c:crossBetween val="midCat"/>
        <c:dispUnits>
          <c:builtInUnit val="millions"/>
          <c:dispUnitsLbl/>
        </c:dispUnits>
      </c:valAx>
      <c:valAx>
        <c:axId val="2091294648"/>
        <c:scaling>
          <c:orientation val="minMax"/>
        </c:scaling>
        <c:delete val="0"/>
        <c:axPos val="l"/>
        <c:majorGridlines/>
        <c:numFmt formatCode="0%" sourceLinked="1"/>
        <c:majorTickMark val="out"/>
        <c:minorTickMark val="none"/>
        <c:tickLblPos val="nextTo"/>
        <c:crossAx val="2037363144"/>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probability distribution</a:t>
            </a:r>
          </a:p>
        </c:rich>
      </c:tx>
      <c:overlay val="0"/>
    </c:title>
    <c:autoTitleDeleted val="0"/>
    <c:plotArea>
      <c:layout/>
      <c:scatterChart>
        <c:scatterStyle val="smoothMarker"/>
        <c:varyColors val="0"/>
        <c:ser>
          <c:idx val="0"/>
          <c:order val="0"/>
          <c:tx>
            <c:strRef>
              <c:f>'Risk Assessment (3)'!$AB$3</c:f>
              <c:strCache>
                <c:ptCount val="1"/>
                <c:pt idx="0">
                  <c:v>Modeled cost</c:v>
                </c:pt>
              </c:strCache>
            </c:strRef>
          </c:tx>
          <c:marker>
            <c:symbol val="none"/>
          </c:marker>
          <c:xVal>
            <c:numRef>
              <c:f>'Risk Assessment (3)'!$AB$4:$AB$15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xVal>
          <c:yVal>
            <c:numRef>
              <c:f>'Risk Assessment (3)'!$AA$4:$AA$15</c:f>
              <c:numCache>
                <c:formatCode>0%</c:formatCode>
                <c:ptCount val="12"/>
                <c:pt idx="0">
                  <c:v>0</c:v>
                </c:pt>
                <c:pt idx="1">
                  <c:v>0.1</c:v>
                </c:pt>
                <c:pt idx="2">
                  <c:v>0.2</c:v>
                </c:pt>
                <c:pt idx="3">
                  <c:v>0.3</c:v>
                </c:pt>
                <c:pt idx="4">
                  <c:v>0.4</c:v>
                </c:pt>
                <c:pt idx="5">
                  <c:v>0.5</c:v>
                </c:pt>
                <c:pt idx="6">
                  <c:v>0.6</c:v>
                </c:pt>
                <c:pt idx="7">
                  <c:v>0.65</c:v>
                </c:pt>
                <c:pt idx="8">
                  <c:v>0.7</c:v>
                </c:pt>
                <c:pt idx="9">
                  <c:v>0.8</c:v>
                </c:pt>
                <c:pt idx="10">
                  <c:v>0.9</c:v>
                </c:pt>
                <c:pt idx="11">
                  <c:v>1</c:v>
                </c:pt>
              </c:numCache>
            </c:numRef>
          </c:yVal>
          <c:smooth val="1"/>
          <c:extLst>
            <c:ext xmlns:c16="http://schemas.microsoft.com/office/drawing/2014/chart" uri="{C3380CC4-5D6E-409C-BE32-E72D297353CC}">
              <c16:uniqueId val="{00000000-6CAC-194F-B467-816F22877CA0}"/>
            </c:ext>
          </c:extLst>
        </c:ser>
        <c:dLbls>
          <c:showLegendKey val="0"/>
          <c:showVal val="0"/>
          <c:showCatName val="0"/>
          <c:showSerName val="0"/>
          <c:showPercent val="0"/>
          <c:showBubbleSize val="0"/>
        </c:dLbls>
        <c:axId val="2097336904"/>
        <c:axId val="2083797304"/>
      </c:scatterChart>
      <c:valAx>
        <c:axId val="2097336904"/>
        <c:scaling>
          <c:orientation val="minMax"/>
        </c:scaling>
        <c:delete val="0"/>
        <c:axPos val="b"/>
        <c:numFmt formatCode="#,##0.00" sourceLinked="0"/>
        <c:majorTickMark val="out"/>
        <c:minorTickMark val="out"/>
        <c:tickLblPos val="nextTo"/>
        <c:crossAx val="2083797304"/>
        <c:crossesAt val="0.5"/>
        <c:crossBetween val="midCat"/>
        <c:dispUnits>
          <c:builtInUnit val="millions"/>
          <c:dispUnitsLbl/>
        </c:dispUnits>
      </c:valAx>
      <c:valAx>
        <c:axId val="2083797304"/>
        <c:scaling>
          <c:orientation val="minMax"/>
        </c:scaling>
        <c:delete val="0"/>
        <c:axPos val="l"/>
        <c:majorGridlines/>
        <c:numFmt formatCode="0%" sourceLinked="1"/>
        <c:majorTickMark val="out"/>
        <c:minorTickMark val="none"/>
        <c:tickLblPos val="nextTo"/>
        <c:crossAx val="2097336904"/>
        <c:crossesAt val="1"/>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probability distribution</a:t>
            </a:r>
          </a:p>
        </c:rich>
      </c:tx>
      <c:overlay val="0"/>
    </c:title>
    <c:autoTitleDeleted val="0"/>
    <c:plotArea>
      <c:layout/>
      <c:scatterChart>
        <c:scatterStyle val="smoothMarker"/>
        <c:varyColors val="0"/>
        <c:ser>
          <c:idx val="0"/>
          <c:order val="0"/>
          <c:marker>
            <c:symbol val="none"/>
          </c:marker>
          <c:xVal>
            <c:numRef>
              <c:f>'Risk Assessment (3)'!$AD$4:$AD$14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(3)'!$AF$4:$AF$14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8896-4047-9E48-4D8E28018D21}"/>
            </c:ext>
          </c:extLst>
        </c:ser>
        <c:dLbls>
          <c:showLegendKey val="0"/>
          <c:showVal val="0"/>
          <c:showCatName val="0"/>
          <c:showSerName val="0"/>
          <c:showPercent val="0"/>
          <c:showBubbleSize val="0"/>
        </c:dLbls>
        <c:axId val="2097386456"/>
        <c:axId val="2097377176"/>
      </c:scatterChart>
      <c:valAx>
        <c:axId val="2097386456"/>
        <c:scaling>
          <c:orientation val="minMax"/>
        </c:scaling>
        <c:delete val="0"/>
        <c:axPos val="b"/>
        <c:numFmt formatCode="#,##0.00" sourceLinked="0"/>
        <c:majorTickMark val="out"/>
        <c:minorTickMark val="none"/>
        <c:tickLblPos val="nextTo"/>
        <c:crossAx val="2097377176"/>
        <c:crosses val="autoZero"/>
        <c:crossBetween val="midCat"/>
        <c:dispUnits>
          <c:builtInUnit val="millions"/>
          <c:dispUnitsLbl/>
        </c:dispUnits>
      </c:valAx>
      <c:valAx>
        <c:axId val="2097377176"/>
        <c:scaling>
          <c:orientation val="minMax"/>
        </c:scaling>
        <c:delete val="0"/>
        <c:axPos val="l"/>
        <c:majorGridlines/>
        <c:numFmt formatCode="0%" sourceLinked="1"/>
        <c:majorTickMark val="out"/>
        <c:minorTickMark val="none"/>
        <c:tickLblPos val="nextTo"/>
        <c:crossAx val="2097386456"/>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probability distribution</a:t>
            </a:r>
          </a:p>
        </c:rich>
      </c:tx>
      <c:overlay val="0"/>
    </c:title>
    <c:autoTitleDeleted val="0"/>
    <c:plotArea>
      <c:layout/>
      <c:scatterChart>
        <c:scatterStyle val="smoothMarker"/>
        <c:varyColors val="0"/>
        <c:ser>
          <c:idx val="0"/>
          <c:order val="0"/>
          <c:tx>
            <c:strRef>
              <c:f>'Risk Assessment (4)'!$AB$3</c:f>
              <c:strCache>
                <c:ptCount val="1"/>
                <c:pt idx="0">
                  <c:v>Modeled cost</c:v>
                </c:pt>
              </c:strCache>
            </c:strRef>
          </c:tx>
          <c:marker>
            <c:symbol val="none"/>
          </c:marker>
          <c:xVal>
            <c:numRef>
              <c:f>'Risk Assessment (4)'!$AB$4:$AB$15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xVal>
          <c:yVal>
            <c:numRef>
              <c:f>'Risk Assessment (4)'!$AA$4:$AA$15</c:f>
              <c:numCache>
                <c:formatCode>0%</c:formatCode>
                <c:ptCount val="12"/>
                <c:pt idx="0">
                  <c:v>0</c:v>
                </c:pt>
                <c:pt idx="1">
                  <c:v>0.1</c:v>
                </c:pt>
                <c:pt idx="2">
                  <c:v>0.2</c:v>
                </c:pt>
                <c:pt idx="3">
                  <c:v>0.3</c:v>
                </c:pt>
                <c:pt idx="4">
                  <c:v>0.4</c:v>
                </c:pt>
                <c:pt idx="5">
                  <c:v>0.5</c:v>
                </c:pt>
                <c:pt idx="6">
                  <c:v>0.6</c:v>
                </c:pt>
                <c:pt idx="7">
                  <c:v>0.65</c:v>
                </c:pt>
                <c:pt idx="8">
                  <c:v>0.7</c:v>
                </c:pt>
                <c:pt idx="9">
                  <c:v>0.8</c:v>
                </c:pt>
                <c:pt idx="10">
                  <c:v>0.9</c:v>
                </c:pt>
                <c:pt idx="11">
                  <c:v>1</c:v>
                </c:pt>
              </c:numCache>
            </c:numRef>
          </c:yVal>
          <c:smooth val="1"/>
          <c:extLst>
            <c:ext xmlns:c16="http://schemas.microsoft.com/office/drawing/2014/chart" uri="{C3380CC4-5D6E-409C-BE32-E72D297353CC}">
              <c16:uniqueId val="{00000000-8869-8243-87ED-43DC940014D4}"/>
            </c:ext>
          </c:extLst>
        </c:ser>
        <c:dLbls>
          <c:showLegendKey val="0"/>
          <c:showVal val="0"/>
          <c:showCatName val="0"/>
          <c:showSerName val="0"/>
          <c:showPercent val="0"/>
          <c:showBubbleSize val="0"/>
        </c:dLbls>
        <c:axId val="2097336904"/>
        <c:axId val="2083797304"/>
      </c:scatterChart>
      <c:valAx>
        <c:axId val="2097336904"/>
        <c:scaling>
          <c:orientation val="minMax"/>
        </c:scaling>
        <c:delete val="0"/>
        <c:axPos val="b"/>
        <c:numFmt formatCode="#,##0.00" sourceLinked="0"/>
        <c:majorTickMark val="out"/>
        <c:minorTickMark val="out"/>
        <c:tickLblPos val="nextTo"/>
        <c:crossAx val="2083797304"/>
        <c:crossesAt val="0.5"/>
        <c:crossBetween val="midCat"/>
        <c:dispUnits>
          <c:builtInUnit val="millions"/>
          <c:dispUnitsLbl/>
        </c:dispUnits>
      </c:valAx>
      <c:valAx>
        <c:axId val="2083797304"/>
        <c:scaling>
          <c:orientation val="minMax"/>
        </c:scaling>
        <c:delete val="0"/>
        <c:axPos val="l"/>
        <c:majorGridlines/>
        <c:numFmt formatCode="0%" sourceLinked="1"/>
        <c:majorTickMark val="out"/>
        <c:minorTickMark val="none"/>
        <c:tickLblPos val="nextTo"/>
        <c:crossAx val="2097336904"/>
        <c:crossesAt val="1"/>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probability distribution</a:t>
            </a:r>
          </a:p>
        </c:rich>
      </c:tx>
      <c:overlay val="0"/>
    </c:title>
    <c:autoTitleDeleted val="0"/>
    <c:plotArea>
      <c:layout/>
      <c:scatterChart>
        <c:scatterStyle val="smoothMarker"/>
        <c:varyColors val="0"/>
        <c:ser>
          <c:idx val="0"/>
          <c:order val="0"/>
          <c:marker>
            <c:symbol val="none"/>
          </c:marker>
          <c:xVal>
            <c:numRef>
              <c:f>'Risk Assessment (4)'!$AD$4:$AD$14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'Risk Assessment (4)'!$AF$4:$AF$14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extLst>
            <c:ext xmlns:c16="http://schemas.microsoft.com/office/drawing/2014/chart" uri="{C3380CC4-5D6E-409C-BE32-E72D297353CC}">
              <c16:uniqueId val="{00000000-083E-A54A-8E65-CB79A038E6FA}"/>
            </c:ext>
          </c:extLst>
        </c:ser>
        <c:dLbls>
          <c:showLegendKey val="0"/>
          <c:showVal val="0"/>
          <c:showCatName val="0"/>
          <c:showSerName val="0"/>
          <c:showPercent val="0"/>
          <c:showBubbleSize val="0"/>
        </c:dLbls>
        <c:axId val="2097386456"/>
        <c:axId val="2097377176"/>
      </c:scatterChart>
      <c:valAx>
        <c:axId val="2097386456"/>
        <c:scaling>
          <c:orientation val="minMax"/>
        </c:scaling>
        <c:delete val="0"/>
        <c:axPos val="b"/>
        <c:numFmt formatCode="#,##0.00" sourceLinked="0"/>
        <c:majorTickMark val="out"/>
        <c:minorTickMark val="none"/>
        <c:tickLblPos val="nextTo"/>
        <c:crossAx val="2097377176"/>
        <c:crosses val="autoZero"/>
        <c:crossBetween val="midCat"/>
        <c:dispUnits>
          <c:builtInUnit val="millions"/>
          <c:dispUnitsLbl/>
        </c:dispUnits>
      </c:valAx>
      <c:valAx>
        <c:axId val="2097377176"/>
        <c:scaling>
          <c:orientation val="minMax"/>
        </c:scaling>
        <c:delete val="0"/>
        <c:axPos val="l"/>
        <c:majorGridlines/>
        <c:numFmt formatCode="0%" sourceLinked="1"/>
        <c:majorTickMark val="out"/>
        <c:minorTickMark val="none"/>
        <c:tickLblPos val="nextTo"/>
        <c:crossAx val="2097386456"/>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probability distribution</a:t>
            </a:r>
          </a:p>
        </c:rich>
      </c:tx>
      <c:overlay val="0"/>
    </c:title>
    <c:autoTitleDeleted val="0"/>
    <c:plotArea>
      <c:layout/>
      <c:scatterChart>
        <c:scatterStyle val="smoothMarker"/>
        <c:varyColors val="0"/>
        <c:ser>
          <c:idx val="0"/>
          <c:order val="0"/>
          <c:tx>
            <c:strRef>
              <c:f>'Risk Assessment Total'!$AB$3</c:f>
              <c:strCache>
                <c:ptCount val="1"/>
                <c:pt idx="0">
                  <c:v>Modeled cost</c:v>
                </c:pt>
              </c:strCache>
            </c:strRef>
          </c:tx>
          <c:marker>
            <c:symbol val="none"/>
          </c:marker>
          <c:xVal>
            <c:numRef>
              <c:f>'Risk Assessment Total'!$AB$4:$AB$15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xVal>
          <c:yVal>
            <c:numRef>
              <c:f>'Risk Assessment Total'!$AA$4:$AA$15</c:f>
              <c:numCache>
                <c:formatCode>0%</c:formatCode>
                <c:ptCount val="12"/>
                <c:pt idx="0">
                  <c:v>0</c:v>
                </c:pt>
                <c:pt idx="1">
                  <c:v>0.1</c:v>
                </c:pt>
                <c:pt idx="2">
                  <c:v>0.2</c:v>
                </c:pt>
                <c:pt idx="3">
                  <c:v>0.3</c:v>
                </c:pt>
                <c:pt idx="4">
                  <c:v>0.4</c:v>
                </c:pt>
                <c:pt idx="5">
                  <c:v>0.5</c:v>
                </c:pt>
                <c:pt idx="6">
                  <c:v>0.6</c:v>
                </c:pt>
                <c:pt idx="7">
                  <c:v>0.65</c:v>
                </c:pt>
                <c:pt idx="8">
                  <c:v>0.7</c:v>
                </c:pt>
                <c:pt idx="9">
                  <c:v>0.8</c:v>
                </c:pt>
                <c:pt idx="10">
                  <c:v>0.9</c:v>
                </c:pt>
                <c:pt idx="11">
                  <c:v>1</c:v>
                </c:pt>
              </c:numCache>
            </c:numRef>
          </c:yVal>
          <c:smooth val="1"/>
          <c:extLst>
            <c:ext xmlns:c16="http://schemas.microsoft.com/office/drawing/2014/chart" uri="{C3380CC4-5D6E-409C-BE32-E72D297353CC}">
              <c16:uniqueId val="{00000000-A2F3-6D45-A2C3-74F34F879390}"/>
            </c:ext>
          </c:extLst>
        </c:ser>
        <c:dLbls>
          <c:showLegendKey val="0"/>
          <c:showVal val="0"/>
          <c:showCatName val="0"/>
          <c:showSerName val="0"/>
          <c:showPercent val="0"/>
          <c:showBubbleSize val="0"/>
        </c:dLbls>
        <c:axId val="2036721256"/>
        <c:axId val="2036726408"/>
      </c:scatterChart>
      <c:valAx>
        <c:axId val="2036721256"/>
        <c:scaling>
          <c:orientation val="minMax"/>
        </c:scaling>
        <c:delete val="0"/>
        <c:axPos val="b"/>
        <c:numFmt formatCode="#,##0.00" sourceLinked="0"/>
        <c:majorTickMark val="out"/>
        <c:minorTickMark val="out"/>
        <c:tickLblPos val="nextTo"/>
        <c:crossAx val="2036726408"/>
        <c:crossesAt val="0.5"/>
        <c:crossBetween val="midCat"/>
        <c:dispUnits>
          <c:builtInUnit val="millions"/>
          <c:dispUnitsLbl/>
        </c:dispUnits>
      </c:valAx>
      <c:valAx>
        <c:axId val="2036726408"/>
        <c:scaling>
          <c:orientation val="minMax"/>
        </c:scaling>
        <c:delete val="0"/>
        <c:axPos val="l"/>
        <c:majorGridlines/>
        <c:numFmt formatCode="0%" sourceLinked="1"/>
        <c:majorTickMark val="out"/>
        <c:minorTickMark val="none"/>
        <c:tickLblPos val="nextTo"/>
        <c:crossAx val="2036721256"/>
        <c:crossesAt val="1"/>
        <c:crossBetween val="midCat"/>
      </c:valAx>
    </c:plotArea>
    <c:plotVisOnly val="1"/>
    <c:dispBlanksAs val="gap"/>
    <c:showDLblsOverMax val="0"/>
  </c:chart>
  <c:printSettings>
    <c:headerFooter/>
    <c:pageMargins b="0.75" l="0.7" r="0.7" t="0.75" header="0.3" footer="0.3"/>
    <c:pageSetup/>
  </c:printSettings>
</c:chartSpace>
</file>

<file path=xl/drawings/_rels/drawing1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146051</xdr:colOff>
      <xdr:row>0</xdr:row>
      <xdr:rowOff>169862</xdr:rowOff>
    </xdr:from>
    <xdr:to>
      <xdr:col>1</xdr:col>
      <xdr:colOff>7713663</xdr:colOff>
      <xdr:row>86</xdr:row>
      <xdr:rowOff>107156</xdr:rowOff>
    </xdr:to>
    <xdr:sp macro="" textlink="">
      <xdr:nvSpPr>
        <xdr:cNvPr id="2" name="TextBox 1">
          <a:extLst>
            <a:ext uri="{FF2B5EF4-FFF2-40B4-BE49-F238E27FC236}">
              <a16:creationId xmlns:a16="http://schemas.microsoft.com/office/drawing/2014/main" id="{00000000-0008-0000-0000-000002000000}"/>
            </a:ext>
          </a:extLst>
        </xdr:cNvPr>
        <xdr:cNvSpPr txBox="1">
          <a:spLocks noChangeArrowheads="1"/>
        </xdr:cNvSpPr>
      </xdr:nvSpPr>
      <xdr:spPr bwMode="auto">
        <a:xfrm>
          <a:off x="146051" y="169862"/>
          <a:ext cx="7781925" cy="16463169"/>
        </a:xfrm>
        <a:prstGeom prst="rect">
          <a:avLst/>
        </a:prstGeom>
        <a:solidFill>
          <a:srgbClr val="92D050"/>
        </a:solidFill>
        <a:ln w="9525">
          <a:solidFill>
            <a:srgbClr val="7D60A0"/>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General Instructions:</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This workbook is based upon principles described in FTA</a:t>
          </a:r>
          <a:r>
            <a:rPr lang="en-US" sz="1400" b="0" i="0" strike="noStrike" baseline="0">
              <a:solidFill>
                <a:srgbClr val="000000"/>
              </a:solidFill>
              <a:latin typeface="Calibri"/>
            </a:rPr>
            <a:t> </a:t>
          </a:r>
          <a:r>
            <a:rPr lang="en-US" sz="1400" b="0" i="0" strike="noStrike">
              <a:solidFill>
                <a:srgbClr val="000000"/>
              </a:solidFill>
              <a:latin typeface="+mn-lt"/>
            </a:rPr>
            <a:t>Oversight Procedure (OP) 40 - Risk and Contingency Review. A thorough understanding of the cost-risk analysis procedures and reporting requirements described therein are necessary in order</a:t>
          </a:r>
          <a:r>
            <a:rPr lang="en-US" sz="1400" b="0" i="0" strike="noStrike" baseline="0">
              <a:solidFill>
                <a:srgbClr val="000000"/>
              </a:solidFill>
              <a:latin typeface="Calibri"/>
            </a:rPr>
            <a:t> to provide context to the processes contained within this workbook. This workbook provides information necessary for the Risk Report described in the OP40. The OP40 Risk report shall include a description of the factors and judgments that have caused adjustments made in this cost-risk analysis.</a:t>
          </a:r>
          <a:endParaRPr lang="en-US" sz="1400" b="0" i="0" strike="noStrike">
            <a:solidFill>
              <a:srgbClr val="000000"/>
            </a:solidFill>
            <a:latin typeface="Calibri"/>
          </a:endParaRP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The purpose of this workbook is to establish a common basis for FTA project cost-risk assessments. This workbook may be augmented by the insertion of additional worksheets that may help clarify or create a holistic view of the resulting risk analysis. Additional</a:t>
          </a:r>
          <a:r>
            <a:rPr lang="en-US" sz="1400" b="0" i="0" strike="noStrike" baseline="0">
              <a:solidFill>
                <a:srgbClr val="000000"/>
              </a:solidFill>
              <a:latin typeface="Calibri"/>
            </a:rPr>
            <a:t> inserting worksheets may include such items as a listing of important risks that affect the risk analysis, calculations of revised Beta factors, or other calculations or considerations that are material to the assessments herein.</a:t>
          </a:r>
          <a:endParaRPr lang="en-US" sz="1400" b="0" i="0" strike="noStrike">
            <a:solidFill>
              <a:srgbClr val="000000"/>
            </a:solidFill>
            <a:latin typeface="Calibri"/>
          </a:endParaRP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The assessment is achieved in 5 steps:</a:t>
          </a:r>
        </a:p>
        <a:p>
          <a:pPr algn="l" rtl="0">
            <a:defRPr sz="1000"/>
          </a:pPr>
          <a:r>
            <a:rPr lang="en-US" sz="1400" b="0" i="0" strike="noStrike">
              <a:solidFill>
                <a:srgbClr val="000000"/>
              </a:solidFill>
              <a:latin typeface="Calibri"/>
            </a:rPr>
            <a:t>1-</a:t>
          </a:r>
          <a:r>
            <a:rPr lang="en-US" sz="1400" b="0" i="0" strike="noStrike" baseline="0">
              <a:solidFill>
                <a:srgbClr val="000000"/>
              </a:solidFill>
              <a:latin typeface="+mn-lt"/>
            </a:rPr>
            <a:t> Gather general information about the project and document understanding of the overall project conditions.</a:t>
          </a:r>
        </a:p>
        <a:p>
          <a:pPr algn="l" rtl="0">
            <a:defRPr sz="1000"/>
          </a:pPr>
          <a:r>
            <a:rPr lang="en-US" sz="1400" b="0" i="0" strike="noStrike" baseline="0">
              <a:solidFill>
                <a:srgbClr val="000000"/>
              </a:solidFill>
              <a:latin typeface="+mn-lt"/>
            </a:rPr>
            <a:t>2- Obtain Sponsor's baseline cost and risk information; document the Sponsor cost baseline from the FTA SCC Workbook, in terms of Base Year (BY) and Year of Expenditure (YOE) values.</a:t>
          </a:r>
        </a:p>
        <a:p>
          <a:pPr algn="l" rtl="0">
            <a:defRPr sz="1000"/>
          </a:pPr>
          <a:r>
            <a:rPr lang="en-US" sz="1400" b="0" i="0" strike="noStrike" baseline="0">
              <a:solidFill>
                <a:srgbClr val="000000"/>
              </a:solidFill>
              <a:latin typeface="Calibri"/>
            </a:rPr>
            <a:t>3- Determine PMOC  adjustments to the Sponsor's base costs, time-based expected costs over time, and inflation rates; establish SABCE.</a:t>
          </a:r>
        </a:p>
        <a:p>
          <a:pPr algn="l" rtl="0">
            <a:defRPr sz="1000"/>
          </a:pPr>
          <a:r>
            <a:rPr lang="en-US" sz="1400" b="0" i="0" strike="noStrike" baseline="0">
              <a:solidFill>
                <a:srgbClr val="000000"/>
              </a:solidFill>
              <a:latin typeface="+mn-lt"/>
            </a:rPr>
            <a:t>4- Account for uncertainty and project-specific risk. Establish the general level of project uncertainty based on the project's progression, and establish risk-specific uncertainty based on project-specific risks.</a:t>
          </a:r>
        </a:p>
        <a:p>
          <a:pPr algn="l" rtl="0">
            <a:defRPr sz="1000"/>
          </a:pPr>
          <a:r>
            <a:rPr lang="en-US" sz="1400" b="0" i="0" strike="noStrike" baseline="0">
              <a:solidFill>
                <a:srgbClr val="000000"/>
              </a:solidFill>
              <a:latin typeface="Calibri"/>
            </a:rPr>
            <a:t>5- Review and report on the resulting levels of project cost outcome based on the above analysis.</a:t>
          </a:r>
        </a:p>
        <a:p>
          <a:pPr algn="l" rtl="0">
            <a:defRPr sz="1000"/>
          </a:pPr>
          <a:endParaRPr lang="en-US" sz="1400" b="0" i="0"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This 5-step process is structured through sets of consecutive worksheets (workbook tabs) within this model. Instructions for completing the worksheets are provided throughout. When completed for a project, this workbook is to be saved under a unique name and should be archived as the basis for the PMOC project risk report. Completing each tab thoroughly provides for a history of the risk analysis. See color scheme of the Tabs to the right.</a:t>
          </a:r>
        </a:p>
        <a:p>
          <a:pPr algn="l" rtl="0">
            <a:defRPr sz="1000"/>
          </a:pPr>
          <a:endParaRPr lang="en-US" sz="1400" b="0" i="0" strike="noStrike" baseline="0">
            <a:solidFill>
              <a:srgbClr val="000000"/>
            </a:solidFill>
            <a:latin typeface="+mn-lt"/>
          </a:endParaRPr>
        </a:p>
        <a:p>
          <a:pPr algn="l" rtl="0">
            <a:defRPr sz="1000"/>
          </a:pPr>
          <a:r>
            <a:rPr lang="en-US" sz="1400" b="0" i="0" strike="noStrike">
              <a:solidFill>
                <a:srgbClr val="000000"/>
              </a:solidFill>
              <a:latin typeface="Calibri"/>
            </a:rPr>
            <a:t>This workbook establishes basic fundamentals regarding:</a:t>
          </a:r>
        </a:p>
        <a:p>
          <a:pPr algn="l" rtl="0">
            <a:defRPr sz="1000"/>
          </a:pPr>
          <a:r>
            <a:rPr lang="en-US" sz="1400" b="0" i="0" strike="noStrike">
              <a:solidFill>
                <a:srgbClr val="000000"/>
              </a:solidFill>
              <a:latin typeface="Calibri"/>
            </a:rPr>
            <a:t>* Inputs required</a:t>
          </a:r>
        </a:p>
        <a:p>
          <a:pPr algn="l" rtl="0">
            <a:defRPr sz="1000"/>
          </a:pPr>
          <a:r>
            <a:rPr lang="en-US" sz="1400" b="0" i="0" strike="noStrike">
              <a:solidFill>
                <a:srgbClr val="000000"/>
              </a:solidFill>
              <a:latin typeface="Calibri"/>
            </a:rPr>
            <a:t>* Basis of project risk calculations</a:t>
          </a:r>
        </a:p>
        <a:p>
          <a:pPr algn="l" rtl="0">
            <a:defRPr sz="1000"/>
          </a:pPr>
          <a:r>
            <a:rPr lang="en-US" sz="1400" b="0" i="0" strike="noStrike">
              <a:solidFill>
                <a:srgbClr val="000000"/>
              </a:solidFill>
              <a:latin typeface="Calibri"/>
            </a:rPr>
            <a:t>* Interpretation of results.</a:t>
          </a:r>
        </a:p>
        <a:p>
          <a:pPr algn="l" rtl="0">
            <a:defRPr sz="1000"/>
          </a:pPr>
          <a:r>
            <a:rPr lang="en-US" sz="1400" b="0" i="0" strike="noStrike">
              <a:solidFill>
                <a:srgbClr val="000000"/>
              </a:solidFill>
              <a:latin typeface="Calibri"/>
            </a:rPr>
            <a:t>See also detailed discussions of this process in the FTA OP 40</a:t>
          </a:r>
          <a:r>
            <a:rPr lang="en-US" sz="1400" b="0" i="0" strike="noStrike" baseline="0">
              <a:solidFill>
                <a:srgbClr val="000000"/>
              </a:solidFill>
              <a:latin typeface="Calibri"/>
            </a:rPr>
            <a:t>.  An simplified overview of the overall process of FTA cost risk calculations is included as the last tab of this workbook.</a:t>
          </a:r>
          <a:endParaRPr lang="en-US" sz="1400" b="0" i="0" strike="noStrike">
            <a:solidFill>
              <a:srgbClr val="000000"/>
            </a:solidFill>
            <a:latin typeface="Calibri"/>
          </a:endParaRP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Cells that </a:t>
          </a:r>
          <a:r>
            <a:rPr lang="en-US" sz="1400" b="0" i="0" strike="noStrike">
              <a:solidFill>
                <a:sysClr val="windowText" lastClr="000000"/>
              </a:solidFill>
              <a:latin typeface="Calibri"/>
            </a:rPr>
            <a:t>are highlighted in yellow (or very light gray if in grayscale mode) indicate</a:t>
          </a:r>
          <a:r>
            <a:rPr lang="en-US" sz="1400" b="0" i="0" strike="noStrike" baseline="0">
              <a:solidFill>
                <a:sysClr val="windowText" lastClr="000000"/>
              </a:solidFill>
              <a:latin typeface="Calibri"/>
            </a:rPr>
            <a:t> PMOC </a:t>
          </a:r>
          <a:r>
            <a:rPr lang="en-US" sz="1400" b="0" i="0" strike="noStrike">
              <a:solidFill>
                <a:srgbClr val="000000"/>
              </a:solidFill>
              <a:latin typeface="Calibri"/>
            </a:rPr>
            <a:t>input. Other cells are calculated or informational, and are protected from change (see color scheme to the right).  The cells are protected by a password.</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It is recognized that individual transit projects are unique and each project may find it necessary to customize certain sections of this workbook, or may wish to insert additional worksheets to improve clarity of the results or to document additional analyses. Nothing contained here is intended to restrict such amplification; it is the purpose here, however, to establish fundamentals within a common platform of risk assessment across all projects.</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Send</a:t>
          </a:r>
          <a:r>
            <a:rPr lang="en-US" sz="1400" b="0" i="0" strike="noStrike" baseline="0">
              <a:solidFill>
                <a:srgbClr val="000000"/>
              </a:solidFill>
              <a:latin typeface="Calibri"/>
            </a:rPr>
            <a:t> c</a:t>
          </a:r>
          <a:r>
            <a:rPr lang="en-US" sz="1400" b="0" i="0" strike="noStrike">
              <a:solidFill>
                <a:srgbClr val="000000"/>
              </a:solidFill>
              <a:latin typeface="Calibri"/>
            </a:rPr>
            <a:t>omments and suggestions for improvement are encouraged to FTA.</a:t>
          </a:r>
          <a:r>
            <a:rPr lang="en-US" sz="1400" b="0" i="0" strike="noStrike" baseline="0">
              <a:solidFill>
                <a:srgbClr val="000000"/>
              </a:solidFill>
              <a:latin typeface="Calibri"/>
            </a:rPr>
            <a:t> If any errors are found, please notify the FTA.</a:t>
          </a:r>
          <a:endParaRPr lang="en-US" sz="1400" b="0" i="0" strike="noStrike">
            <a:solidFill>
              <a:srgbClr val="000000"/>
            </a:solidFill>
            <a:latin typeface="Calibri"/>
          </a:endParaRP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Care must be taken if revising any of the enclosed worksheets to appropriately copy and paste formulas, especially when introducing additional rows of information. Substantial experience with Microsoft Excel and the fundamentals of the calculations herein is required to properly expand any worksheets, to move or copy formulas, or to introduce additional sheets and appropriately reference cells. If uncertain about the process of modification of this workbook, contact the FTA for assistance.</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A workbook developed for a particular project is a companion to the reports required by the various FTA Oversight Procedures; the reports should contain full explanations of workbook development and of any assumptions or concerns regarding establishment of workbook values, including analysis and recommendations resulting from calculations provided within the workbook. Note that the results of this risk model are based on model standards </a:t>
          </a:r>
          <a:r>
            <a:rPr lang="en-US" sz="1400" b="0" i="0" strike="noStrike" baseline="0">
              <a:solidFill>
                <a:srgbClr val="000000"/>
              </a:solidFill>
              <a:latin typeface="Calibri"/>
            </a:rPr>
            <a:t>and </a:t>
          </a:r>
          <a:r>
            <a:rPr lang="en-US" sz="1400" b="0" i="0" strike="noStrike">
              <a:solidFill>
                <a:srgbClr val="000000"/>
              </a:solidFill>
              <a:latin typeface="Calibri"/>
            </a:rPr>
            <a:t>PMOC inputs and judgments. The results herein should not be used without appropriate professional judgment to interpret or adjust the results based on factors that are not capable of being modeled here.</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If conflict is noted between this model workbook and direction provided within the Oversight Procedures (especially OP40) or if the PMOC purposefully proceeds in a manner that varies from this basic model, seek concurrence and assistance from the FTA and note assumptions and actions made in the written report.</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Instructions contained herein are intended to illustrate important elements of this workbook</a:t>
          </a:r>
          <a:r>
            <a:rPr lang="en-US" sz="1400" b="0" i="0" strike="noStrike" baseline="0">
              <a:solidFill>
                <a:srgbClr val="000000"/>
              </a:solidFill>
              <a:latin typeface="Calibri"/>
            </a:rPr>
            <a:t> model</a:t>
          </a:r>
          <a:r>
            <a:rPr lang="en-US" sz="1400" b="0" i="0" strike="noStrike">
              <a:solidFill>
                <a:srgbClr val="000000"/>
              </a:solidFill>
              <a:latin typeface="Calibri"/>
            </a:rPr>
            <a:t>, but assume a thorough working knowledge of principles of professional cost estimating and risk assessment.  Therefore, not all calculations are indicated in detail.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1586</xdr:rowOff>
    </xdr:from>
    <xdr:to>
      <xdr:col>7</xdr:col>
      <xdr:colOff>752475</xdr:colOff>
      <xdr:row>64</xdr:row>
      <xdr:rowOff>25399</xdr:rowOff>
    </xdr:to>
    <xdr:sp macro="" textlink="">
      <xdr:nvSpPr>
        <xdr:cNvPr id="2" name="TextBox 1">
          <a:extLst>
            <a:ext uri="{FF2B5EF4-FFF2-40B4-BE49-F238E27FC236}">
              <a16:creationId xmlns:a16="http://schemas.microsoft.com/office/drawing/2014/main" id="{00000000-0008-0000-0700-000002000000}"/>
            </a:ext>
          </a:extLst>
        </xdr:cNvPr>
        <xdr:cNvSpPr txBox="1">
          <a:spLocks noChangeArrowheads="1"/>
        </xdr:cNvSpPr>
      </xdr:nvSpPr>
      <xdr:spPr bwMode="auto">
        <a:xfrm>
          <a:off x="196850" y="160336"/>
          <a:ext cx="5553075" cy="10063163"/>
        </a:xfrm>
        <a:prstGeom prst="rect">
          <a:avLst/>
        </a:prstGeom>
        <a:solidFill>
          <a:srgbClr val="92D050"/>
        </a:solidFill>
        <a:ln w="25400">
          <a:solidFill>
            <a:schemeClr val="tx1"/>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Instructions for:</a:t>
          </a:r>
        </a:p>
        <a:p>
          <a:pPr algn="l" rtl="0">
            <a:defRPr sz="1000"/>
          </a:pPr>
          <a:r>
            <a:rPr lang="en-US" sz="1400" b="1" i="0" u="sng" strike="noStrike">
              <a:solidFill>
                <a:srgbClr val="000000"/>
              </a:solidFill>
              <a:latin typeface="Calibri"/>
            </a:rPr>
            <a:t>Risk Assessment Worksheets:</a:t>
          </a:r>
        </a:p>
        <a:p>
          <a:pPr algn="l" rtl="0">
            <a:defRPr sz="1000"/>
          </a:pPr>
          <a:endParaRPr lang="en-US" sz="1100" b="0" i="0" strike="noStrike">
            <a:solidFill>
              <a:srgbClr val="000000"/>
            </a:solidFill>
            <a:latin typeface="Calibri"/>
          </a:endParaRPr>
        </a:p>
        <a:p>
          <a:pPr algn="l" rtl="0">
            <a:defRPr sz="1000"/>
          </a:pPr>
          <a:r>
            <a:rPr lang="en-US" sz="1100" b="0" i="0" strike="noStrike">
              <a:solidFill>
                <a:srgbClr val="000000"/>
              </a:solidFill>
              <a:latin typeface="Calibri"/>
            </a:rPr>
            <a:t>The purpose of this section is to establish the range of risk for each of the SCC estimate line items  developed i</a:t>
          </a:r>
          <a:r>
            <a:rPr lang="en-US" sz="1100" b="0" i="0" strike="noStrike" baseline="0">
              <a:solidFill>
                <a:srgbClr val="000000"/>
              </a:solidFill>
              <a:latin typeface="Calibri"/>
            </a:rPr>
            <a:t>n </a:t>
          </a:r>
          <a:r>
            <a:rPr lang="en-US" sz="1100" b="0" i="0" strike="noStrike">
              <a:solidFill>
                <a:srgbClr val="000000"/>
              </a:solidFill>
              <a:latin typeface="Calibri"/>
            </a:rPr>
            <a:t>the previous PMOC YOE</a:t>
          </a:r>
          <a:r>
            <a:rPr lang="en-US" sz="1100" b="0" i="0" strike="noStrike" baseline="0">
              <a:solidFill>
                <a:srgbClr val="000000"/>
              </a:solidFill>
              <a:latin typeface="Calibri"/>
            </a:rPr>
            <a:t> Adjustments </a:t>
          </a:r>
          <a:r>
            <a:rPr lang="en-US" sz="1100" b="0" i="0" strike="noStrike">
              <a:solidFill>
                <a:srgbClr val="000000"/>
              </a:solidFill>
              <a:latin typeface="Calibri"/>
            </a:rPr>
            <a:t>worksheet.</a:t>
          </a:r>
        </a:p>
        <a:p>
          <a:pPr algn="l" rtl="0">
            <a:defRPr sz="1000"/>
          </a:pPr>
          <a:endParaRPr lang="en-US" sz="1100" b="0" i="0" strike="noStrike">
            <a:solidFill>
              <a:srgbClr val="000000"/>
            </a:solidFill>
            <a:latin typeface="Calibri"/>
          </a:endParaRPr>
        </a:p>
        <a:p>
          <a:pPr algn="l" rtl="0">
            <a:defRPr sz="1000"/>
          </a:pPr>
          <a:r>
            <a:rPr lang="en-US" sz="1100" b="0" i="0" strike="noStrike">
              <a:solidFill>
                <a:srgbClr val="000000"/>
              </a:solidFill>
              <a:latin typeface="Calibri"/>
            </a:rPr>
            <a:t>The concept of this risk analysis is based upon an assumption that transit projects share a common pattern of uncertainty at various stages of project completion, which must be modified by the addition</a:t>
          </a:r>
          <a:r>
            <a:rPr lang="en-US" sz="1100" b="0" i="0" strike="noStrike" baseline="0">
              <a:solidFill>
                <a:srgbClr val="000000"/>
              </a:solidFill>
              <a:latin typeface="Calibri"/>
            </a:rPr>
            <a:t> or decrease levels of risk due to project-specific circumstance or identified risk events</a:t>
          </a:r>
          <a:r>
            <a:rPr lang="en-US" sz="1100" b="0" i="0" strike="noStrike">
              <a:solidFill>
                <a:srgbClr val="000000"/>
              </a:solidFill>
              <a:latin typeface="Calibri"/>
            </a:rPr>
            <a:t>. This analysis infers this uncertainty onto current projects, based upon discovered patterns of historic transit uncertainty. This methodology--based on a suite of historic projects--is termed a top-down risk analysis. The historic pattern of risk is described by a probability density function (see</a:t>
          </a:r>
          <a:r>
            <a:rPr lang="en-US" sz="1100" b="0" i="0" strike="noStrike" baseline="0">
              <a:solidFill>
                <a:srgbClr val="000000"/>
              </a:solidFill>
              <a:latin typeface="Calibri"/>
            </a:rPr>
            <a:t> description to the right)</a:t>
          </a:r>
          <a:r>
            <a:rPr lang="en-US" sz="1100" b="0" i="0" strike="noStrike">
              <a:solidFill>
                <a:srgbClr val="000000"/>
              </a:solidFill>
              <a:latin typeface="Calibri"/>
            </a:rPr>
            <a:t> that contains several factors;</a:t>
          </a:r>
          <a:r>
            <a:rPr lang="en-US" sz="1100" b="0" i="0" strike="noStrike" baseline="0">
              <a:solidFill>
                <a:srgbClr val="000000"/>
              </a:solidFill>
              <a:latin typeface="Calibri"/>
            </a:rPr>
            <a:t> the key factor that varies is termed the Beta factor. In simple terms, the risk analyst must assign appropriate Beta factors to the project to represent this underlying uncertainty and the presence of project-specific conditions and risk.</a:t>
          </a:r>
          <a:endParaRPr lang="en-US" sz="1100" b="0" i="0" strike="noStrike">
            <a:solidFill>
              <a:srgbClr val="000000"/>
            </a:solidFill>
            <a:latin typeface="Calibri"/>
          </a:endParaRP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Direction is provided in this risk analysis section for assignment of the appropriate </a:t>
          </a:r>
          <a:r>
            <a:rPr lang="en-US" sz="1100" b="0" i="1" strike="noStrike" baseline="0">
              <a:solidFill>
                <a:srgbClr val="000000"/>
              </a:solidFill>
              <a:latin typeface="+mn-lt"/>
            </a:rPr>
            <a:t>Beta</a:t>
          </a:r>
          <a:r>
            <a:rPr lang="en-US" sz="1100" b="0" i="0" strike="noStrike" baseline="0">
              <a:solidFill>
                <a:srgbClr val="000000"/>
              </a:solidFill>
              <a:latin typeface="+mn-lt"/>
            </a:rPr>
            <a:t> factors. Further direction is also provided in OP 40 and Beta factor assignment standards are provided in the appendix section at the end of this workbook. Care should be taken to assign values appropriately; particularly in reference to the SCC 60, 70, and 80 Beta amounts, which generally differ from those in SCC 10-50.</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Four separate </a:t>
          </a:r>
          <a:r>
            <a:rPr lang="en-US" sz="1100" b="0" i="1" strike="noStrike" baseline="0">
              <a:solidFill>
                <a:srgbClr val="000000"/>
              </a:solidFill>
              <a:latin typeface="+mn-lt"/>
            </a:rPr>
            <a:t>Risk Assessment </a:t>
          </a:r>
          <a:r>
            <a:rPr lang="en-US" sz="1100" b="0" i="0" strike="noStrike" baseline="0">
              <a:solidFill>
                <a:srgbClr val="000000"/>
              </a:solidFill>
              <a:latin typeface="+mn-lt"/>
            </a:rPr>
            <a:t>worksheets are provided in order to assess the ranges of risk by Risk Profiles, determined the earlier estimate adjustments worksheets. If all four risk profiles have not been used, the </a:t>
          </a:r>
          <a:r>
            <a:rPr lang="en-US" sz="1100" b="0" i="1" strike="noStrike" baseline="0">
              <a:solidFill>
                <a:srgbClr val="000000"/>
              </a:solidFill>
              <a:latin typeface="+mn-lt"/>
            </a:rPr>
            <a:t>Risk Assessment </a:t>
          </a:r>
          <a:r>
            <a:rPr lang="en-US" sz="1100" b="0" i="0" strike="noStrike" baseline="0">
              <a:solidFill>
                <a:srgbClr val="000000"/>
              </a:solidFill>
              <a:latin typeface="+mn-lt"/>
            </a:rPr>
            <a:t>tabs for unused profiles may be hidden, to simplify this workbook.</a:t>
          </a:r>
        </a:p>
        <a:p>
          <a:pPr algn="l" rtl="0">
            <a:defRPr sz="1000"/>
          </a:pPr>
          <a:r>
            <a:rPr lang="en-US" sz="1100" b="0" i="0" strike="noStrike" baseline="0">
              <a:solidFill>
                <a:srgbClr val="000000"/>
              </a:solidFill>
              <a:latin typeface="+mn-lt"/>
            </a:rPr>
            <a:t> </a:t>
          </a:r>
        </a:p>
        <a:p>
          <a:pPr algn="l" rtl="0">
            <a:defRPr sz="1000"/>
          </a:pPr>
          <a:r>
            <a:rPr lang="en-US" sz="1100" b="0" i="0" strike="noStrike" baseline="0">
              <a:solidFill>
                <a:srgbClr val="000000"/>
              </a:solidFill>
              <a:latin typeface="+mn-lt"/>
            </a:rPr>
            <a:t>The key steps for this section are:</a:t>
          </a:r>
        </a:p>
        <a:p>
          <a:pPr algn="l" rtl="0">
            <a:defRPr sz="1000"/>
          </a:pPr>
          <a:r>
            <a:rPr lang="en-US" sz="1100" b="1" i="0" strike="noStrike" baseline="0">
              <a:solidFill>
                <a:srgbClr val="000000"/>
              </a:solidFill>
              <a:latin typeface="+mn-lt"/>
            </a:rPr>
            <a:t>* Set the cost basis:</a:t>
          </a:r>
        </a:p>
        <a:p>
          <a:pPr algn="l" rtl="0">
            <a:defRPr sz="1000"/>
          </a:pPr>
          <a:r>
            <a:rPr lang="en-US" sz="1100" b="0" i="0" strike="noStrike" baseline="0">
              <a:solidFill>
                <a:srgbClr val="000000"/>
              </a:solidFill>
              <a:latin typeface="+mn-lt"/>
            </a:rPr>
            <a:t>--Ensure Lower Bound values (from the PMOC YOE Adjustments tab) have been properly transferred from the </a:t>
          </a:r>
          <a:r>
            <a:rPr lang="en-US" sz="1100" b="0" i="1" strike="noStrike" baseline="0">
              <a:solidFill>
                <a:srgbClr val="000000"/>
              </a:solidFill>
              <a:latin typeface="+mn-lt"/>
            </a:rPr>
            <a:t>PMOC Adjusted Estimate </a:t>
          </a:r>
          <a:r>
            <a:rPr lang="en-US" sz="1100" b="0" i="0" strike="noStrike" baseline="0">
              <a:solidFill>
                <a:srgbClr val="000000"/>
              </a:solidFill>
              <a:latin typeface="+mn-lt"/>
            </a:rPr>
            <a:t>tab to the </a:t>
          </a:r>
          <a:r>
            <a:rPr lang="en-US" sz="1100" b="0" i="1" strike="noStrike" baseline="0">
              <a:solidFill>
                <a:srgbClr val="000000"/>
              </a:solidFill>
              <a:latin typeface="+mn-lt"/>
            </a:rPr>
            <a:t>Risk Assessment </a:t>
          </a:r>
          <a:r>
            <a:rPr lang="en-US" sz="1100" b="0" i="0" strike="noStrike" baseline="0">
              <a:solidFill>
                <a:srgbClr val="000000"/>
              </a:solidFill>
              <a:latin typeface="+mn-lt"/>
            </a:rPr>
            <a:t>tabs.</a:t>
          </a:r>
        </a:p>
        <a:p>
          <a:pPr algn="l" rtl="0">
            <a:defRPr sz="1000"/>
          </a:pPr>
          <a:r>
            <a:rPr lang="en-US" sz="1100" b="1" i="0" strike="noStrike" baseline="0">
              <a:solidFill>
                <a:srgbClr val="000000"/>
              </a:solidFill>
              <a:latin typeface="+mn-lt"/>
            </a:rPr>
            <a:t>* Establish base uncertainty level</a:t>
          </a:r>
        </a:p>
        <a:p>
          <a:pPr algn="l" rtl="0">
            <a:defRPr sz="1000"/>
          </a:pPr>
          <a:r>
            <a:rPr lang="en-US" sz="1100" b="0" i="0" strike="noStrike" baseline="0">
              <a:solidFill>
                <a:srgbClr val="000000"/>
              </a:solidFill>
              <a:latin typeface="+mn-lt"/>
            </a:rPr>
            <a:t>--Account for general project uncertainty by populating the Beta factor fields for each SCC line item from standards in the workbook. Refer to the </a:t>
          </a:r>
          <a:r>
            <a:rPr lang="en-US" sz="1100" b="0" i="1" strike="noStrike" baseline="0">
              <a:solidFill>
                <a:srgbClr val="000000"/>
              </a:solidFill>
              <a:latin typeface="+mn-lt"/>
            </a:rPr>
            <a:t>Beta Selections Instruction</a:t>
          </a:r>
          <a:r>
            <a:rPr lang="en-US" sz="1100" b="0" i="0" strike="noStrike" baseline="0">
              <a:solidFill>
                <a:srgbClr val="000000"/>
              </a:solidFill>
              <a:latin typeface="+mn-lt"/>
            </a:rPr>
            <a:t> tab for a discussion of establishing these standard values for all SCCs by risk profile in this workbook.</a:t>
          </a:r>
        </a:p>
        <a:p>
          <a:pPr algn="l" rtl="0">
            <a:defRPr sz="1000"/>
          </a:pPr>
          <a:r>
            <a:rPr lang="en-US" sz="1100" b="1" i="0" strike="noStrike" baseline="0">
              <a:solidFill>
                <a:srgbClr val="000000"/>
              </a:solidFill>
              <a:latin typeface="+mn-lt"/>
            </a:rPr>
            <a:t>* Account for project-specific conditions and risks</a:t>
          </a:r>
        </a:p>
        <a:p>
          <a:pPr algn="l" rtl="0">
            <a:defRPr sz="1000"/>
          </a:pPr>
          <a:r>
            <a:rPr lang="en-US" sz="1100" b="0" i="0" strike="noStrike" baseline="0">
              <a:solidFill>
                <a:srgbClr val="000000"/>
              </a:solidFill>
              <a:latin typeface="+mn-lt"/>
            </a:rPr>
            <a:t>--Adjust for project-specific conditions and specific risks by assessing and adjusting the uncertainty Beta factor values for each SCC  line item and risk type. Refer to the </a:t>
          </a:r>
          <a:r>
            <a:rPr lang="en-US" sz="1100" b="0" i="1" strike="noStrike" baseline="0">
              <a:solidFill>
                <a:srgbClr val="000000"/>
              </a:solidFill>
              <a:latin typeface="+mn-lt"/>
            </a:rPr>
            <a:t>Project-specific Beta Instruction </a:t>
          </a:r>
          <a:r>
            <a:rPr lang="en-US" sz="1100" b="0" i="0" strike="noStrike" baseline="0">
              <a:solidFill>
                <a:srgbClr val="000000"/>
              </a:solidFill>
              <a:latin typeface="+mn-lt"/>
            </a:rPr>
            <a:t>tab for a discussion of establishing these values for all SCCs by risk type in this workbook.</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0" i="0" strike="noStrike" baseline="0">
              <a:solidFill>
                <a:srgbClr val="000000"/>
              </a:solidFill>
              <a:latin typeface="+mn-lt"/>
            </a:rPr>
            <a:t>--Assess and input project-specific SCC 10-50 global adjustments for each risk category of Requirements, Design, Market, and Construction, based on project-specific conditions and specific risks. Refer to the </a:t>
          </a:r>
          <a:r>
            <a:rPr lang="en-US" sz="1100" b="0" i="1" strike="noStrike" baseline="0">
              <a:solidFill>
                <a:srgbClr val="000000"/>
              </a:solidFill>
              <a:latin typeface="+mn-lt"/>
            </a:rPr>
            <a:t>Project-specific Beta Instruction </a:t>
          </a:r>
          <a:r>
            <a:rPr lang="en-US" sz="1100" b="0" i="0" strike="noStrike" baseline="0">
              <a:solidFill>
                <a:srgbClr val="000000"/>
              </a:solidFill>
              <a:latin typeface="+mn-lt"/>
            </a:rPr>
            <a:t>tab for a discussion of making these adjustments.</a:t>
          </a:r>
        </a:p>
        <a:p>
          <a:pPr algn="l" rtl="0">
            <a:defRPr sz="1000"/>
          </a:pPr>
          <a:r>
            <a:rPr lang="en-US" sz="1100" b="1" i="0" strike="noStrike" baseline="0">
              <a:solidFill>
                <a:srgbClr val="000000"/>
              </a:solidFill>
              <a:latin typeface="+mn-lt"/>
            </a:rPr>
            <a:t>* Repeat the process for each risk profile (if multiple risk profiles).</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These risk adjustments by risk profile are consolidated in the project-level </a:t>
          </a:r>
          <a:r>
            <a:rPr lang="en-US" sz="1100" b="0" i="1" strike="noStrike" baseline="0">
              <a:solidFill>
                <a:srgbClr val="000000"/>
              </a:solidFill>
              <a:latin typeface="+mn-lt"/>
            </a:rPr>
            <a:t>Risk Assessment Total </a:t>
          </a:r>
          <a:r>
            <a:rPr lang="en-US" sz="1100" b="0" i="0" strike="noStrike" baseline="0">
              <a:solidFill>
                <a:srgbClr val="000000"/>
              </a:solidFill>
              <a:latin typeface="+mn-lt"/>
            </a:rPr>
            <a:t>tab.</a:t>
          </a:r>
        </a:p>
        <a:p>
          <a:pPr algn="l" rtl="0">
            <a:defRPr sz="1000"/>
          </a:pPr>
          <a:endParaRPr lang="en-US" sz="1100" b="0" i="0" strike="noStrike" baseline="0">
            <a:solidFill>
              <a:srgbClr val="000000"/>
            </a:solidFill>
            <a:latin typeface="+mn-lt"/>
          </a:endParaRPr>
        </a:p>
        <a:p>
          <a:r>
            <a:rPr lang="en-US" sz="1100"/>
            <a:t>The tabs in the appendix worksheets section at the end of this workbook</a:t>
          </a:r>
          <a:r>
            <a:rPr lang="en-US" sz="1100" baseline="0"/>
            <a:t> provide data for use in the risk assessment portions of the model. Three sets of tabs are included:</a:t>
          </a:r>
        </a:p>
        <a:p>
          <a:r>
            <a:rPr lang="en-US" sz="1100" baseline="0"/>
            <a:t>* Design-Bid-Build Beta standard for SCC 10-80,</a:t>
          </a:r>
        </a:p>
        <a:p>
          <a:r>
            <a:rPr lang="en-US" sz="1100" baseline="0"/>
            <a:t>* Project-specific risk event partial Beta calculations, and</a:t>
          </a:r>
        </a:p>
        <a:p>
          <a:r>
            <a:rPr lang="en-US" sz="1100" baseline="0"/>
            <a:t>* Separate tabs for customized SCC 10-50, SCC 60-70, and SCC 80 Beta calculations.</a:t>
          </a:r>
        </a:p>
        <a:p>
          <a:r>
            <a:rPr lang="en-US" sz="1100" baseline="0"/>
            <a:t>The use of these tabs are described in the </a:t>
          </a:r>
          <a:r>
            <a:rPr lang="en-US" sz="1100" i="1" baseline="0"/>
            <a:t>Base Uncertainty </a:t>
          </a:r>
          <a:r>
            <a:rPr lang="en-US" sz="1100" baseline="0"/>
            <a:t>and </a:t>
          </a:r>
          <a:r>
            <a:rPr lang="en-US" sz="1100" i="1" baseline="0"/>
            <a:t>Project-specific Risk </a:t>
          </a:r>
          <a:r>
            <a:rPr lang="en-US" sz="1100" baseline="0"/>
            <a:t>instructions that follow.</a:t>
          </a:r>
        </a:p>
        <a:p>
          <a:pPr algn="l" rtl="0">
            <a:defRPr sz="1000"/>
          </a:pPr>
          <a:endParaRPr lang="en-US" sz="1100" b="0" i="0" strike="noStrike" baseline="0">
            <a:solidFill>
              <a:srgbClr val="000000"/>
            </a:solidFill>
            <a:latin typeface="+mn-lt"/>
          </a:endParaRPr>
        </a:p>
        <a:p>
          <a:pPr algn="l" rtl="0">
            <a:defRPr sz="1000"/>
          </a:pPr>
          <a:endParaRPr lang="en-US" sz="1100" b="0" i="0" strike="noStrike" baseline="0">
            <a:solidFill>
              <a:srgbClr val="000000"/>
            </a:solidFill>
            <a:latin typeface="+mn-lt"/>
          </a:endParaRPr>
        </a:p>
      </xdr:txBody>
    </xdr:sp>
    <xdr:clientData/>
  </xdr:twoCellAnchor>
  <xdr:twoCellAnchor>
    <xdr:from>
      <xdr:col>8</xdr:col>
      <xdr:colOff>0</xdr:colOff>
      <xdr:row>1</xdr:row>
      <xdr:rowOff>12700</xdr:rowOff>
    </xdr:from>
    <xdr:to>
      <xdr:col>12</xdr:col>
      <xdr:colOff>752475</xdr:colOff>
      <xdr:row>22</xdr:row>
      <xdr:rowOff>88900</xdr:rowOff>
    </xdr:to>
    <xdr:sp macro="" textlink="">
      <xdr:nvSpPr>
        <xdr:cNvPr id="3" name="TextBox 2">
          <a:extLst>
            <a:ext uri="{FF2B5EF4-FFF2-40B4-BE49-F238E27FC236}">
              <a16:creationId xmlns:a16="http://schemas.microsoft.com/office/drawing/2014/main" id="{7C083D80-ECDA-0644-AED3-191D4C2EC722}"/>
            </a:ext>
          </a:extLst>
        </xdr:cNvPr>
        <xdr:cNvSpPr txBox="1"/>
      </xdr:nvSpPr>
      <xdr:spPr>
        <a:xfrm>
          <a:off x="5524500" y="174625"/>
          <a:ext cx="3800475" cy="3476625"/>
        </a:xfrm>
        <a:prstGeom prst="rect">
          <a:avLst/>
        </a:prstGeom>
        <a:solidFill>
          <a:srgbClr val="92D05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The Beta</a:t>
          </a:r>
          <a:r>
            <a:rPr lang="en-US" sz="1100" b="1" u="sng" baseline="0"/>
            <a:t> Distribution</a:t>
          </a:r>
        </a:p>
        <a:p>
          <a:r>
            <a:rPr lang="en-US" sz="1100" b="0" u="none" baseline="0"/>
            <a:t>The Probability Density Function used in the FTA risk model is based on the generalized Beta Distribution. This distribution is described in the online NIST Engineering Statistics Handbook (link below) and elsewhere.</a:t>
          </a:r>
        </a:p>
        <a:p>
          <a:endParaRPr lang="en-US" sz="1100" b="0" u="none" baseline="0"/>
        </a:p>
        <a:p>
          <a:r>
            <a:rPr lang="en-US" sz="1100" b="0" u="none" baseline="0"/>
            <a:t>There are four parameters involved, the Lower Bound and Upper Bound and two shape parameters, </a:t>
          </a:r>
          <a:r>
            <a:rPr lang="en-US" sz="1100" b="0" i="1" u="none" baseline="0"/>
            <a:t>a</a:t>
          </a:r>
          <a:r>
            <a:rPr lang="en-US" sz="1100" b="0" u="none" baseline="0"/>
            <a:t> &amp; </a:t>
          </a:r>
          <a:r>
            <a:rPr lang="en-US" sz="1100" b="0" i="1" u="none" baseline="0"/>
            <a:t>b.</a:t>
          </a:r>
        </a:p>
        <a:p>
          <a:endParaRPr lang="en-US" sz="1100" b="0" u="none" baseline="0"/>
        </a:p>
        <a:p>
          <a:r>
            <a:rPr lang="en-US" sz="1100" b="0" u="none"/>
            <a:t>The width of the curve is defined by the lower and upper bound</a:t>
          </a:r>
          <a:r>
            <a:rPr lang="en-US" sz="1100" b="0" u="none" baseline="0"/>
            <a:t> values:</a:t>
          </a:r>
        </a:p>
        <a:p>
          <a:r>
            <a:rPr lang="en-US" sz="1100" b="0" u="none" baseline="0"/>
            <a:t>--Lower Bound = Sponsor estimate, stripped of contingencies and amended by PMOC adjustments, and</a:t>
          </a:r>
        </a:p>
        <a:p>
          <a:r>
            <a:rPr lang="en-US" sz="1100" b="0" u="none" baseline="0"/>
            <a:t>--Upper Bound = Lower Bound * Beta value.</a:t>
          </a:r>
        </a:p>
        <a:p>
          <a:endParaRPr lang="en-US" sz="1100" b="0" u="none" baseline="0"/>
        </a:p>
        <a:p>
          <a:r>
            <a:rPr lang="en-US" sz="1100" b="0" u="none" baseline="0"/>
            <a:t>The shape of the curve is defined by two shape parameters, </a:t>
          </a:r>
          <a:r>
            <a:rPr lang="en-US" sz="1100" b="0" i="1" u="none" baseline="0"/>
            <a:t>a</a:t>
          </a:r>
          <a:r>
            <a:rPr lang="en-US" sz="1100" b="0" u="none" baseline="0"/>
            <a:t> &amp; </a:t>
          </a:r>
          <a:r>
            <a:rPr lang="en-US" sz="1100" b="0" i="1" u="none" baseline="0"/>
            <a:t>b</a:t>
          </a:r>
          <a:r>
            <a:rPr lang="en-US" sz="1100" b="0" u="none" baseline="0"/>
            <a:t>.  These shape parameters have been established to mimic the historic distribution of risk on FTA transit projects.  The values of these parameters are indicated below.</a:t>
          </a:r>
          <a:endParaRPr lang="en-US" sz="1100" b="0" u="none"/>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53041</xdr:colOff>
      <xdr:row>0</xdr:row>
      <xdr:rowOff>73211</xdr:rowOff>
    </xdr:from>
    <xdr:ext cx="6985000" cy="13218812"/>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53041" y="73211"/>
          <a:ext cx="6985000" cy="13218812"/>
        </a:xfrm>
        <a:prstGeom prst="rect">
          <a:avLst/>
        </a:prstGeom>
        <a:solidFill>
          <a:srgbClr val="92D05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t>Instructions for Establishing Base Uncertainty:</a:t>
          </a:r>
        </a:p>
        <a:p>
          <a:r>
            <a:rPr lang="en-US" sz="1100" i="1"/>
            <a:t>Note:</a:t>
          </a:r>
          <a:r>
            <a:rPr lang="en-US" sz="1100" i="1" baseline="0"/>
            <a:t> Establishing total risk is a two-step process: 1) Determing a base level of historic uncertainty for a "typical" similar project, and 2) Determing adjustments to that base, evaluated using consideration of a projects risk increase or decrease as understood through evaluation of the project specifics.</a:t>
          </a:r>
        </a:p>
        <a:p>
          <a:r>
            <a:rPr lang="en-US" sz="1100" i="1" baseline="0"/>
            <a:t>The next worksheet contains instructions regarding establishing Beta factors for project-specific risk.</a:t>
          </a:r>
        </a:p>
        <a:p>
          <a:endParaRPr lang="en-US" sz="1100"/>
        </a:p>
        <a:p>
          <a:r>
            <a:rPr lang="en-US" sz="1100"/>
            <a:t>The appendix section at the end of this workbook contains worksheet tables and calculators that are used in the process of establishing the project's base uncertainty:</a:t>
          </a:r>
        </a:p>
        <a:p>
          <a:r>
            <a:rPr lang="en-US" sz="1100" baseline="0"/>
            <a:t>* </a:t>
          </a:r>
          <a:r>
            <a:rPr lang="en-US" sz="1100" i="1" baseline="0"/>
            <a:t>DBB CMGC Beta Uncertainty Standards</a:t>
          </a:r>
          <a:r>
            <a:rPr lang="en-US" sz="1100" baseline="0"/>
            <a:t> for SCC 10-80, and</a:t>
          </a:r>
        </a:p>
        <a:p>
          <a:r>
            <a:rPr lang="en-US" sz="1100" baseline="0"/>
            <a:t>* Separate tabs for customized </a:t>
          </a:r>
          <a:r>
            <a:rPr lang="en-US" sz="1100" i="1" baseline="0"/>
            <a:t>SCC 10-50, SCC 60-70, and SCC 80 Beta Calculations</a:t>
          </a:r>
          <a:r>
            <a:rPr lang="en-US" sz="1100" baseline="0"/>
            <a:t>.</a:t>
          </a:r>
        </a:p>
        <a:p>
          <a:endParaRPr lang="en-US" sz="1100" baseline="0"/>
        </a:p>
        <a:p>
          <a:r>
            <a:rPr lang="en-US" sz="1100" u="sng" baseline="0"/>
            <a:t>Beta  choices in the appendices:</a:t>
          </a:r>
        </a:p>
        <a:p>
          <a:r>
            <a:rPr lang="en-US" sz="1100"/>
            <a:t>Beta drawdown tables, graphs, and calculation models are provided for</a:t>
          </a:r>
          <a:r>
            <a:rPr lang="en-US" sz="1100" baseline="0"/>
            <a:t> assistance in evaluating a Total Beta value for a variety of SCC prime- and sub-categories.</a:t>
          </a:r>
        </a:p>
        <a:p>
          <a:r>
            <a:rPr lang="en-US" sz="1100" baseline="0"/>
            <a:t>Total Beta is the sum of partial Beta values for types of project risk (for SCC 10-50, those types are: Requirements, Design, Market, Construction and Post-construction).  The Beta tables, graphs, and calculation models provide a means to establish the partial Beta values for a particular SCC at a particular phase of development.  The Beta values are based on historic records of cost uncertainty on projects.</a:t>
          </a:r>
        </a:p>
        <a:p>
          <a:r>
            <a:rPr lang="en-US" sz="1100" baseline="0"/>
            <a:t>Beta value determinations are made in four general categories of project scope, with related historic levels of uncertainty:</a:t>
          </a:r>
        </a:p>
        <a:p>
          <a:r>
            <a:rPr lang="en-US" sz="1100" baseline="0"/>
            <a:t>* Civil and Systems (SCC 10-50),</a:t>
          </a:r>
        </a:p>
        <a:p>
          <a:r>
            <a:rPr lang="en-US" sz="1100" baseline="0"/>
            <a:t>* Real Estate (SCC 60),</a:t>
          </a:r>
        </a:p>
        <a:p>
          <a:r>
            <a:rPr lang="en-US" sz="1100" baseline="0"/>
            <a:t>* Vehicles (SCC70), and</a:t>
          </a:r>
        </a:p>
        <a:p>
          <a:r>
            <a:rPr lang="en-US" sz="1100" baseline="0"/>
            <a:t>* Professional Services (SCC 80).</a:t>
          </a:r>
        </a:p>
        <a:p>
          <a:endParaRPr lang="en-US" sz="1100" baseline="0"/>
        </a:p>
        <a:p>
          <a:r>
            <a:rPr lang="en-US" sz="1100" baseline="0"/>
            <a:t>It is intended that the initial assignment of Beta values establishes the general level of uncertainty for a particular project for a category of scope, as outlined above.  The OP40 guidance provides additional detailed information regarding the application of Beta values for the various scope categories and for situations of differing project delivery methods and for large "mega" projects.</a:t>
          </a:r>
        </a:p>
        <a:p>
          <a:endParaRPr lang="en-US" sz="1100" baseline="0"/>
        </a:p>
        <a:p>
          <a:r>
            <a:rPr lang="en-US" sz="1100" baseline="0"/>
            <a:t>For projects that occur in multiple risk profiles (distinct phases, or segments, etc.), these Beta value assignments should thoughtfully occur independently for each risk profile.</a:t>
          </a:r>
        </a:p>
        <a:p>
          <a:endParaRPr lang="en-US" sz="1100" u="sng" baseline="0"/>
        </a:p>
        <a:p>
          <a:r>
            <a:rPr lang="en-US" sz="1100" i="1" u="sng" baseline="0"/>
            <a:t>DBB CMGC Beta Standards </a:t>
          </a:r>
          <a:r>
            <a:rPr lang="en-US" sz="1100" i="0" u="sng" baseline="0"/>
            <a:t>worksheet</a:t>
          </a:r>
          <a:r>
            <a:rPr lang="en-US" sz="1100" u="sng" baseline="0"/>
            <a:t>:</a:t>
          </a:r>
        </a:p>
        <a:p>
          <a:r>
            <a:rPr lang="en-US" sz="1100"/>
            <a:t>Design-Bid-Build (DBB) projects are often</a:t>
          </a:r>
          <a:r>
            <a:rPr lang="en-US" sz="1100" baseline="0"/>
            <a:t> similar to Construction Manager-General Contractor (CMGC) projects, in that the project design is separately, fully developed by an independent designer and the construction pricing is based on these fully designed documents.  For discussion of potential differences between the two forms of project delivery, see OP40.  The </a:t>
          </a:r>
          <a:r>
            <a:rPr lang="en-US" sz="1100" i="1" baseline="0"/>
            <a:t>DBB CMGC Beta Standards </a:t>
          </a:r>
          <a:r>
            <a:rPr lang="en-US" sz="1100" i="0" baseline="0"/>
            <a:t>worksheet</a:t>
          </a:r>
          <a:r>
            <a:rPr lang="en-US" sz="1100" baseline="0"/>
            <a:t> provides a starting point for evaluation of projects of these delivery types.  </a:t>
          </a:r>
          <a:r>
            <a:rPr lang="en-US" sz="1100"/>
            <a:t>A table is provided that indicates which Beta values to apply for each scope category </a:t>
          </a:r>
          <a:r>
            <a:rPr lang="en-US" sz="1100" baseline="0"/>
            <a:t>at several key phases of project development.  The Beta values represent uncertainty that is retained by the Sponsor at the various stages of project development.  The table presumes a standard level of progression for SCCs 60-80 in concert with the design, market, or construction progression of the SCC 10-50 elements.</a:t>
          </a:r>
        </a:p>
        <a:p>
          <a:endParaRPr lang="en-US" sz="1100" baseline="0"/>
        </a:p>
        <a:p>
          <a:r>
            <a:rPr lang="en-US" sz="1100" baseline="0"/>
            <a:t>These Beta values are valid starting points, based on historical values for DBB and CMGC projects.  They are also potential starting points for other project types, such as Design-build (and similar) when the project is in its earliest phases, before finalizing a contract with the Design-Builder.  As indicated in the OP40 guidance, these values are to be amended appropriately based upon a reasonable evaluation of the specific project's conditions and risks.</a:t>
          </a:r>
        </a:p>
        <a:p>
          <a:endParaRPr lang="en-US" sz="1100" baseline="0"/>
        </a:p>
        <a:p>
          <a:r>
            <a:rPr lang="en-US" sz="1100" baseline="0"/>
            <a:t>Once the appropriate levels of partial Betas is determined, the risk analyst should transfer the values to the appropriate </a:t>
          </a:r>
          <a:r>
            <a:rPr lang="en-US" sz="1100" i="1" baseline="0"/>
            <a:t>Risk Assessment </a:t>
          </a:r>
          <a:r>
            <a:rPr lang="en-US" sz="1100" baseline="0"/>
            <a:t>tab, repeating for each risk profile used.</a:t>
          </a:r>
        </a:p>
        <a:p>
          <a:endParaRPr lang="en-US" sz="1100" baseline="0"/>
        </a:p>
        <a:p>
          <a:r>
            <a:rPr lang="en-US" sz="1100" baseline="0"/>
            <a:t>This step is followed by amending these uncertainty levels base on project-specific risks and conditions.  The following </a:t>
          </a:r>
          <a:r>
            <a:rPr lang="en-US" sz="1100" i="1" baseline="0"/>
            <a:t>Project-specific Risk Instructions </a:t>
          </a:r>
          <a:r>
            <a:rPr lang="en-US" sz="1100" baseline="0"/>
            <a:t>tab provides guidance for this step.</a:t>
          </a:r>
        </a:p>
        <a:p>
          <a:endParaRPr lang="en-US" sz="1100" baseline="0"/>
        </a:p>
        <a:p>
          <a:r>
            <a:rPr lang="en-US" sz="1100" i="1" u="sng" baseline="0"/>
            <a:t>SCC 10-50, SCC 60-70, and SCC 80 Beta</a:t>
          </a:r>
          <a:r>
            <a:rPr lang="en-US" sz="1100" i="0" u="sng" baseline="0"/>
            <a:t> worksheets:</a:t>
          </a:r>
        </a:p>
        <a:p>
          <a:r>
            <a:rPr lang="en-US" sz="1100" baseline="0"/>
            <a:t>While the </a:t>
          </a:r>
          <a:r>
            <a:rPr lang="en-US" sz="1100" i="1" baseline="0"/>
            <a:t>DBB CMGC Beta Standards </a:t>
          </a:r>
          <a:r>
            <a:rPr lang="en-US" sz="1100" baseline="0"/>
            <a:t>tab provides a starting point for many projects, some projects may exist in multiple risk profiles with sequencing that does not follow a "typical" pattern of design-bid-build progression, or which may progress real estate or vehicles acquisition, or professional services progressions that do not follow the pattern indicated in the </a:t>
          </a:r>
          <a:r>
            <a:rPr lang="en-US" sz="1100" i="1" baseline="0"/>
            <a:t>DBB CMGC Beta Standards </a:t>
          </a:r>
          <a:r>
            <a:rPr lang="en-US" sz="1100" baseline="0"/>
            <a:t>tab tables.</a:t>
          </a:r>
        </a:p>
        <a:p>
          <a:endParaRPr lang="en-US" sz="1100" baseline="0"/>
        </a:p>
        <a:p>
          <a:r>
            <a:rPr lang="en-US" sz="1100" baseline="0"/>
            <a:t>In this case, the </a:t>
          </a:r>
          <a:r>
            <a:rPr lang="en-US" sz="1100" i="1" baseline="0"/>
            <a:t>SCC 10-50, SCC 60-70, and SCC 80 Beta </a:t>
          </a:r>
          <a:r>
            <a:rPr lang="en-US" sz="1100" i="0" baseline="0"/>
            <a:t>worksheets are provided that allow for customization of the uncertainty partial Betas by progression of the various SCC 10-50, SCC 60-70, and SCC 80 segments of the project.  These  evaluations are made by indicating levels of progression for each of these SCC segments in the appropriate tab, and then transferring the partial Betas to the Risk Assessment tabs for the risk profile under evaluation.</a:t>
          </a:r>
        </a:p>
        <a:p>
          <a:endParaRPr lang="en-US" sz="1100" i="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t>It is worthy of note that a combination of using results from t</a:t>
          </a:r>
          <a:r>
            <a:rPr lang="en-US" sz="1100" i="0" u="none" baseline="0"/>
            <a:t>he </a:t>
          </a:r>
          <a:r>
            <a:rPr lang="en-US" sz="1100" i="1" u="none" baseline="0"/>
            <a:t>DBB CMGC Beta Standards </a:t>
          </a:r>
          <a:r>
            <a:rPr lang="en-US" sz="1100" i="0" u="none" baseline="0"/>
            <a:t>worksheet and the </a:t>
          </a:r>
          <a:r>
            <a:rPr lang="en-US" sz="1100" i="1" u="none" baseline="0"/>
            <a:t>SCC 10-50, SCC 60-70, and SCC 80 Beta</a:t>
          </a:r>
          <a:r>
            <a:rPr lang="en-US" sz="1100" i="0" u="none" baseline="0"/>
            <a:t> worksheets may be appropriate.  For example, the SCC 10-50, SCC 60, and SCC 80 Betas and may be chosen from the </a:t>
          </a:r>
          <a:r>
            <a:rPr lang="en-US" sz="1100" i="1" u="none" baseline="0"/>
            <a:t>DBB CMGC Beta Standards </a:t>
          </a:r>
          <a:r>
            <a:rPr lang="en-US" sz="1100" i="0" u="none" baseline="0"/>
            <a:t>tab, while the SCC 70 Betas may be uniquely chosen from the SCC 60-70 Beta Calculations tab, if it is determined that the Vehicle segment does not follow a "typical" pattern related to the progression of the rest of the work.</a:t>
          </a:r>
        </a:p>
        <a:p>
          <a:endParaRPr lang="en-US" sz="1100" i="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Once the appropriate levels of partial Betas is determined, the risk analyst should transfer the values to the appropriate </a:t>
          </a:r>
          <a:r>
            <a:rPr lang="en-US" sz="1100" i="1" baseline="0"/>
            <a:t>Risk Assessment </a:t>
          </a:r>
          <a:r>
            <a:rPr lang="en-US" sz="1100" baseline="0"/>
            <a:t>tab, repeating for each risk profile used.</a:t>
          </a:r>
        </a:p>
        <a:p>
          <a:endParaRPr lang="en-US" sz="1100" baseline="0"/>
        </a:p>
        <a:p>
          <a:r>
            <a:rPr lang="en-US" sz="1100" baseline="0"/>
            <a:t>This step is followed by amending these uncertainty levels base on project-specific risks and conditions.  The following </a:t>
          </a:r>
          <a:r>
            <a:rPr lang="en-US" sz="1100" i="1" baseline="0"/>
            <a:t>Project-specific Risk Instructions </a:t>
          </a:r>
          <a:r>
            <a:rPr lang="en-US" sz="1100" i="0" baseline="0"/>
            <a:t>worksheet</a:t>
          </a:r>
          <a:r>
            <a:rPr lang="en-US" sz="1100" baseline="0"/>
            <a:t> provides guidance for this step.</a:t>
          </a:r>
        </a:p>
      </xdr:txBody>
    </xdr:sp>
    <xdr:clientData/>
  </xdr:oneCellAnchor>
  <xdr:oneCellAnchor>
    <xdr:from>
      <xdr:col>10</xdr:col>
      <xdr:colOff>400425</xdr:colOff>
      <xdr:row>0</xdr:row>
      <xdr:rowOff>76390</xdr:rowOff>
    </xdr:from>
    <xdr:ext cx="6985000" cy="8239122"/>
    <xdr:sp macro="" textlink="">
      <xdr:nvSpPr>
        <xdr:cNvPr id="4" name="TextBox 3">
          <a:extLst>
            <a:ext uri="{FF2B5EF4-FFF2-40B4-BE49-F238E27FC236}">
              <a16:creationId xmlns:a16="http://schemas.microsoft.com/office/drawing/2014/main" id="{94FAE8F8-BE9E-774D-983C-BEE4F19678CE}"/>
            </a:ext>
          </a:extLst>
        </xdr:cNvPr>
        <xdr:cNvSpPr txBox="1"/>
      </xdr:nvSpPr>
      <xdr:spPr>
        <a:xfrm>
          <a:off x="7101543" y="76390"/>
          <a:ext cx="6985000" cy="8239122"/>
        </a:xfrm>
        <a:prstGeom prst="rect">
          <a:avLst/>
        </a:prstGeom>
        <a:solidFill>
          <a:srgbClr val="92D05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baseline="0"/>
            <a:t>Applying Beta values for non-DBB projects</a:t>
          </a:r>
          <a:r>
            <a:rPr lang="en-US" sz="1100" b="0" baseline="0"/>
            <a:t>--Non-DBB/CMGC projects  such as Design-Build (DB), Public Private Partnerships (PPPs), etc. require adjustment from the standards provided in the </a:t>
          </a:r>
          <a:r>
            <a:rPr lang="en-US" sz="1100" b="0" i="1" baseline="0"/>
            <a:t>Beta DBB CMGC Standards </a:t>
          </a:r>
          <a:r>
            <a:rPr lang="en-US" sz="1100" b="0" baseline="0"/>
            <a:t>tab.  Identified historic patterns of Beta values are not currently available, so each evaluator must judge the appropriate adjustment.  OP40 provides guidance on considerations for the various project delivery methods.</a:t>
          </a:r>
        </a:p>
        <a:p>
          <a:endParaRPr lang="en-US" sz="1100" b="0" baseline="0"/>
        </a:p>
        <a:p>
          <a:r>
            <a:rPr lang="en-US" sz="1100" b="0" baseline="0"/>
            <a:t>The following worksheets are provided for detailed consideration of risk in non-standard DBB/CMGC projects; these tools may be helpful in creating more complex contracting circumstances:</a:t>
          </a:r>
        </a:p>
        <a:p>
          <a:r>
            <a:rPr lang="en-US" sz="1100" b="0" baseline="0"/>
            <a:t>* SCC10-50 Beta calculations</a:t>
          </a:r>
        </a:p>
        <a:p>
          <a:r>
            <a:rPr lang="en-US" sz="1100" b="0" baseline="0"/>
            <a:t>* SCC60-70 Beta calculations</a:t>
          </a:r>
        </a:p>
        <a:p>
          <a:r>
            <a:rPr lang="en-US" sz="1100" b="0" baseline="0"/>
            <a:t>* SCC80 Beta calculations.</a:t>
          </a:r>
        </a:p>
        <a:p>
          <a:endParaRPr lang="en-US" sz="1100" b="0" baseline="0"/>
        </a:p>
        <a:p>
          <a:r>
            <a:rPr lang="en-US" sz="1100" b="0" baseline="0"/>
            <a:t>The basis of adjustment revolves around the consideration of risk retained by the Sponsor.  The Sponsor retains project risk until risk is contractually transferred and the market value for that contractual transfer is included within the project estimate.</a:t>
          </a:r>
        </a:p>
        <a:p>
          <a:endParaRPr lang="en-US" sz="1100" b="0" baseline="0"/>
        </a:p>
        <a:p>
          <a:r>
            <a:rPr lang="en-US" sz="1100" b="0" baseline="0"/>
            <a:t>In the case of DBB, design risk is transferred to some degree to the designer at the point of contracting with the designer, and construction risk is transferred to some degree at the point of contracting with the constructor; standard contractual clauses do not fully transfer all risk and some risk continues to remain with the Sponsor in either case.  The DBB tables are correlated with the timing of those transfers and the remainder of risk retained by the Sponsor.  Further, the Sponsor retains the risks associated with either constructor or designer claiming error on behalf of the other--claims that pass through the Sponsor and result in risk to the Sponsor within the DBB system.</a:t>
          </a:r>
        </a:p>
        <a:p>
          <a:endParaRPr lang="en-US" sz="1100" b="0" baseline="0"/>
        </a:p>
        <a:p>
          <a:r>
            <a:rPr lang="en-US" sz="1100" b="0" baseline="0"/>
            <a:t>CM contracting will generally maintain similar risk drawdown characteristics as with DBB, since the timing of design contracts and of construction contracts are similar; even though the constructor may be contracted during the design phase for professional services, construction risk may not be transferred until the constructor prices and contracts for the actual construction work.  The likelihood of concurrent design and construction activity occurs with the CM process, thus the potential for multiple risk profiles exists.</a:t>
          </a:r>
        </a:p>
        <a:p>
          <a:endParaRPr lang="en-US" sz="1100" b="0" baseline="0"/>
        </a:p>
        <a:p>
          <a:r>
            <a:rPr lang="en-US" sz="1100" b="0" baseline="0"/>
            <a:t>In both DB and PPP contracts, it is often the case that some amount of construction risk is transferred at an earlier phase of project development than in DBB, since construction is priced and contracted during the design phase.  Further, in these project styles the Sponsor is sheltered from risks associated with claims related to harm caused to designer or constructor by each other.  In both DB and PPP, it should be considered that risk is not actually transferred (and thus Beta values reduced) until the DB or PPP contract has been priced and included in the estimate.  Until the risk is transferred through the establishment of a market bid that is contractible and included in the estimate, the sponsor continues to retain the cost risk and therefore the values included in the DBB Standards tables, adjusted for project conditions, should be used.  However, once the market-base bid prices are incorporated into the project estimate, then the DBB Beta values should be appropriately discounted.</a:t>
          </a:r>
        </a:p>
        <a:p>
          <a:endParaRPr lang="en-US" sz="1100" b="0" baseline="0"/>
        </a:p>
        <a:p>
          <a:r>
            <a:rPr lang="en-US" sz="1100" b="0" baseline="0"/>
            <a:t>Discounting the Beta values depends considerably on the contractual provisions included in the DB or PPP contract.  Care should be taken to scrutinize the proposed contract to expose those areas where the Sponsor remains at risk.  An example may be that a Sponsor retains the risk for unexpected discovery of contaminated soils.  Where the Sponsor retains such risks, the Beta values must continue to reflect the Sponsor's retained risk.  Since many of the risks that a Sponsor may retain are commonly retained under a typical DBB contract, there may be little reason to significantly reduce the DBB Standard Beta values.</a:t>
          </a:r>
        </a:p>
        <a:p>
          <a:endParaRPr lang="en-US" sz="1100" b="0" baseline="0"/>
        </a:p>
        <a:p>
          <a:r>
            <a:rPr lang="en-US" sz="1100" b="0" baseline="0"/>
            <a:t>Discounting the Beta values also depends upon the relationship between the designers and the constructors in either a DB or a PPP relationship.  In this case, it is quite common that a Sponsor would be significantly shielded from errors that affect either party in the designer-constructor relationship.  Therefore, some reasonable reduction in the Design Beta value may be called for.  However, the Sponsor may continue to retain Design risk due to risk that is carried in the preliminary design documents that are provided to the DB contracting entity as the basis of the contract bids.  Such documents may contain assumptions, errors, or other issues that result in contract adjustments to the design builder--in effect creating cost risk for the Sponsor.  Therefore, in most circumstances it would be likely that the design risk could not be completely removed.</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xdr:row>
      <xdr:rowOff>1</xdr:rowOff>
    </xdr:from>
    <xdr:ext cx="9144000" cy="5534024"/>
    <xdr:sp macro="" textlink="">
      <xdr:nvSpPr>
        <xdr:cNvPr id="3" name="TextBox 2">
          <a:extLst>
            <a:ext uri="{FF2B5EF4-FFF2-40B4-BE49-F238E27FC236}">
              <a16:creationId xmlns:a16="http://schemas.microsoft.com/office/drawing/2014/main" id="{D026077F-12BE-2C48-936A-D9885A54B959}"/>
            </a:ext>
          </a:extLst>
        </xdr:cNvPr>
        <xdr:cNvSpPr txBox="1">
          <a:spLocks noChangeArrowheads="1"/>
        </xdr:cNvSpPr>
      </xdr:nvSpPr>
      <xdr:spPr bwMode="auto">
        <a:xfrm>
          <a:off x="200025" y="161926"/>
          <a:ext cx="9144000" cy="5534024"/>
        </a:xfrm>
        <a:prstGeom prst="rect">
          <a:avLst/>
        </a:prstGeom>
        <a:solidFill>
          <a:srgbClr val="92D050"/>
        </a:solidFill>
        <a:ln w="25400">
          <a:solidFill>
            <a:schemeClr val="tx1"/>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spAutoFit/>
        </a:bodyPr>
        <a:lstStyle/>
        <a:p>
          <a:pPr algn="l" rtl="0">
            <a:defRPr sz="1000"/>
          </a:pPr>
          <a:r>
            <a:rPr lang="en-US" sz="1400" b="1" i="0" u="sng" strike="noStrike">
              <a:solidFill>
                <a:srgbClr val="000000"/>
              </a:solidFill>
              <a:latin typeface="Calibri"/>
            </a:rPr>
            <a:t>Instructions for:</a:t>
          </a:r>
        </a:p>
        <a:p>
          <a:pPr algn="l" rtl="0">
            <a:defRPr sz="1000"/>
          </a:pPr>
          <a:r>
            <a:rPr lang="en-US" sz="1400" b="1" i="0" u="sng" strike="noStrike">
              <a:solidFill>
                <a:srgbClr val="000000"/>
              </a:solidFill>
              <a:latin typeface="Calibri"/>
            </a:rPr>
            <a:t>Project-specific Partial</a:t>
          </a:r>
          <a:r>
            <a:rPr lang="en-US" sz="1400" b="1" i="0" u="sng" strike="noStrike" baseline="0">
              <a:solidFill>
                <a:srgbClr val="000000"/>
              </a:solidFill>
              <a:latin typeface="Calibri"/>
            </a:rPr>
            <a:t> Beta Adjustments</a:t>
          </a:r>
        </a:p>
        <a:p>
          <a:r>
            <a:rPr lang="en-US" sz="1100" i="1"/>
            <a:t>Note:</a:t>
          </a:r>
          <a:r>
            <a:rPr lang="en-US" sz="1100" i="1" baseline="0"/>
            <a:t> Establishing total risk is a two-step process: 1) Determing a base level of historic uncertainty for a "typical" similar project, and 2) Determing adjustments to that base, evaluated using consideration of a projects risk increase or decrease as understood through evaluation of the project specifics.</a:t>
          </a:r>
        </a:p>
        <a:p>
          <a:r>
            <a:rPr lang="en-US" sz="1100" i="1" baseline="0"/>
            <a:t>The prior worksheet contains instructions regarding establishing Beta factors for project uncertainty.</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Once the general levels of project uncertainty have been established by risk profile through the process described in the </a:t>
          </a:r>
          <a:r>
            <a:rPr lang="en-US" sz="1100" b="0" i="1" strike="noStrike" baseline="0">
              <a:solidFill>
                <a:srgbClr val="000000"/>
              </a:solidFill>
              <a:latin typeface="+mn-lt"/>
            </a:rPr>
            <a:t>Beta Uncertainty Instructions </a:t>
          </a:r>
          <a:r>
            <a:rPr lang="en-US" sz="1100" b="0" i="0" strike="noStrike" baseline="0">
              <a:solidFill>
                <a:srgbClr val="000000"/>
              </a:solidFill>
              <a:latin typeface="+mn-lt"/>
            </a:rPr>
            <a:t>worksheet, the uncertainty Betas must be adjusted to reflect specific project conditions that are not covered by the uncertainty Beta assignments with adjustments (increases or decreases) based upon knowledge gained regarding the specific circumstances and expected risks on the project.</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This is accomplished by  evaluating conditions based on understanding of specific project risks or other project-specific factors that adds or deducts partial Beta factor values to the previously established uncertainty partial Beta values. A calculator for establishing Beta factor adjustments is provided in the </a:t>
          </a:r>
          <a:r>
            <a:rPr lang="en-US" sz="1100" b="0" i="1" strike="noStrike" baseline="0">
              <a:solidFill>
                <a:srgbClr val="000000"/>
              </a:solidFill>
              <a:latin typeface="+mn-lt"/>
            </a:rPr>
            <a:t>Project-Specific Risk Calculations </a:t>
          </a:r>
          <a:r>
            <a:rPr lang="en-US" sz="1100" b="0" i="0" strike="noStrike" baseline="0">
              <a:solidFill>
                <a:srgbClr val="000000"/>
              </a:solidFill>
              <a:latin typeface="+mn-lt"/>
            </a:rPr>
            <a:t>worksheet in the appendices portion at the end of this workbook; other calculations may be developed outside of this workbook.  In the circmstance that a specific Beta adjustment should be made, the calculated Beta adjustment should be  recorded in the appropriate column of the Risk Assessment (x) worksheets.</a:t>
          </a:r>
        </a:p>
        <a:p>
          <a:pPr algn="l" rtl="0">
            <a:defRPr sz="1000"/>
          </a:pPr>
          <a:endParaRPr lang="en-US" sz="1100" b="0" i="0" strike="noStrike" baseline="0">
            <a:solidFill>
              <a:srgbClr val="000000"/>
            </a:solidFill>
            <a:latin typeface="+mn-lt"/>
          </a:endParaRPr>
        </a:p>
        <a:p>
          <a:pPr algn="l" rtl="0">
            <a:defRPr sz="1000"/>
          </a:pPr>
          <a:r>
            <a:rPr lang="en-US" sz="1100" b="1" i="0" u="sng" strike="noStrike" baseline="0">
              <a:solidFill>
                <a:srgbClr val="000000"/>
              </a:solidFill>
              <a:latin typeface="+mn-lt"/>
            </a:rPr>
            <a:t>Global Beta Adjustments</a:t>
          </a:r>
        </a:p>
        <a:p>
          <a:pPr algn="l" rtl="0">
            <a:defRPr sz="1000"/>
          </a:pPr>
          <a:r>
            <a:rPr lang="en-US" sz="1100" b="0" i="0" strike="noStrike" baseline="0">
              <a:solidFill>
                <a:srgbClr val="000000"/>
              </a:solidFill>
              <a:latin typeface="+mn-lt"/>
            </a:rPr>
            <a:t>Further, it has been found that many project-specific conditions or risks adjustments may apply globally across all of the SCC 10-50 categories. The </a:t>
          </a:r>
          <a:r>
            <a:rPr lang="en-US" sz="1100" b="0" i="1" strike="noStrike" baseline="0">
              <a:solidFill>
                <a:srgbClr val="000000"/>
              </a:solidFill>
              <a:latin typeface="+mn-lt"/>
            </a:rPr>
            <a:t>SCC 10-50 Beta Calculations </a:t>
          </a:r>
          <a:r>
            <a:rPr lang="en-US" sz="1100" b="0" i="0" strike="noStrike" baseline="0">
              <a:solidFill>
                <a:srgbClr val="000000"/>
              </a:solidFill>
              <a:latin typeface="+mn-lt"/>
            </a:rPr>
            <a:t>worksheet provides a means to spread these adjustments across those SCC categories. These adjustments may be calculated using the </a:t>
          </a:r>
          <a:r>
            <a:rPr lang="en-US" sz="1100" b="0" i="1" strike="noStrike" baseline="0">
              <a:solidFill>
                <a:srgbClr val="000000"/>
              </a:solidFill>
              <a:latin typeface="+mn-lt"/>
            </a:rPr>
            <a:t>Project-Specific Risk Calculations </a:t>
          </a:r>
          <a:r>
            <a:rPr lang="en-US" sz="1100" b="0" i="0" strike="noStrike" baseline="0">
              <a:solidFill>
                <a:srgbClr val="000000"/>
              </a:solidFill>
              <a:latin typeface="+mn-lt"/>
            </a:rPr>
            <a:t>worksheet .</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Other bases for partial Beta values may be used by the risk analyst. If so, these calculations should be documented. Such alternative calculations may be inserted in this risk workbook as a new worksheet.</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Instructions are provided in the </a:t>
          </a:r>
          <a:r>
            <a:rPr lang="en-US" sz="1100" b="0" i="1" strike="noStrike" baseline="0">
              <a:solidFill>
                <a:srgbClr val="000000"/>
              </a:solidFill>
              <a:latin typeface="+mn-lt"/>
            </a:rPr>
            <a:t>Project-specifics Risk Calculations </a:t>
          </a:r>
          <a:r>
            <a:rPr lang="en-US" sz="1100" b="0" i="0" strike="noStrike" baseline="0">
              <a:solidFill>
                <a:srgbClr val="000000"/>
              </a:solidFill>
              <a:latin typeface="+mn-lt"/>
            </a:rPr>
            <a:t>worksheet for determining these values.</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a:p>
          <a:pPr algn="l" rtl="0">
            <a:defRPr sz="1000"/>
          </a:pPr>
          <a:r>
            <a:rPr lang="en-US" sz="1100" b="0" i="0" strike="noStrike">
              <a:solidFill>
                <a:srgbClr val="000000"/>
              </a:solidFill>
              <a:latin typeface="Calibri"/>
            </a:rPr>
            <a:t>Where project-specific adjustments are made in the Risk Assessment worksheet(s),</a:t>
          </a:r>
          <a:r>
            <a:rPr lang="en-US" sz="1100" b="0" i="0" strike="noStrike" baseline="0">
              <a:solidFill>
                <a:srgbClr val="000000"/>
              </a:solidFill>
              <a:latin typeface="Calibri"/>
            </a:rPr>
            <a:t> a short comment regarding the reasoning for the change should be documented  as indicated on the Risk Assessment  worksheet(s).</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When the Beta assignments and adjustments have been completed for each project profile, the Risk Assessment Total worksheet provides summary information for the project as a whole.</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63500</xdr:colOff>
      <xdr:row>20</xdr:row>
      <xdr:rowOff>50800</xdr:rowOff>
    </xdr:from>
    <xdr:to>
      <xdr:col>31</xdr:col>
      <xdr:colOff>749300</xdr:colOff>
      <xdr:row>42</xdr:row>
      <xdr:rowOff>69850</xdr:rowOff>
    </xdr:to>
    <xdr:graphicFrame macro="">
      <xdr:nvGraphicFramePr>
        <xdr:cNvPr id="6" name="Chart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63500</xdr:colOff>
      <xdr:row>43</xdr:row>
      <xdr:rowOff>55336</xdr:rowOff>
    </xdr:from>
    <xdr:to>
      <xdr:col>31</xdr:col>
      <xdr:colOff>749300</xdr:colOff>
      <xdr:row>55</xdr:row>
      <xdr:rowOff>68943</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50800</xdr:colOff>
      <xdr:row>20</xdr:row>
      <xdr:rowOff>114300</xdr:rowOff>
    </xdr:from>
    <xdr:to>
      <xdr:col>31</xdr:col>
      <xdr:colOff>736600</xdr:colOff>
      <xdr:row>43</xdr:row>
      <xdr:rowOff>57150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50800</xdr:colOff>
      <xdr:row>44</xdr:row>
      <xdr:rowOff>29936</xdr:rowOff>
    </xdr:from>
    <xdr:to>
      <xdr:col>31</xdr:col>
      <xdr:colOff>736600</xdr:colOff>
      <xdr:row>55</xdr:row>
      <xdr:rowOff>43543</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63500</xdr:colOff>
      <xdr:row>20</xdr:row>
      <xdr:rowOff>101600</xdr:rowOff>
    </xdr:from>
    <xdr:to>
      <xdr:col>31</xdr:col>
      <xdr:colOff>749300</xdr:colOff>
      <xdr:row>43</xdr:row>
      <xdr:rowOff>44450</xdr:rowOff>
    </xdr:to>
    <xdr:graphicFrame macro="">
      <xdr:nvGraphicFramePr>
        <xdr:cNvPr id="2" name="Chart 1">
          <a:extLst>
            <a:ext uri="{FF2B5EF4-FFF2-40B4-BE49-F238E27FC236}">
              <a16:creationId xmlns:a16="http://schemas.microsoft.com/office/drawing/2014/main" id="{005C0CFD-66F4-D248-A949-B296D4BFC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63500</xdr:colOff>
      <xdr:row>44</xdr:row>
      <xdr:rowOff>17236</xdr:rowOff>
    </xdr:from>
    <xdr:to>
      <xdr:col>31</xdr:col>
      <xdr:colOff>749300</xdr:colOff>
      <xdr:row>54</xdr:row>
      <xdr:rowOff>127000</xdr:rowOff>
    </xdr:to>
    <xdr:graphicFrame macro="">
      <xdr:nvGraphicFramePr>
        <xdr:cNvPr id="3" name="Chart 2">
          <a:extLst>
            <a:ext uri="{FF2B5EF4-FFF2-40B4-BE49-F238E27FC236}">
              <a16:creationId xmlns:a16="http://schemas.microsoft.com/office/drawing/2014/main" id="{ABFD182B-5074-A143-9DCD-2A11569FC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73166</xdr:colOff>
      <xdr:row>20</xdr:row>
      <xdr:rowOff>76200</xdr:rowOff>
    </xdr:from>
    <xdr:to>
      <xdr:col>31</xdr:col>
      <xdr:colOff>758966</xdr:colOff>
      <xdr:row>43</xdr:row>
      <xdr:rowOff>19050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73166</xdr:colOff>
      <xdr:row>43</xdr:row>
      <xdr:rowOff>156936</xdr:rowOff>
    </xdr:from>
    <xdr:to>
      <xdr:col>31</xdr:col>
      <xdr:colOff>758966</xdr:colOff>
      <xdr:row>54</xdr:row>
      <xdr:rowOff>101600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63500</xdr:colOff>
      <xdr:row>24</xdr:row>
      <xdr:rowOff>76200</xdr:rowOff>
    </xdr:from>
    <xdr:to>
      <xdr:col>31</xdr:col>
      <xdr:colOff>749300</xdr:colOff>
      <xdr:row>48</xdr:row>
      <xdr:rowOff>19050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63500</xdr:colOff>
      <xdr:row>49</xdr:row>
      <xdr:rowOff>4536</xdr:rowOff>
    </xdr:from>
    <xdr:to>
      <xdr:col>31</xdr:col>
      <xdr:colOff>749300</xdr:colOff>
      <xdr:row>59</xdr:row>
      <xdr:rowOff>88900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63500</xdr:colOff>
      <xdr:row>0</xdr:row>
      <xdr:rowOff>50800</xdr:rowOff>
    </xdr:from>
    <xdr:to>
      <xdr:col>7</xdr:col>
      <xdr:colOff>1733550</xdr:colOff>
      <xdr:row>34</xdr:row>
      <xdr:rowOff>66675</xdr:rowOff>
    </xdr:to>
    <xdr:sp macro="" textlink="">
      <xdr:nvSpPr>
        <xdr:cNvPr id="2" name="TextBox 1">
          <a:extLst>
            <a:ext uri="{FF2B5EF4-FFF2-40B4-BE49-F238E27FC236}">
              <a16:creationId xmlns:a16="http://schemas.microsoft.com/office/drawing/2014/main" id="{00000000-0008-0000-0C00-000002000000}"/>
            </a:ext>
          </a:extLst>
        </xdr:cNvPr>
        <xdr:cNvSpPr txBox="1">
          <a:spLocks noChangeArrowheads="1"/>
        </xdr:cNvSpPr>
      </xdr:nvSpPr>
      <xdr:spPr bwMode="auto">
        <a:xfrm>
          <a:off x="63500" y="50800"/>
          <a:ext cx="6403975" cy="5559425"/>
        </a:xfrm>
        <a:prstGeom prst="rect">
          <a:avLst/>
        </a:prstGeom>
        <a:solidFill>
          <a:srgbClr val="92D050"/>
        </a:solidFill>
        <a:ln w="25400">
          <a:solidFill>
            <a:schemeClr val="tx1"/>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Instructions for:</a:t>
          </a:r>
          <a:r>
            <a:rPr lang="en-US" sz="1400" b="1" i="0" u="sng" strike="noStrike" baseline="0">
              <a:solidFill>
                <a:srgbClr val="000000"/>
              </a:solidFill>
              <a:latin typeface="Calibri"/>
            </a:rPr>
            <a:t> </a:t>
          </a:r>
          <a:r>
            <a:rPr lang="en-US" sz="1400" b="1" i="0" u="sng" strike="noStrike">
              <a:solidFill>
                <a:srgbClr val="000000"/>
              </a:solidFill>
              <a:latin typeface="Calibri"/>
            </a:rPr>
            <a:t>Risk assessment Analysis</a:t>
          </a:r>
          <a:endParaRPr lang="en-US" sz="1200" b="1" i="0" u="sng" strike="noStrike">
            <a:solidFill>
              <a:srgbClr val="000000"/>
            </a:solidFill>
            <a:latin typeface="Calibri"/>
          </a:endParaRPr>
        </a:p>
        <a:p>
          <a:pPr algn="l" rtl="0">
            <a:defRPr sz="1000"/>
          </a:pPr>
          <a:endParaRPr lang="en-US" sz="1100" b="0" i="0" strike="noStrike">
            <a:solidFill>
              <a:srgbClr val="000000"/>
            </a:solidFill>
            <a:latin typeface="Calibri"/>
          </a:endParaRPr>
        </a:p>
        <a:p>
          <a:pPr algn="l" rtl="0">
            <a:defRPr sz="1000"/>
          </a:pPr>
          <a:r>
            <a:rPr lang="en-US" sz="1100" b="0" i="0" strike="noStrike">
              <a:solidFill>
                <a:srgbClr val="000000"/>
              </a:solidFill>
              <a:latin typeface="Calibri"/>
            </a:rPr>
            <a:t>The purpose of the worksheets in this Section 5 is to create a representation of the potential risk variation of the project, including recommendations for budget, contingency, and secondary mitigation</a:t>
          </a:r>
          <a:r>
            <a:rPr lang="en-US" sz="1100" b="0" i="0" strike="noStrike" baseline="0">
              <a:solidFill>
                <a:srgbClr val="000000"/>
              </a:solidFill>
              <a:latin typeface="Calibri"/>
            </a:rPr>
            <a:t>.</a:t>
          </a:r>
        </a:p>
        <a:p>
          <a:pPr algn="l" rtl="0">
            <a:defRPr sz="1000"/>
          </a:pPr>
          <a:endParaRPr lang="en-US" sz="1100" b="0" i="0" strike="noStrike" baseline="0">
            <a:solidFill>
              <a:srgbClr val="000000"/>
            </a:solidFill>
            <a:latin typeface="+mn-lt"/>
          </a:endParaRPr>
        </a:p>
        <a:p>
          <a:pPr algn="l" rtl="0">
            <a:defRPr sz="1000"/>
          </a:pPr>
          <a:r>
            <a:rPr lang="en-US" sz="1100" b="0" i="0" strike="noStrike" baseline="0">
              <a:solidFill>
                <a:srgbClr val="000000"/>
              </a:solidFill>
              <a:latin typeface="+mn-lt"/>
            </a:rPr>
            <a:t>Risk summary and analysis:</a:t>
          </a:r>
        </a:p>
        <a:p>
          <a:pPr lvl="1" algn="l" rtl="0">
            <a:defRPr sz="1000"/>
          </a:pPr>
          <a:r>
            <a:rPr lang="en-US" sz="1100" b="0" i="0" strike="noStrike" baseline="0">
              <a:solidFill>
                <a:srgbClr val="000000"/>
              </a:solidFill>
              <a:latin typeface="+mn-lt"/>
            </a:rPr>
            <a:t>Review model results for reasonableness</a:t>
          </a:r>
        </a:p>
        <a:p>
          <a:pPr lvl="2" algn="l" rtl="0">
            <a:defRPr sz="1000"/>
          </a:pPr>
          <a:r>
            <a:rPr lang="en-US" sz="1100" b="0" i="0" strike="noStrike" baseline="0">
              <a:solidFill>
                <a:srgbClr val="000000"/>
              </a:solidFill>
              <a:latin typeface="+mn-lt"/>
            </a:rPr>
            <a:t>Check values for recommended budget and contingency</a:t>
          </a:r>
        </a:p>
        <a:p>
          <a:pPr lvl="2" algn="l" rtl="0">
            <a:defRPr sz="1000"/>
          </a:pPr>
          <a:r>
            <a:rPr lang="en-US" sz="1100" b="0" i="0" strike="noStrike" baseline="0">
              <a:solidFill>
                <a:srgbClr val="000000"/>
              </a:solidFill>
              <a:latin typeface="+mn-lt"/>
            </a:rPr>
            <a:t>Check values for reporting ranges</a:t>
          </a:r>
        </a:p>
        <a:p>
          <a:pPr lvl="2" algn="l" rtl="0">
            <a:defRPr sz="1000"/>
          </a:pPr>
          <a:r>
            <a:rPr lang="en-US" sz="1100" b="0" i="0" strike="noStrike" baseline="0">
              <a:solidFill>
                <a:srgbClr val="000000"/>
              </a:solidFill>
              <a:latin typeface="+mn-lt"/>
            </a:rPr>
            <a:t>Check values for Lower Bound and Upper Bound Range</a:t>
          </a:r>
        </a:p>
        <a:p>
          <a:pPr lvl="1" algn="l" rtl="0">
            <a:defRPr sz="1000"/>
          </a:pPr>
          <a:r>
            <a:rPr lang="en-US" sz="1100" b="0" i="0" strike="noStrike" baseline="0">
              <a:solidFill>
                <a:srgbClr val="000000"/>
              </a:solidFill>
              <a:latin typeface="+mn-lt"/>
            </a:rPr>
            <a:t>Provide a reasoned interpretation of the results in the results</a:t>
          </a:r>
        </a:p>
        <a:p>
          <a:pPr lvl="1"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The tables of this worksheet draw information from other worksheets in the model workbook.</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The </a:t>
          </a:r>
          <a:r>
            <a:rPr lang="en-US" sz="1100" b="0" i="1" strike="noStrike" baseline="0">
              <a:solidFill>
                <a:srgbClr val="000000"/>
              </a:solidFill>
              <a:latin typeface="Calibri"/>
            </a:rPr>
            <a:t>Risk Assessment Analysis </a:t>
          </a:r>
          <a:r>
            <a:rPr lang="en-US" sz="1100" b="0" i="0" strike="noStrike" baseline="0">
              <a:solidFill>
                <a:srgbClr val="000000"/>
              </a:solidFill>
              <a:latin typeface="Calibri"/>
            </a:rPr>
            <a:t>worksheet provides overview information about Sponsor baseline and PMOC adjustments, and the </a:t>
          </a:r>
          <a:r>
            <a:rPr lang="en-US" sz="1100" b="0" i="1" strike="noStrike" baseline="0">
              <a:solidFill>
                <a:srgbClr val="000000"/>
              </a:solidFill>
              <a:latin typeface="Calibri"/>
            </a:rPr>
            <a:t>Prob Dist Report Graphic </a:t>
          </a:r>
          <a:r>
            <a:rPr lang="en-US" sz="1100" b="0" i="0" strike="noStrike" baseline="0">
              <a:solidFill>
                <a:srgbClr val="000000"/>
              </a:solidFill>
              <a:latin typeface="Calibri"/>
            </a:rPr>
            <a:t>worksheet provides a graphic to use for reporting as described in OP40.</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Because these worksheets draw information from the various other worksheets, alteration of any other worksheet may change the values here. Therefore, caution must be exercised to ensure that reports that contain information from these two tabs are synchronized with any other changes made.</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Guidance regarding interpretation of the results presented in this worksheet is provided elsewhere in OP40 and through the  FTA.</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These worksheets contain fundamental values that relate to FTA risk targets and which values should be contained within the OP40 Risk Review reports. These values, shown to the right, are intended to provide consistency across all similar reports and should only be changed with written direction from the FTA. It is not intended that these values would vary among projects.</a:t>
          </a:r>
        </a:p>
        <a:p>
          <a:pPr algn="l" rtl="0">
            <a:defRPr sz="1000"/>
          </a:pPr>
          <a:endParaRPr lang="en-US" sz="1100" b="0" i="0" strike="noStrike" baseline="0">
            <a:solidFill>
              <a:srgbClr val="000000"/>
            </a:solidFill>
            <a:latin typeface="Calibri"/>
          </a:endParaRPr>
        </a:p>
        <a:p>
          <a:pPr algn="l" rtl="0">
            <a:defRPr sz="1000"/>
          </a:pPr>
          <a:r>
            <a:rPr lang="en-US" sz="1100" b="0" i="0" strike="noStrike" baseline="0">
              <a:solidFill>
                <a:srgbClr val="000000"/>
              </a:solidFill>
              <a:latin typeface="Calibri"/>
            </a:rPr>
            <a:t>Specific instructions are provided within the two worksheets.</a:t>
          </a:r>
          <a:endParaRPr lang="en-US" sz="1100" b="0" i="0" strike="noStrike">
            <a:solidFill>
              <a:srgbClr val="000000"/>
            </a:solidFill>
            <a:latin typeface="Calibr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19655</xdr:colOff>
      <xdr:row>1</xdr:row>
      <xdr:rowOff>136073</xdr:rowOff>
    </xdr:from>
    <xdr:to>
      <xdr:col>9</xdr:col>
      <xdr:colOff>765048</xdr:colOff>
      <xdr:row>32</xdr:row>
      <xdr:rowOff>8746</xdr:rowOff>
    </xdr:to>
    <xdr:graphicFrame macro="">
      <xdr:nvGraphicFramePr>
        <xdr:cNvPr id="2" name="Chart 1">
          <a:extLst>
            <a:ext uri="{FF2B5EF4-FFF2-40B4-BE49-F238E27FC236}">
              <a16:creationId xmlns:a16="http://schemas.microsoft.com/office/drawing/2014/main" id="{FE77B802-D2AC-0B4A-B6AD-0AAEEAA7F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613833</xdr:colOff>
      <xdr:row>12</xdr:row>
      <xdr:rowOff>114297</xdr:rowOff>
    </xdr:from>
    <xdr:to>
      <xdr:col>4</xdr:col>
      <xdr:colOff>673100</xdr:colOff>
      <xdr:row>12</xdr:row>
      <xdr:rowOff>118529</xdr:rowOff>
    </xdr:to>
    <xdr:cxnSp macro="">
      <xdr:nvCxnSpPr>
        <xdr:cNvPr id="3" name="Straight Connector 2">
          <a:extLst>
            <a:ext uri="{FF2B5EF4-FFF2-40B4-BE49-F238E27FC236}">
              <a16:creationId xmlns:a16="http://schemas.microsoft.com/office/drawing/2014/main" id="{9826B74C-498C-1941-981F-6B3DE2576038}"/>
            </a:ext>
          </a:extLst>
        </xdr:cNvPr>
        <xdr:cNvCxnSpPr/>
      </xdr:nvCxnSpPr>
      <xdr:spPr bwMode="auto">
        <a:xfrm flipV="1">
          <a:off x="1917700" y="3475564"/>
          <a:ext cx="2125133" cy="4232"/>
        </a:xfrm>
        <a:prstGeom prst="line">
          <a:avLst/>
        </a:prstGeom>
        <a:solidFill>
          <a:srgbClr val="FFFFFF"/>
        </a:solidFill>
        <a:ln w="31750" cap="flat" cmpd="sng" algn="ctr">
          <a:solidFill>
            <a:schemeClr val="tx2">
              <a:lumMod val="60000"/>
              <a:lumOff val="40000"/>
            </a:schemeClr>
          </a:solidFill>
          <a:prstDash val="dash"/>
          <a:round/>
          <a:headEnd type="none" w="med" len="med"/>
          <a:tailEnd type="none" w="med" len="med"/>
        </a:ln>
        <a:effectLst/>
      </xdr:spPr>
    </xdr:cxnSp>
    <xdr:clientData/>
  </xdr:twoCellAnchor>
  <xdr:twoCellAnchor>
    <xdr:from>
      <xdr:col>4</xdr:col>
      <xdr:colOff>666750</xdr:colOff>
      <xdr:row>13</xdr:row>
      <xdr:rowOff>11545</xdr:rowOff>
    </xdr:from>
    <xdr:to>
      <xdr:col>4</xdr:col>
      <xdr:colOff>669369</xdr:colOff>
      <xdr:row>26</xdr:row>
      <xdr:rowOff>137584</xdr:rowOff>
    </xdr:to>
    <xdr:cxnSp macro="">
      <xdr:nvCxnSpPr>
        <xdr:cNvPr id="4" name="Straight Connector 3">
          <a:extLst>
            <a:ext uri="{FF2B5EF4-FFF2-40B4-BE49-F238E27FC236}">
              <a16:creationId xmlns:a16="http://schemas.microsoft.com/office/drawing/2014/main" id="{DFF8C556-E286-7347-8683-C23BBC26C7F2}"/>
            </a:ext>
          </a:extLst>
        </xdr:cNvPr>
        <xdr:cNvCxnSpPr/>
      </xdr:nvCxnSpPr>
      <xdr:spPr bwMode="auto">
        <a:xfrm flipH="1">
          <a:off x="4032250" y="3440545"/>
          <a:ext cx="2619" cy="2327372"/>
        </a:xfrm>
        <a:prstGeom prst="line">
          <a:avLst/>
        </a:prstGeom>
        <a:solidFill>
          <a:srgbClr val="FFFFFF"/>
        </a:solidFill>
        <a:ln w="31750" cap="flat" cmpd="sng" algn="ctr">
          <a:solidFill>
            <a:schemeClr val="tx2">
              <a:lumMod val="60000"/>
              <a:lumOff val="40000"/>
            </a:schemeClr>
          </a:solidFill>
          <a:prstDash val="dash"/>
          <a:round/>
          <a:headEnd type="none" w="med" len="med"/>
          <a:tailEnd type="none" w="med" len="med"/>
        </a:ln>
        <a:effectLst/>
      </xdr:spPr>
    </xdr:cxnSp>
    <xdr:clientData/>
  </xdr:twoCellAnchor>
  <xdr:twoCellAnchor>
    <xdr:from>
      <xdr:col>2</xdr:col>
      <xdr:colOff>682011</xdr:colOff>
      <xdr:row>11</xdr:row>
      <xdr:rowOff>66716</xdr:rowOff>
    </xdr:from>
    <xdr:to>
      <xdr:col>3</xdr:col>
      <xdr:colOff>775470</xdr:colOff>
      <xdr:row>12</xdr:row>
      <xdr:rowOff>99675</xdr:rowOff>
    </xdr:to>
    <xdr:sp macro="" textlink="">
      <xdr:nvSpPr>
        <xdr:cNvPr id="5" name="TextBox 4">
          <a:extLst>
            <a:ext uri="{FF2B5EF4-FFF2-40B4-BE49-F238E27FC236}">
              <a16:creationId xmlns:a16="http://schemas.microsoft.com/office/drawing/2014/main" id="{74FFEA79-D8BF-C147-B200-CBAC91DDFFF1}"/>
            </a:ext>
          </a:extLst>
        </xdr:cNvPr>
        <xdr:cNvSpPr txBox="1"/>
      </xdr:nvSpPr>
      <xdr:spPr>
        <a:xfrm>
          <a:off x="1985878" y="3258649"/>
          <a:ext cx="973992" cy="202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t>FTA Target</a:t>
          </a:r>
        </a:p>
      </xdr:txBody>
    </xdr:sp>
    <xdr:clientData/>
  </xdr:twoCellAnchor>
  <xdr:twoCellAnchor>
    <xdr:from>
      <xdr:col>2</xdr:col>
      <xdr:colOff>603250</xdr:colOff>
      <xdr:row>13</xdr:row>
      <xdr:rowOff>148167</xdr:rowOff>
    </xdr:from>
    <xdr:to>
      <xdr:col>4</xdr:col>
      <xdr:colOff>609600</xdr:colOff>
      <xdr:row>13</xdr:row>
      <xdr:rowOff>152400</xdr:rowOff>
    </xdr:to>
    <xdr:cxnSp macro="">
      <xdr:nvCxnSpPr>
        <xdr:cNvPr id="6" name="Straight Connector 5">
          <a:extLst>
            <a:ext uri="{FF2B5EF4-FFF2-40B4-BE49-F238E27FC236}">
              <a16:creationId xmlns:a16="http://schemas.microsoft.com/office/drawing/2014/main" id="{A828AE7D-16AB-0440-89D9-25A8ED1AAC36}"/>
            </a:ext>
          </a:extLst>
        </xdr:cNvPr>
        <xdr:cNvCxnSpPr/>
      </xdr:nvCxnSpPr>
      <xdr:spPr bwMode="auto">
        <a:xfrm>
          <a:off x="1905000" y="3577167"/>
          <a:ext cx="2070100" cy="4233"/>
        </a:xfrm>
        <a:prstGeom prst="line">
          <a:avLst/>
        </a:prstGeom>
        <a:solidFill>
          <a:srgbClr val="FFFFFF"/>
        </a:solidFill>
        <a:ln w="31750" cap="flat" cmpd="sng" algn="ctr">
          <a:solidFill>
            <a:srgbClr val="FF0000"/>
          </a:solidFill>
          <a:prstDash val="sysDot"/>
          <a:round/>
          <a:headEnd type="none" w="med" len="med"/>
          <a:tailEnd type="none" w="med" len="med"/>
        </a:ln>
        <a:effectLst/>
      </xdr:spPr>
    </xdr:cxnSp>
    <xdr:clientData/>
  </xdr:twoCellAnchor>
  <xdr:twoCellAnchor>
    <xdr:from>
      <xdr:col>2</xdr:col>
      <xdr:colOff>688522</xdr:colOff>
      <xdr:row>14</xdr:row>
      <xdr:rowOff>91045</xdr:rowOff>
    </xdr:from>
    <xdr:to>
      <xdr:col>3</xdr:col>
      <xdr:colOff>1130301</xdr:colOff>
      <xdr:row>15</xdr:row>
      <xdr:rowOff>87746</xdr:rowOff>
    </xdr:to>
    <xdr:sp macro="" textlink="">
      <xdr:nvSpPr>
        <xdr:cNvPr id="7" name="TextBox 6">
          <a:extLst>
            <a:ext uri="{FF2B5EF4-FFF2-40B4-BE49-F238E27FC236}">
              <a16:creationId xmlns:a16="http://schemas.microsoft.com/office/drawing/2014/main" id="{80C9175C-BD21-FB41-9AD8-014A90A8A624}"/>
            </a:ext>
          </a:extLst>
        </xdr:cNvPr>
        <xdr:cNvSpPr txBox="1"/>
      </xdr:nvSpPr>
      <xdr:spPr>
        <a:xfrm>
          <a:off x="1983922" y="3240645"/>
          <a:ext cx="1318079" cy="161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t>Sponsor</a:t>
          </a:r>
          <a:r>
            <a:rPr lang="en-US" sz="1100" b="1" baseline="0"/>
            <a:t> Estimate</a:t>
          </a:r>
        </a:p>
      </xdr:txBody>
    </xdr:sp>
    <xdr:clientData/>
  </xdr:twoCellAnchor>
  <xdr:twoCellAnchor>
    <xdr:from>
      <xdr:col>4</xdr:col>
      <xdr:colOff>592667</xdr:colOff>
      <xdr:row>14</xdr:row>
      <xdr:rowOff>0</xdr:rowOff>
    </xdr:from>
    <xdr:to>
      <xdr:col>4</xdr:col>
      <xdr:colOff>596900</xdr:colOff>
      <xdr:row>26</xdr:row>
      <xdr:rowOff>105834</xdr:rowOff>
    </xdr:to>
    <xdr:cxnSp macro="">
      <xdr:nvCxnSpPr>
        <xdr:cNvPr id="8" name="Straight Connector 7">
          <a:extLst>
            <a:ext uri="{FF2B5EF4-FFF2-40B4-BE49-F238E27FC236}">
              <a16:creationId xmlns:a16="http://schemas.microsoft.com/office/drawing/2014/main" id="{7D40DE6D-1024-7C43-9BFE-FD031CB6F566}"/>
            </a:ext>
          </a:extLst>
        </xdr:cNvPr>
        <xdr:cNvCxnSpPr/>
      </xdr:nvCxnSpPr>
      <xdr:spPr bwMode="auto">
        <a:xfrm flipH="1">
          <a:off x="3958167" y="3598333"/>
          <a:ext cx="4233" cy="2137834"/>
        </a:xfrm>
        <a:prstGeom prst="line">
          <a:avLst/>
        </a:prstGeom>
        <a:solidFill>
          <a:srgbClr val="FFFFFF"/>
        </a:solidFill>
        <a:ln w="31750" cap="flat" cmpd="sng" algn="ctr">
          <a:solidFill>
            <a:srgbClr val="FF0000"/>
          </a:solidFill>
          <a:prstDash val="sysDot"/>
          <a:round/>
          <a:headEnd type="none" w="med" len="med"/>
          <a:tailEnd type="none" w="med" len="med"/>
        </a:ln>
        <a:effectLst/>
      </xdr:spPr>
    </xdr:cxnSp>
    <xdr:clientData/>
  </xdr:twoCellAnchor>
  <xdr:twoCellAnchor>
    <xdr:from>
      <xdr:col>2</xdr:col>
      <xdr:colOff>169332</xdr:colOff>
      <xdr:row>1</xdr:row>
      <xdr:rowOff>153026</xdr:rowOff>
    </xdr:from>
    <xdr:to>
      <xdr:col>3</xdr:col>
      <xdr:colOff>787400</xdr:colOff>
      <xdr:row>3</xdr:row>
      <xdr:rowOff>114301</xdr:rowOff>
    </xdr:to>
    <xdr:grpSp>
      <xdr:nvGrpSpPr>
        <xdr:cNvPr id="11" name="Group 10">
          <a:extLst>
            <a:ext uri="{FF2B5EF4-FFF2-40B4-BE49-F238E27FC236}">
              <a16:creationId xmlns:a16="http://schemas.microsoft.com/office/drawing/2014/main" id="{852B937D-0EEF-B645-96CC-618A97B3797E}"/>
            </a:ext>
          </a:extLst>
        </xdr:cNvPr>
        <xdr:cNvGrpSpPr/>
      </xdr:nvGrpSpPr>
      <xdr:grpSpPr>
        <a:xfrm>
          <a:off x="1289920" y="1643408"/>
          <a:ext cx="1380068" cy="275040"/>
          <a:chOff x="10430933" y="2074334"/>
          <a:chExt cx="1329267" cy="250235"/>
        </a:xfrm>
      </xdr:grpSpPr>
      <xdr:sp macro="" textlink="">
        <xdr:nvSpPr>
          <xdr:cNvPr id="9" name="TextBox 8">
            <a:extLst>
              <a:ext uri="{FF2B5EF4-FFF2-40B4-BE49-F238E27FC236}">
                <a16:creationId xmlns:a16="http://schemas.microsoft.com/office/drawing/2014/main" id="{09111599-28F1-F349-A549-1B826C4E1D55}"/>
              </a:ext>
            </a:extLst>
          </xdr:cNvPr>
          <xdr:cNvSpPr txBox="1"/>
        </xdr:nvSpPr>
        <xdr:spPr>
          <a:xfrm>
            <a:off x="10430933" y="2074334"/>
            <a:ext cx="1329267"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Model version:</a:t>
            </a:r>
          </a:p>
        </xdr:txBody>
      </xdr:sp>
      <xdr:sp macro="" textlink="Version">
        <xdr:nvSpPr>
          <xdr:cNvPr id="10" name="TextBox 9">
            <a:extLst>
              <a:ext uri="{FF2B5EF4-FFF2-40B4-BE49-F238E27FC236}">
                <a16:creationId xmlns:a16="http://schemas.microsoft.com/office/drawing/2014/main" id="{15EADB97-96A0-EE48-BACB-ADACA8C3A865}"/>
              </a:ext>
            </a:extLst>
          </xdr:cNvPr>
          <xdr:cNvSpPr txBox="1"/>
        </xdr:nvSpPr>
        <xdr:spPr>
          <a:xfrm>
            <a:off x="11162193" y="2082321"/>
            <a:ext cx="466083" cy="242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8697265-9BBF-DF4F-8567-191D44565045}" type="TxLink">
              <a:rPr lang="en-US" sz="900" b="0" i="0" u="none" strike="noStrike">
                <a:solidFill>
                  <a:srgbClr val="000000"/>
                </a:solidFill>
                <a:latin typeface="Arial"/>
                <a:cs typeface="Arial"/>
              </a:rPr>
              <a:pPr/>
              <a:t>5.16b</a:t>
            </a:fld>
            <a:endParaRPr lang="en-US" sz="9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1</xdr:row>
      <xdr:rowOff>25400</xdr:rowOff>
    </xdr:from>
    <xdr:to>
      <xdr:col>13</xdr:col>
      <xdr:colOff>361950</xdr:colOff>
      <xdr:row>29</xdr:row>
      <xdr:rowOff>85725</xdr:rowOff>
    </xdr:to>
    <xdr:sp macro="" textlink="">
      <xdr:nvSpPr>
        <xdr:cNvPr id="2" name="TextBox 1">
          <a:extLst>
            <a:ext uri="{FF2B5EF4-FFF2-40B4-BE49-F238E27FC236}">
              <a16:creationId xmlns:a16="http://schemas.microsoft.com/office/drawing/2014/main" id="{A72C3C92-7FD4-4C45-B74B-01435D5920E9}"/>
            </a:ext>
          </a:extLst>
        </xdr:cNvPr>
        <xdr:cNvSpPr txBox="1">
          <a:spLocks noChangeArrowheads="1"/>
        </xdr:cNvSpPr>
      </xdr:nvSpPr>
      <xdr:spPr bwMode="auto">
        <a:xfrm>
          <a:off x="234950" y="187325"/>
          <a:ext cx="9480550" cy="4594225"/>
        </a:xfrm>
        <a:prstGeom prst="rect">
          <a:avLst/>
        </a:prstGeom>
        <a:solidFill>
          <a:srgbClr val="92D050"/>
        </a:solidFill>
        <a:ln w="25400">
          <a:solidFill>
            <a:srgbClr val="7D60A0"/>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Project Background Instructions:</a:t>
          </a:r>
        </a:p>
        <a:p>
          <a:pPr algn="l" rtl="0">
            <a:defRPr sz="1000"/>
          </a:pPr>
          <a:r>
            <a:rPr lang="en-US" sz="1400" b="0" i="0" strike="noStrike">
              <a:solidFill>
                <a:srgbClr val="000000"/>
              </a:solidFill>
              <a:latin typeface="Calibri"/>
            </a:rPr>
            <a:t>The project risk assessment depends upon the general status of the project.  The FTA top-down risk assessment process is based upon patterns of risk that vary depending upon </a:t>
          </a:r>
          <a:r>
            <a:rPr lang="en-US" sz="1400" b="0" i="0" strike="noStrike" baseline="0">
              <a:solidFill>
                <a:srgbClr val="000000"/>
              </a:solidFill>
              <a:latin typeface="Calibri"/>
            </a:rPr>
            <a:t>the following factors:</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Sponsor organization and experience managing capital projects</a:t>
          </a:r>
        </a:p>
        <a:p>
          <a:pPr algn="l" rtl="0">
            <a:defRPr sz="1000"/>
          </a:pPr>
          <a:r>
            <a:rPr lang="en-US" sz="1400" b="0" i="0" strike="noStrike" baseline="0">
              <a:solidFill>
                <a:srgbClr val="000000"/>
              </a:solidFill>
              <a:latin typeface="Calibri"/>
            </a:rPr>
            <a:t>* Project design progression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Project complexity</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Scope</a:t>
          </a:r>
        </a:p>
        <a:p>
          <a:pPr algn="l" rtl="0">
            <a:defRPr sz="1000"/>
          </a:pPr>
          <a:r>
            <a:rPr lang="en-US" sz="1400" b="0" i="0" strike="noStrike" baseline="0">
              <a:solidFill>
                <a:srgbClr val="000000"/>
              </a:solidFill>
              <a:latin typeface="Calibri"/>
            </a:rPr>
            <a:t>* Schedule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Cost estimate</a:t>
          </a:r>
        </a:p>
        <a:p>
          <a:pPr algn="l" rtl="0">
            <a:defRPr sz="1000"/>
          </a:pPr>
          <a:r>
            <a:rPr lang="en-US" sz="1400" b="0" i="0" strike="noStrike" baseline="0">
              <a:solidFill>
                <a:srgbClr val="000000"/>
              </a:solidFill>
              <a:latin typeface="Calibri"/>
            </a:rPr>
            <a:t>* Project delivery method(s)</a:t>
          </a:r>
        </a:p>
        <a:p>
          <a:pPr algn="l" rtl="0">
            <a:defRPr sz="1000"/>
          </a:pPr>
          <a:r>
            <a:rPr lang="en-US" sz="1400" b="0" i="0" strike="noStrike" baseline="0">
              <a:solidFill>
                <a:srgbClr val="000000"/>
              </a:solidFill>
              <a:latin typeface="Calibri"/>
            </a:rPr>
            <a:t>* Key identified risks</a:t>
          </a:r>
        </a:p>
        <a:p>
          <a:pPr algn="l" rtl="0">
            <a:defRPr sz="1000"/>
          </a:pPr>
          <a:r>
            <a:rPr lang="en-US" sz="1400" b="0" i="0" strike="noStrike" baseline="0">
              <a:solidFill>
                <a:srgbClr val="000000"/>
              </a:solidFill>
              <a:latin typeface="Calibri"/>
            </a:rPr>
            <a:t>* Other factors identified as important to the analysis.</a:t>
          </a:r>
        </a:p>
        <a:p>
          <a:pPr algn="l" rtl="0">
            <a:defRPr sz="1000"/>
          </a:pPr>
          <a:endParaRPr lang="en-US" sz="1400" b="0" i="0" strike="noStrike" baseline="0">
            <a:solidFill>
              <a:srgbClr val="000000"/>
            </a:solidFill>
            <a:latin typeface="Calibri"/>
          </a:endParaRPr>
        </a:p>
        <a:p>
          <a:pPr algn="l" rtl="0">
            <a:defRPr sz="1000"/>
          </a:pPr>
          <a:r>
            <a:rPr lang="en-US" sz="1400" b="0" i="0" strike="noStrike" baseline="0">
              <a:solidFill>
                <a:srgbClr val="000000"/>
              </a:solidFill>
              <a:latin typeface="Calibri"/>
            </a:rPr>
            <a:t>While the OP40 report should contain significant detail regarding these elements, the purpose of this Section 1 is to provide a summary of the most influential among the above factors. Complete each identified section, and in the "notes" box, include factors that provide any reviewer of the workbook substantive background information, especially related to those factors that are influential to the risk analysis contained in this workbook.</a:t>
          </a:r>
        </a:p>
        <a:p>
          <a:pPr algn="l" rtl="0">
            <a:defRPr sz="1000"/>
          </a:pPr>
          <a:endParaRPr lang="en-US" sz="1400" b="0" i="0" strike="noStrike" baseline="0">
            <a:solidFill>
              <a:srgbClr val="000000"/>
            </a:solidFill>
            <a:latin typeface="Calibri"/>
          </a:endParaRPr>
        </a:p>
        <a:p>
          <a:pPr algn="l" rtl="0">
            <a:defRPr sz="1000"/>
          </a:pPr>
          <a:r>
            <a:rPr lang="en-US" sz="1400" b="0" i="0" strike="noStrike" baseline="0">
              <a:solidFill>
                <a:srgbClr val="000000"/>
              </a:solidFill>
              <a:latin typeface="Calibri"/>
            </a:rPr>
            <a:t>Key sources of this information are OP2X and OP3X (and other) reports that necessarily precede this risk analysis.  It may be useful to copy key summary information from these prior reports.</a:t>
          </a:r>
        </a:p>
        <a:p>
          <a:pPr algn="l" rtl="0">
            <a:defRPr sz="1000"/>
          </a:pPr>
          <a:endParaRPr lang="en-US" sz="1400" b="0" i="0" strike="noStrike">
            <a:solidFill>
              <a:srgbClr val="000000"/>
            </a:solidFill>
            <a:latin typeface="Calibri"/>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0.01653</cdr:x>
      <cdr:y>0.01476</cdr:y>
    </cdr:from>
    <cdr:to>
      <cdr:x>0.16968</cdr:x>
      <cdr:y>0.066</cdr:y>
    </cdr:to>
    <cdr:sp macro="" textlink="">
      <cdr:nvSpPr>
        <cdr:cNvPr id="2" name="TextBox 1">
          <a:extLst xmlns:a="http://schemas.openxmlformats.org/drawingml/2006/main">
            <a:ext uri="{FF2B5EF4-FFF2-40B4-BE49-F238E27FC236}">
              <a16:creationId xmlns:a16="http://schemas.microsoft.com/office/drawing/2014/main" id="{EC92DE2E-9ED8-6C43-A1EC-F106AFAD2175}"/>
            </a:ext>
          </a:extLst>
        </cdr:cNvPr>
        <cdr:cNvSpPr txBox="1"/>
      </cdr:nvSpPr>
      <cdr:spPr>
        <a:xfrm xmlns:a="http://schemas.openxmlformats.org/drawingml/2006/main">
          <a:off x="124278" y="75594"/>
          <a:ext cx="1151467" cy="2624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21.xml><?xml version="1.0" encoding="utf-8"?>
<xdr:wsDr xmlns:xdr="http://schemas.openxmlformats.org/drawingml/2006/spreadsheetDrawing" xmlns:a="http://schemas.openxmlformats.org/drawingml/2006/main">
  <xdr:oneCellAnchor>
    <xdr:from>
      <xdr:col>1</xdr:col>
      <xdr:colOff>0</xdr:colOff>
      <xdr:row>1</xdr:row>
      <xdr:rowOff>0</xdr:rowOff>
    </xdr:from>
    <xdr:ext cx="8883650" cy="3693319"/>
    <xdr:sp macro="" textlink="">
      <xdr:nvSpPr>
        <xdr:cNvPr id="3" name="TextBox 2">
          <a:extLst>
            <a:ext uri="{FF2B5EF4-FFF2-40B4-BE49-F238E27FC236}">
              <a16:creationId xmlns:a16="http://schemas.microsoft.com/office/drawing/2014/main" id="{24457824-786F-4095-A720-52B9B3EA9C80}"/>
            </a:ext>
          </a:extLst>
        </xdr:cNvPr>
        <xdr:cNvSpPr txBox="1">
          <a:spLocks noChangeArrowheads="1"/>
        </xdr:cNvSpPr>
      </xdr:nvSpPr>
      <xdr:spPr bwMode="auto">
        <a:xfrm>
          <a:off x="161925" y="161925"/>
          <a:ext cx="8883650" cy="3693319"/>
        </a:xfrm>
        <a:prstGeom prst="rect">
          <a:avLst/>
        </a:prstGeom>
        <a:solidFill>
          <a:srgbClr val="92D050"/>
        </a:solidFill>
        <a:ln w="25400">
          <a:solidFill>
            <a:schemeClr val="tx1"/>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spAutoFit/>
        </a:bodyPr>
        <a:lstStyle/>
        <a:p>
          <a:pPr algn="l" rtl="0">
            <a:defRPr sz="1000"/>
          </a:pPr>
          <a:r>
            <a:rPr lang="en-US" sz="1400" b="1" i="0" u="sng" strike="noStrike">
              <a:solidFill>
                <a:srgbClr val="000000"/>
              </a:solidFill>
              <a:latin typeface="Calibri"/>
            </a:rPr>
            <a:t>Instructions for:</a:t>
          </a:r>
          <a:r>
            <a:rPr lang="en-US" sz="1400" b="1" i="0" u="sng" strike="noStrike" baseline="0">
              <a:solidFill>
                <a:srgbClr val="000000"/>
              </a:solidFill>
              <a:latin typeface="Calibri"/>
            </a:rPr>
            <a:t>  </a:t>
          </a:r>
          <a:r>
            <a:rPr lang="en-US" sz="1400" b="1" i="0" u="sng" strike="noStrike">
              <a:solidFill>
                <a:srgbClr val="000000"/>
              </a:solidFill>
              <a:latin typeface="Calibri"/>
            </a:rPr>
            <a:t>Appendices</a:t>
          </a:r>
          <a:endParaRPr lang="en-US" sz="1400" b="0" i="0" u="none" strike="noStrike">
            <a:solidFill>
              <a:srgbClr val="000000"/>
            </a:solidFill>
            <a:latin typeface="Calibri"/>
          </a:endParaRPr>
        </a:p>
        <a:p>
          <a:pPr algn="l" rtl="0">
            <a:defRPr sz="1000"/>
          </a:pPr>
          <a:r>
            <a:rPr lang="en-US" sz="1200" b="0" i="0" u="none" strike="noStrike">
              <a:solidFill>
                <a:srgbClr val="000000"/>
              </a:solidFill>
              <a:latin typeface="Calibri"/>
            </a:rPr>
            <a:t>This section contains worksheets with tables and calculators that provide</a:t>
          </a:r>
          <a:r>
            <a:rPr lang="en-US" sz="1200" b="0" i="0" u="none" strike="noStrike" baseline="0">
              <a:solidFill>
                <a:srgbClr val="000000"/>
              </a:solidFill>
              <a:latin typeface="Calibri"/>
            </a:rPr>
            <a:t> suggested starting partial Beta values that may be transferred to the </a:t>
          </a:r>
          <a:r>
            <a:rPr lang="en-US" sz="1200" b="0" i="1" u="none" strike="noStrike" baseline="0">
              <a:solidFill>
                <a:srgbClr val="000000"/>
              </a:solidFill>
              <a:latin typeface="Calibri"/>
            </a:rPr>
            <a:t>Risk Assessment</a:t>
          </a:r>
          <a:r>
            <a:rPr lang="en-US" sz="1200" b="0" i="0" u="none" strike="noStrike" baseline="0">
              <a:solidFill>
                <a:srgbClr val="000000"/>
              </a:solidFill>
              <a:latin typeface="Calibri"/>
            </a:rPr>
            <a:t> worksheets</a:t>
          </a:r>
          <a:r>
            <a:rPr lang="en-US" sz="1200" b="0" i="0" u="none" strike="noStrike">
              <a:solidFill>
                <a:srgbClr val="000000"/>
              </a:solidFill>
              <a:latin typeface="Calibri"/>
            </a:rPr>
            <a:t> in</a:t>
          </a:r>
          <a:r>
            <a:rPr lang="en-US" sz="1200" b="0" i="0" u="none" strike="noStrike" baseline="0">
              <a:solidFill>
                <a:srgbClr val="000000"/>
              </a:solidFill>
              <a:latin typeface="Calibri"/>
            </a:rPr>
            <a:t> the Risk Assessment section of this workbook and other tools that may prove useful for the risk analyst.</a:t>
          </a:r>
        </a:p>
        <a:p>
          <a:pPr algn="l" rtl="0">
            <a:defRPr sz="1000"/>
          </a:pPr>
          <a:endParaRPr lang="en-US" sz="1200" b="0" i="0" u="none" strike="noStrike" baseline="0">
            <a:solidFill>
              <a:srgbClr val="000000"/>
            </a:solidFill>
            <a:latin typeface="Calibri"/>
          </a:endParaRPr>
        </a:p>
        <a:p>
          <a:pPr algn="l" rtl="0">
            <a:defRPr sz="1000"/>
          </a:pPr>
          <a:r>
            <a:rPr lang="en-US" sz="1200" b="0" i="0" u="none" strike="noStrike" baseline="0">
              <a:solidFill>
                <a:srgbClr val="000000"/>
              </a:solidFill>
              <a:latin typeface="Calibri"/>
            </a:rPr>
            <a:t>Detailed instruction is provided in the various worksheets.</a:t>
          </a:r>
        </a:p>
        <a:p>
          <a:pPr algn="l" rtl="0">
            <a:defRPr sz="1000"/>
          </a:pPr>
          <a:endParaRPr lang="en-US" sz="1200" b="0" i="0" u="none" strike="noStrike" baseline="0">
            <a:solidFill>
              <a:srgbClr val="000000"/>
            </a:solidFill>
            <a:latin typeface="Calibri"/>
          </a:endParaRPr>
        </a:p>
        <a:p>
          <a:pPr algn="l" rtl="0">
            <a:defRPr sz="1000"/>
          </a:pPr>
          <a:r>
            <a:rPr lang="en-US" sz="1200" b="0" i="0" u="none" strike="noStrike" baseline="0">
              <a:solidFill>
                <a:srgbClr val="000000"/>
              </a:solidFill>
              <a:latin typeface="Calibri"/>
            </a:rPr>
            <a:t>The worksheets in these appendices include:</a:t>
          </a:r>
        </a:p>
        <a:p>
          <a:pPr algn="l" rtl="0">
            <a:defRPr sz="1000"/>
          </a:pPr>
          <a:endParaRPr lang="en-US" sz="1200" b="0" i="0" u="none" strike="noStrike">
            <a:solidFill>
              <a:srgbClr val="000000"/>
            </a:solidFill>
            <a:latin typeface="Calibri"/>
          </a:endParaRPr>
        </a:p>
        <a:p>
          <a:r>
            <a:rPr lang="en-US" sz="1100"/>
            <a:t>** Worksheet tables and calculators that are used in the process of establishing the project's base </a:t>
          </a:r>
          <a:r>
            <a:rPr lang="en-US" sz="1100" u="sng"/>
            <a:t>uncertainty</a:t>
          </a:r>
          <a:r>
            <a:rPr lang="en-US" sz="1100"/>
            <a:t>:</a:t>
          </a:r>
        </a:p>
        <a:p>
          <a:r>
            <a:rPr lang="en-US" sz="1100" baseline="0"/>
            <a:t>	* </a:t>
          </a:r>
          <a:r>
            <a:rPr lang="en-US" sz="1100" i="1" baseline="0"/>
            <a:t>DBB CMGC Beta Uncertainty Standards</a:t>
          </a:r>
          <a:r>
            <a:rPr lang="en-US" sz="1100" baseline="0"/>
            <a:t> for SCC 10-80, and</a:t>
          </a:r>
        </a:p>
        <a:p>
          <a:r>
            <a:rPr lang="en-US" sz="1100" baseline="0"/>
            <a:t>	* Separate tabs for customized </a:t>
          </a:r>
          <a:r>
            <a:rPr lang="en-US" sz="1100" i="1" baseline="0"/>
            <a:t>SCC 10-50, SCC 60-70, and SCC 80 Beta Calculations</a:t>
          </a:r>
          <a:r>
            <a:rPr lang="en-US" sz="1100" baseline="0"/>
            <a:t>.</a:t>
          </a:r>
        </a:p>
        <a:p>
          <a:pPr algn="l" rtl="0">
            <a:defRPr sz="1000"/>
          </a:pPr>
          <a:endParaRPr lang="en-US" sz="1100" b="0" i="0" strike="noStrike">
            <a:solidFill>
              <a:srgbClr val="000000"/>
            </a:solidFill>
            <a:latin typeface="Calibri"/>
          </a:endParaRPr>
        </a:p>
        <a:p>
          <a:r>
            <a:rPr lang="en-US" sz="1100"/>
            <a:t>**A</a:t>
          </a:r>
          <a:r>
            <a:rPr lang="en-US" sz="1100" baseline="0"/>
            <a:t> w</a:t>
          </a:r>
          <a:r>
            <a:rPr lang="en-US" sz="1100"/>
            <a:t>orksheet calculator that is used in the process of establishing partial Beta adjustments for the project's </a:t>
          </a:r>
          <a:r>
            <a:rPr lang="en-US" sz="1100" u="sng"/>
            <a:t>specific risks</a:t>
          </a:r>
          <a:r>
            <a:rPr lang="en-US" sz="1100" u="sng" baseline="0"/>
            <a:t> and conditions</a:t>
          </a:r>
          <a:r>
            <a:rPr lang="en-US" sz="1100"/>
            <a:t>:</a:t>
          </a:r>
        </a:p>
        <a:p>
          <a:r>
            <a:rPr lang="en-US" sz="1100" baseline="0"/>
            <a:t>	* </a:t>
          </a:r>
          <a:r>
            <a:rPr lang="en-US" sz="1100" i="1" baseline="0"/>
            <a:t>Project-specific Risk Calculations</a:t>
          </a:r>
          <a:r>
            <a:rPr lang="en-US" sz="1100" i="0" baseline="0"/>
            <a:t> worksheet</a:t>
          </a:r>
          <a:r>
            <a:rPr lang="en-US" sz="1100" baseline="0"/>
            <a:t>.</a:t>
          </a:r>
        </a:p>
        <a:p>
          <a:pPr algn="l" rtl="0">
            <a:defRPr sz="1000"/>
          </a:pPr>
          <a:r>
            <a:rPr lang="en-US" sz="1100" b="0" i="0" strike="noStrike">
              <a:solidFill>
                <a:srgbClr val="000000"/>
              </a:solidFill>
              <a:latin typeface="+mn-lt"/>
            </a:rPr>
            <a:t>The risk analyst may use other means to determine partial Beta values; if so, the reasoning</a:t>
          </a:r>
          <a:r>
            <a:rPr lang="en-US" sz="1100" b="0" i="0" strike="noStrike" baseline="0">
              <a:solidFill>
                <a:srgbClr val="000000"/>
              </a:solidFill>
              <a:latin typeface="+mn-lt"/>
            </a:rPr>
            <a:t> behind such adjustments should be recorded.</a:t>
          </a:r>
          <a:endParaRPr lang="en-US" sz="1100" b="0" i="0" strike="noStrike">
            <a:solidFill>
              <a:srgbClr val="000000"/>
            </a:solidFill>
            <a:latin typeface="+mn-lt"/>
          </a:endParaRPr>
        </a:p>
        <a:p>
          <a:endParaRPr lang="en-US" sz="1100" baseline="0"/>
        </a:p>
        <a:p>
          <a:r>
            <a:rPr lang="en-US" sz="1100" baseline="0"/>
            <a:t>** A calculator that converts costs from Base Year (BY) to Year of Expenditure (YOE) (and the reverse), using the Sponsor inflation values from its SCC Workbook. This calculator may be useful  in establishing any BY cost adjustments, especially when any adjustments are recommended in YOE values.</a:t>
          </a:r>
        </a:p>
        <a:p>
          <a:endParaRPr lang="en-US" sz="1100" baseline="0"/>
        </a:p>
        <a:p>
          <a:r>
            <a:rPr lang="en-US" sz="1100" baseline="0"/>
            <a:t>** Further, a worsheet entitled </a:t>
          </a:r>
          <a:r>
            <a:rPr lang="en-US" sz="1100" i="1" baseline="0"/>
            <a:t>Cost Risk Calcs Schema </a:t>
          </a:r>
          <a:r>
            <a:rPr lang="en-US" sz="1100" baseline="0"/>
            <a:t>presents the schematic progression of calculations that are the basis of this workbook.</a:t>
          </a: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47627</xdr:colOff>
      <xdr:row>13</xdr:row>
      <xdr:rowOff>114301</xdr:rowOff>
    </xdr:from>
    <xdr:to>
      <xdr:col>4</xdr:col>
      <xdr:colOff>180975</xdr:colOff>
      <xdr:row>30</xdr:row>
      <xdr:rowOff>1</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13</xdr:row>
      <xdr:rowOff>114300</xdr:rowOff>
    </xdr:from>
    <xdr:to>
      <xdr:col>8</xdr:col>
      <xdr:colOff>390525</xdr:colOff>
      <xdr:row>30</xdr:row>
      <xdr:rowOff>0</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457199</xdr:colOff>
      <xdr:row>13</xdr:row>
      <xdr:rowOff>115358</xdr:rowOff>
    </xdr:from>
    <xdr:to>
      <xdr:col>12</xdr:col>
      <xdr:colOff>523874</xdr:colOff>
      <xdr:row>30</xdr:row>
      <xdr:rowOff>1058</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50800</xdr:colOff>
      <xdr:row>0</xdr:row>
      <xdr:rowOff>0</xdr:rowOff>
    </xdr:from>
    <xdr:to>
      <xdr:col>14</xdr:col>
      <xdr:colOff>647700</xdr:colOff>
      <xdr:row>1</xdr:row>
      <xdr:rowOff>0</xdr:rowOff>
    </xdr:to>
    <xdr:sp macro="" textlink="">
      <xdr:nvSpPr>
        <xdr:cNvPr id="2" name="TextBox 1">
          <a:extLst>
            <a:ext uri="{FF2B5EF4-FFF2-40B4-BE49-F238E27FC236}">
              <a16:creationId xmlns:a16="http://schemas.microsoft.com/office/drawing/2014/main" id="{E2B561D0-E0F5-2045-8937-CBE1FDBCBEA6}"/>
            </a:ext>
          </a:extLst>
        </xdr:cNvPr>
        <xdr:cNvSpPr txBox="1"/>
      </xdr:nvSpPr>
      <xdr:spPr>
        <a:xfrm>
          <a:off x="12001500" y="0"/>
          <a:ext cx="4978400" cy="3276600"/>
        </a:xfrm>
        <a:prstGeom prst="rect">
          <a:avLst/>
        </a:prstGeom>
        <a:solidFill>
          <a:srgbClr val="00B05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Project-specific risk adjustments notes</a:t>
          </a:r>
          <a:endParaRPr lang="en-US" sz="1100" b="1" u="sng" baseline="0"/>
        </a:p>
        <a:p>
          <a:r>
            <a:rPr lang="en-US" sz="1100" b="0" u="none" baseline="0"/>
            <a:t>1) The process to the left should be repeated for each risk profile, if multiple risk profiles are used.</a:t>
          </a:r>
        </a:p>
        <a:p>
          <a:endParaRPr lang="en-US" sz="1100" b="0" u="none" baseline="0"/>
        </a:p>
        <a:p>
          <a:r>
            <a:rPr lang="en-US" sz="1100" b="0" u="none" baseline="0"/>
            <a:t>2) When making manual adjustments for project-specific risk, highlight the cell where the adjustment is made with a distinctive color (perhaps orange), and add an Excel "Note" that explains the adjustment.</a:t>
          </a:r>
        </a:p>
        <a:p>
          <a:endParaRPr lang="en-US" sz="1100" b="0" u="none" baseline="0"/>
        </a:p>
        <a:p>
          <a:r>
            <a:rPr lang="en-US" sz="1100" b="0" u="none" baseline="0"/>
            <a:t>3)  If multiple risk types are involved, calculate a separate line for each risk type by SCC (or global SCC 10-50).   Separate the impacts by risk type; don't overlap impacts.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704850</xdr:colOff>
      <xdr:row>26</xdr:row>
      <xdr:rowOff>142875</xdr:rowOff>
    </xdr:to>
    <xdr:sp macro="" textlink="">
      <xdr:nvSpPr>
        <xdr:cNvPr id="2" name="TextBox 1">
          <a:extLst>
            <a:ext uri="{FF2B5EF4-FFF2-40B4-BE49-F238E27FC236}">
              <a16:creationId xmlns:a16="http://schemas.microsoft.com/office/drawing/2014/main" id="{5CF0E7A9-2866-BC4F-B788-D6F82E4CB258}"/>
            </a:ext>
          </a:extLst>
        </xdr:cNvPr>
        <xdr:cNvSpPr txBox="1">
          <a:spLocks noChangeArrowheads="1"/>
        </xdr:cNvSpPr>
      </xdr:nvSpPr>
      <xdr:spPr bwMode="auto">
        <a:xfrm>
          <a:off x="257175" y="161925"/>
          <a:ext cx="9086850" cy="4191000"/>
        </a:xfrm>
        <a:prstGeom prst="rect">
          <a:avLst/>
        </a:prstGeom>
        <a:solidFill>
          <a:srgbClr val="92D050"/>
        </a:solidFill>
        <a:ln w="25400">
          <a:solidFill>
            <a:srgbClr val="7D60A0"/>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Documenting the Sponsor Baseline</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The purpose of the</a:t>
          </a:r>
          <a:r>
            <a:rPr lang="en-US" sz="1400" b="0" i="0" strike="noStrike" baseline="0">
              <a:solidFill>
                <a:srgbClr val="000000"/>
              </a:solidFill>
              <a:latin typeface="Calibri"/>
            </a:rPr>
            <a:t> Section 2</a:t>
          </a:r>
          <a:r>
            <a:rPr lang="en-US" sz="1400" b="0" i="0" strike="noStrike">
              <a:solidFill>
                <a:srgbClr val="000000"/>
              </a:solidFill>
              <a:latin typeface="Calibri"/>
            </a:rPr>
            <a:t> worksheets is to transfer Sponsor cost data from Sponsor-provided documents into this Risk Assessment Workbook in a format that provides for further conditioning and analysis in Section 3. Much of this information is obtained from earlier Oversight Procedure</a:t>
          </a:r>
          <a:r>
            <a:rPr lang="en-US" sz="1400" b="0" i="0" strike="noStrike" baseline="0">
              <a:solidFill>
                <a:srgbClr val="000000"/>
              </a:solidFill>
              <a:latin typeface="Calibri"/>
            </a:rPr>
            <a:t> (OP) </a:t>
          </a:r>
          <a:r>
            <a:rPr lang="en-US" sz="1400" b="0" i="0" strike="noStrike">
              <a:solidFill>
                <a:srgbClr val="000000"/>
              </a:solidFill>
              <a:latin typeface="Calibri"/>
            </a:rPr>
            <a:t>assessments, including and especially OP 33 Capital Cost Estimate</a:t>
          </a:r>
          <a:r>
            <a:rPr lang="en-US" sz="1400" b="0" i="0" strike="noStrike" baseline="0">
              <a:solidFill>
                <a:srgbClr val="000000"/>
              </a:solidFill>
              <a:latin typeface="+mn-lt"/>
            </a:rPr>
            <a:t> Review</a:t>
          </a:r>
          <a:r>
            <a:rPr lang="en-US" sz="1400" b="0" i="0" strike="noStrike">
              <a:solidFill>
                <a:srgbClr val="000000"/>
              </a:solidFill>
              <a:latin typeface="Calibri"/>
            </a:rPr>
            <a:t>.</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Values are generally derived from the Sponsor's FTA SCC Workbook;</a:t>
          </a:r>
          <a:r>
            <a:rPr lang="en-US" sz="1400" b="0" i="0" strike="noStrike" baseline="0">
              <a:solidFill>
                <a:srgbClr val="000000"/>
              </a:solidFill>
              <a:latin typeface="Calibri"/>
            </a:rPr>
            <a:t> transfer t</a:t>
          </a:r>
          <a:r>
            <a:rPr lang="en-US" sz="1400" b="0" i="0" strike="noStrike">
              <a:solidFill>
                <a:srgbClr val="000000"/>
              </a:solidFill>
              <a:latin typeface="Calibri"/>
            </a:rPr>
            <a:t>he Sponsor</a:t>
          </a:r>
          <a:r>
            <a:rPr lang="en-US" sz="1400" b="0" i="0" strike="noStrike" baseline="0">
              <a:solidFill>
                <a:srgbClr val="000000"/>
              </a:solidFill>
              <a:latin typeface="Calibri"/>
            </a:rPr>
            <a:t> cost information as </a:t>
          </a:r>
          <a:r>
            <a:rPr lang="en-US" sz="1400" b="0" i="0" u="sng" strike="noStrike" baseline="0">
              <a:solidFill>
                <a:srgbClr val="000000"/>
              </a:solidFill>
              <a:latin typeface="Calibri"/>
            </a:rPr>
            <a:t>values</a:t>
          </a:r>
          <a:r>
            <a:rPr lang="en-US" sz="1400" b="0" i="0" strike="noStrike" baseline="0">
              <a:solidFill>
                <a:srgbClr val="000000"/>
              </a:solidFill>
              <a:latin typeface="Calibri"/>
            </a:rPr>
            <a:t>, not as formulas.</a:t>
          </a:r>
        </a:p>
        <a:p>
          <a:pPr algn="l" rtl="0">
            <a:defRPr sz="1000"/>
          </a:pPr>
          <a:endParaRPr lang="en-US" sz="1400" b="0" i="0" strike="noStrike" baseline="0">
            <a:solidFill>
              <a:srgbClr val="000000"/>
            </a:solidFill>
            <a:latin typeface="Calibri"/>
          </a:endParaRPr>
        </a:p>
        <a:p>
          <a:pPr algn="l" rtl="0">
            <a:defRPr sz="1000"/>
          </a:pPr>
          <a:r>
            <a:rPr lang="en-US" sz="1400" b="0" i="0" strike="noStrike" baseline="0">
              <a:solidFill>
                <a:srgbClr val="000000"/>
              </a:solidFill>
              <a:latin typeface="Calibri"/>
            </a:rPr>
            <a:t>A worksheet is included that allows for copying and pasting summary-level Sponsor Risk Register information, indicating key, influential Sponsor risks.</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The steps involve:</a:t>
          </a:r>
        </a:p>
        <a:p>
          <a:pPr algn="l" rtl="0">
            <a:defRPr sz="1000"/>
          </a:pPr>
          <a:r>
            <a:rPr lang="en-US" sz="1400" b="0" i="0" strike="noStrike">
              <a:solidFill>
                <a:srgbClr val="000000"/>
              </a:solidFill>
              <a:latin typeface="Calibri"/>
            </a:rPr>
            <a:t>* Obtain and transfer the Base Year (BY) and Year of Expenditure (YOE) estimated values from the SCC Main worksheet of the FTA SCC Workbook</a:t>
          </a:r>
        </a:p>
        <a:p>
          <a:pPr algn="l" rtl="0">
            <a:defRPr sz="1000"/>
          </a:pPr>
          <a:r>
            <a:rPr lang="en-US" sz="1400" b="0" i="0" strike="noStrike">
              <a:solidFill>
                <a:srgbClr val="000000"/>
              </a:solidFill>
              <a:latin typeface="Calibri"/>
            </a:rPr>
            <a:t>* Ensure that the project base year and inflation values on the "Sponsor</a:t>
          </a:r>
          <a:r>
            <a:rPr lang="en-US" sz="1400" b="0" i="0" strike="noStrike" baseline="0">
              <a:solidFill>
                <a:srgbClr val="000000"/>
              </a:solidFill>
              <a:latin typeface="Calibri"/>
            </a:rPr>
            <a:t> SCC Inflation" worksheet</a:t>
          </a:r>
          <a:r>
            <a:rPr lang="en-US" sz="1400" b="0" i="0" strike="noStrike">
              <a:solidFill>
                <a:srgbClr val="000000"/>
              </a:solidFill>
              <a:latin typeface="Calibri"/>
            </a:rPr>
            <a:t> match the </a:t>
          </a:r>
          <a:r>
            <a:rPr lang="en-US" sz="1400" b="0" i="0" strike="noStrike" baseline="0">
              <a:solidFill>
                <a:srgbClr val="000000"/>
              </a:solidFill>
              <a:latin typeface="Calibri"/>
            </a:rPr>
            <a:t>value shown in </a:t>
          </a:r>
          <a:r>
            <a:rPr lang="en-US" sz="1400" b="0" i="0" strike="noStrike">
              <a:solidFill>
                <a:srgbClr val="000000"/>
              </a:solidFill>
              <a:latin typeface="+mn-lt"/>
            </a:rPr>
            <a:t>the FTA SCC Workbook Inflation worksheet</a:t>
          </a:r>
          <a:r>
            <a:rPr lang="en-US" sz="1400" b="0" i="0" strike="noStrike" baseline="0">
              <a:solidFill>
                <a:srgbClr val="000000"/>
              </a:solidFill>
              <a:latin typeface="Calibri"/>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82550</xdr:rowOff>
    </xdr:from>
    <xdr:to>
      <xdr:col>9</xdr:col>
      <xdr:colOff>463550</xdr:colOff>
      <xdr:row>60</xdr:row>
      <xdr:rowOff>107950</xdr:rowOff>
    </xdr:to>
    <xdr:sp macro="" textlink="">
      <xdr:nvSpPr>
        <xdr:cNvPr id="2" name="TextBox 1">
          <a:extLst>
            <a:ext uri="{FF2B5EF4-FFF2-40B4-BE49-F238E27FC236}">
              <a16:creationId xmlns:a16="http://schemas.microsoft.com/office/drawing/2014/main" id="{2C71DB4A-4EB0-6340-8FB9-1ADE46CF4AE4}"/>
            </a:ext>
          </a:extLst>
        </xdr:cNvPr>
        <xdr:cNvSpPr txBox="1">
          <a:spLocks noChangeArrowheads="1"/>
        </xdr:cNvSpPr>
      </xdr:nvSpPr>
      <xdr:spPr bwMode="auto">
        <a:xfrm>
          <a:off x="76200" y="82550"/>
          <a:ext cx="7023100" cy="9550400"/>
        </a:xfrm>
        <a:prstGeom prst="rect">
          <a:avLst/>
        </a:prstGeom>
        <a:solidFill>
          <a:srgbClr val="92D050"/>
        </a:solidFill>
        <a:ln w="25400">
          <a:solidFill>
            <a:srgbClr val="7D60A0"/>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Instructions for:</a:t>
          </a:r>
        </a:p>
        <a:p>
          <a:pPr algn="l" rtl="0">
            <a:defRPr sz="1000"/>
          </a:pPr>
          <a:r>
            <a:rPr lang="en-US" sz="1400" b="1" i="0" u="sng" strike="noStrike">
              <a:solidFill>
                <a:srgbClr val="000000"/>
              </a:solidFill>
              <a:latin typeface="Calibri"/>
            </a:rPr>
            <a:t>Adjusted BY &amp; YOE Estimate</a:t>
          </a:r>
        </a:p>
        <a:p>
          <a:pPr algn="l" rtl="0">
            <a:defRPr sz="1000"/>
          </a:pPr>
          <a:r>
            <a:rPr lang="en-US" sz="1400" b="0" i="1" u="none" strike="noStrike">
              <a:solidFill>
                <a:srgbClr val="000000"/>
              </a:solidFill>
              <a:latin typeface="Calibri"/>
            </a:rPr>
            <a:t>These adjustments are based on principles outlined in OP40, with which the analyst should be familiar.</a:t>
          </a:r>
        </a:p>
        <a:p>
          <a:pPr algn="l" rtl="0">
            <a:defRPr sz="1000"/>
          </a:pPr>
          <a:endParaRPr lang="en-US" sz="1400" b="0" i="0" strike="noStrike">
            <a:solidFill>
              <a:srgbClr val="000000"/>
            </a:solidFill>
            <a:latin typeface="Calibri"/>
          </a:endParaRPr>
        </a:p>
        <a:p>
          <a:pPr algn="l" rtl="0">
            <a:defRPr sz="1000"/>
          </a:pPr>
          <a:r>
            <a:rPr lang="en-US" sz="1400" b="0" i="0" strike="noStrike">
              <a:solidFill>
                <a:srgbClr val="000000"/>
              </a:solidFill>
              <a:latin typeface="Calibri"/>
            </a:rPr>
            <a:t>The purpose of this section is to adjust Sponsor cost data from Sponsor documents as provided in the prior section of this workbook. Adjustments</a:t>
          </a:r>
          <a:r>
            <a:rPr lang="en-US" sz="1400" b="0" i="0" strike="noStrike" baseline="0">
              <a:solidFill>
                <a:srgbClr val="000000"/>
              </a:solidFill>
              <a:latin typeface="Calibri"/>
            </a:rPr>
            <a:t> include determining whether the project should be broken into Risk Profiles (see below), making PMOC adjustments to the Sponsor's Base Year estimated values, and making PMOC adjustments to the Sponsor's inflation calculations.</a:t>
          </a:r>
          <a:endParaRPr lang="en-US" sz="1400" b="0" i="0" strike="noStrike">
            <a:solidFill>
              <a:srgbClr val="000000"/>
            </a:solidFill>
            <a:latin typeface="Calibri"/>
          </a:endParaRPr>
        </a:p>
        <a:p>
          <a:pPr algn="l" rtl="0">
            <a:defRPr sz="1000"/>
          </a:pPr>
          <a:endParaRPr lang="en-US" sz="1400" b="0" i="0" strike="noStrike">
            <a:solidFill>
              <a:srgbClr val="000000"/>
            </a:solidFill>
            <a:latin typeface="Calibri"/>
          </a:endParaRPr>
        </a:p>
        <a:p>
          <a:pPr algn="l" rtl="0">
            <a:defRPr sz="1000"/>
          </a:pPr>
          <a:r>
            <a:rPr lang="en-US" sz="1400" b="1" i="0" u="sng" strike="noStrike">
              <a:solidFill>
                <a:srgbClr val="000000"/>
              </a:solidFill>
              <a:latin typeface="+mn-lt"/>
            </a:rPr>
            <a:t>Risk Profiles</a:t>
          </a:r>
          <a:r>
            <a:rPr lang="en-US" sz="1400" b="1" i="0" u="sng" strike="noStrike" baseline="0">
              <a:solidFill>
                <a:srgbClr val="000000"/>
              </a:solidFill>
              <a:latin typeface="+mn-lt"/>
            </a:rPr>
            <a:t> </a:t>
          </a:r>
          <a:r>
            <a:rPr lang="en-US" sz="1400" b="0" i="0" u="none" strike="noStrike" baseline="0">
              <a:solidFill>
                <a:srgbClr val="000000"/>
              </a:solidFill>
              <a:latin typeface="+mn-lt"/>
            </a:rPr>
            <a:t>  </a:t>
          </a:r>
          <a:r>
            <a:rPr lang="en-US" sz="1400" b="0" i="0" strike="noStrike">
              <a:solidFill>
                <a:srgbClr val="000000"/>
              </a:solidFill>
              <a:latin typeface="+mn-lt"/>
            </a:rPr>
            <a:t>The workbook allows for distinct portions of any given project to be segregated for easier assessment. These portions would typically be those which have distinct </a:t>
          </a:r>
          <a:r>
            <a:rPr lang="en-US" sz="1400" b="0" i="1" strike="noStrike">
              <a:solidFill>
                <a:srgbClr val="000000"/>
              </a:solidFill>
              <a:latin typeface="+mn-lt"/>
            </a:rPr>
            <a:t>risk profiles</a:t>
          </a:r>
          <a:r>
            <a:rPr lang="en-US" sz="1400" b="0" i="0" strike="noStrike">
              <a:solidFill>
                <a:srgbClr val="000000"/>
              </a:solidFill>
              <a:latin typeface="+mn-lt"/>
            </a:rPr>
            <a:t>; for example, if a project has a portion for which contracts have already been received, and a portion for which contracts are still under design, then these two portions may very well have differing risk profiles. The same may occur for projects that are in different stages of construction, or for which differing project delivery systems have been developed. Built within the workbook is the ability to have 4 distinct risk profiles; each distinct portion is then aggregated on a "weighted"</a:t>
          </a:r>
          <a:r>
            <a:rPr lang="en-US" sz="1400" b="0" i="0" strike="noStrike" baseline="0">
              <a:solidFill>
                <a:srgbClr val="000000"/>
              </a:solidFill>
              <a:latin typeface="+mn-lt"/>
            </a:rPr>
            <a:t> </a:t>
          </a:r>
          <a:r>
            <a:rPr lang="en-US" sz="1400" b="0" i="0" strike="noStrike">
              <a:solidFill>
                <a:srgbClr val="000000"/>
              </a:solidFill>
              <a:latin typeface="+mn-lt"/>
            </a:rPr>
            <a:t>basis to provide a holistic view of the risk for the whole project.</a:t>
          </a:r>
        </a:p>
        <a:p>
          <a:pPr algn="l" rtl="0">
            <a:defRPr sz="1000"/>
          </a:pPr>
          <a:endParaRPr lang="en-US" sz="1400" b="0" i="0" strike="noStrike">
            <a:solidFill>
              <a:srgbClr val="000000"/>
            </a:solidFill>
            <a:latin typeface="+mn-lt"/>
          </a:endParaRPr>
        </a:p>
        <a:p>
          <a:pPr algn="l" rtl="0">
            <a:defRPr sz="1000"/>
          </a:pPr>
          <a:r>
            <a:rPr lang="en-US" sz="1400" b="1" i="0" u="sng" strike="noStrike">
              <a:solidFill>
                <a:srgbClr val="000000"/>
              </a:solidFill>
              <a:latin typeface="+mn-lt"/>
            </a:rPr>
            <a:t>Risk Profiles Expansion</a:t>
          </a:r>
          <a:r>
            <a:rPr lang="en-US" sz="1400" b="0" i="0" u="none" strike="noStrike" baseline="0">
              <a:solidFill>
                <a:srgbClr val="000000"/>
              </a:solidFill>
              <a:latin typeface="+mn-lt"/>
            </a:rPr>
            <a:t>  </a:t>
          </a:r>
          <a:r>
            <a:rPr lang="en-US" sz="1400" b="0" i="0" u="none" strike="noStrike">
              <a:solidFill>
                <a:srgbClr val="000000"/>
              </a:solidFill>
              <a:latin typeface="+mn-lt"/>
            </a:rPr>
            <a:t>Additional</a:t>
          </a:r>
          <a:r>
            <a:rPr lang="en-US" sz="1400" b="0" i="0" strike="noStrike">
              <a:solidFill>
                <a:srgbClr val="000000"/>
              </a:solidFill>
              <a:latin typeface="+mn-lt"/>
            </a:rPr>
            <a:t> profiles (beyond 4) may be added by transferring</a:t>
          </a:r>
          <a:r>
            <a:rPr lang="en-US" sz="1400" b="0" i="0" strike="noStrike" baseline="0">
              <a:solidFill>
                <a:srgbClr val="000000"/>
              </a:solidFill>
              <a:latin typeface="+mn-lt"/>
            </a:rPr>
            <a:t> results from an additional "addendum" risk workbook.  Sections 1 (project background) and 2 (Sponsor SCC workbook values) of the addendum risk workbook are completed using the same information as, and may be copied from, the prime workbook. Sections 3 (PMOC adjustments) and 4 (Risk factoring) are completed using values and factors that are unique to the additional risk profile(s).</a:t>
          </a:r>
        </a:p>
        <a:p>
          <a:pPr algn="l" rtl="0">
            <a:defRPr sz="1000"/>
          </a:pPr>
          <a:endParaRPr lang="en-US" sz="1400" b="0" i="0" strike="noStrike" baseline="0">
            <a:solidFill>
              <a:srgbClr val="000000"/>
            </a:solidFill>
            <a:latin typeface="+mn-lt"/>
          </a:endParaRPr>
        </a:p>
        <a:p>
          <a:pPr algn="l" rtl="0">
            <a:defRPr sz="1000"/>
          </a:pPr>
          <a:r>
            <a:rPr lang="en-US" sz="1400" b="0" i="0" strike="noStrike" baseline="0">
              <a:solidFill>
                <a:srgbClr val="000000"/>
              </a:solidFill>
              <a:latin typeface="+mn-lt"/>
            </a:rPr>
            <a:t>The Section 4 Risk Assessment Total worksheet results from the addendum risk workbook are transferred to the prime risk workbook into the highlighted cells in the Section 4 Additional Profiles worksheet. Section 5 Risk Assessment Analysis addendum worksheet Overall results are transferred into the Section 5 Risk Assessment Analysis prime worksheet Additional Profiles highlighted cells.</a:t>
          </a:r>
        </a:p>
        <a:p>
          <a:pPr algn="l" rtl="0">
            <a:defRPr sz="1000"/>
          </a:pPr>
          <a:endParaRPr lang="en-US" sz="1400" b="0" i="0" strike="noStrike" baseline="0">
            <a:solidFill>
              <a:srgbClr val="000000"/>
            </a:solidFill>
            <a:latin typeface="+mn-lt"/>
          </a:endParaRPr>
        </a:p>
        <a:p>
          <a:pPr algn="l" rtl="0">
            <a:defRPr sz="1000"/>
          </a:pPr>
          <a:r>
            <a:rPr lang="en-US" sz="1400" b="0" i="0" strike="noStrike" baseline="0">
              <a:solidFill>
                <a:srgbClr val="000000"/>
              </a:solidFill>
              <a:latin typeface="+mn-lt"/>
            </a:rPr>
            <a:t>Note that when addendum risk workbooks are used, the error checking column in the "PMOC BY Risk Profile Values" tab will not function.</a:t>
          </a:r>
          <a:endParaRPr lang="en-US" sz="1400" b="0" i="0" strike="noStrike">
            <a:solidFill>
              <a:srgbClr val="000000"/>
            </a:solidFill>
            <a:latin typeface="+mn-lt"/>
          </a:endParaRPr>
        </a:p>
        <a:p>
          <a:pPr algn="l" rtl="0">
            <a:defRPr sz="1000"/>
          </a:pPr>
          <a:endParaRPr lang="en-US" sz="1400" b="0" i="0" strike="noStrike">
            <a:solidFill>
              <a:srgbClr val="000000"/>
            </a:solidFill>
            <a:latin typeface="+mn-lt"/>
          </a:endParaRPr>
        </a:p>
        <a:p>
          <a:pPr algn="l" rtl="0">
            <a:defRPr sz="1000"/>
          </a:pPr>
          <a:r>
            <a:rPr lang="en-US" sz="1400" b="0" i="0" strike="noStrike">
              <a:solidFill>
                <a:srgbClr val="000000"/>
              </a:solidFill>
              <a:latin typeface="+mn-lt"/>
            </a:rPr>
            <a:t>Segregating the</a:t>
          </a:r>
          <a:r>
            <a:rPr lang="en-US" sz="1400" b="0" i="0" strike="noStrike" baseline="0">
              <a:solidFill>
                <a:srgbClr val="000000"/>
              </a:solidFill>
              <a:latin typeface="+mn-lt"/>
            </a:rPr>
            <a:t> project's cost estimate into different profiles must be carefully done, and the sum of the profiles should be checked against the total estimate provided in the Sponsor FTA SCC Workbook.</a:t>
          </a:r>
        </a:p>
        <a:p>
          <a:pPr algn="l" rtl="0">
            <a:defRPr sz="1000"/>
          </a:pPr>
          <a:endParaRPr lang="en-US" sz="1400" b="0" i="0" strike="noStrike" baseline="0">
            <a:solidFill>
              <a:srgbClr val="000000"/>
            </a:solidFill>
            <a:latin typeface="+mn-lt"/>
          </a:endParaRPr>
        </a:p>
        <a:p>
          <a:pPr algn="l" rtl="0">
            <a:defRPr sz="1000"/>
          </a:pPr>
          <a:r>
            <a:rPr lang="en-US" sz="1400" b="0" i="0" strike="noStrike" baseline="0">
              <a:solidFill>
                <a:srgbClr val="000000"/>
              </a:solidFill>
              <a:latin typeface="+mn-lt"/>
            </a:rPr>
            <a:t>File names for prime and addendum risk workbooks should carry the same name, with either "prime" or "addendum" included to distinguish between them.</a:t>
          </a:r>
        </a:p>
        <a:p>
          <a:pPr algn="l" rtl="0">
            <a:defRPr sz="1000"/>
          </a:pPr>
          <a:endParaRPr lang="en-US" sz="1400" b="0" i="0" strike="noStrike" baseline="0">
            <a:solidFill>
              <a:srgbClr val="000000"/>
            </a:solidFill>
            <a:latin typeface="+mn-lt"/>
          </a:endParaRPr>
        </a:p>
      </xdr:txBody>
    </xdr:sp>
    <xdr:clientData/>
  </xdr:twoCellAnchor>
  <xdr:twoCellAnchor>
    <xdr:from>
      <xdr:col>9</xdr:col>
      <xdr:colOff>476250</xdr:colOff>
      <xdr:row>0</xdr:row>
      <xdr:rowOff>88900</xdr:rowOff>
    </xdr:from>
    <xdr:to>
      <xdr:col>20</xdr:col>
      <xdr:colOff>488950</xdr:colOff>
      <xdr:row>56</xdr:row>
      <xdr:rowOff>139700</xdr:rowOff>
    </xdr:to>
    <xdr:sp macro="" textlink="">
      <xdr:nvSpPr>
        <xdr:cNvPr id="3" name="TextBox 2">
          <a:extLst>
            <a:ext uri="{FF2B5EF4-FFF2-40B4-BE49-F238E27FC236}">
              <a16:creationId xmlns:a16="http://schemas.microsoft.com/office/drawing/2014/main" id="{D6FE3C1E-8E9D-B849-8D77-FF9788D824D3}"/>
            </a:ext>
          </a:extLst>
        </xdr:cNvPr>
        <xdr:cNvSpPr txBox="1">
          <a:spLocks noChangeArrowheads="1"/>
        </xdr:cNvSpPr>
      </xdr:nvSpPr>
      <xdr:spPr bwMode="auto">
        <a:xfrm>
          <a:off x="7112000" y="88900"/>
          <a:ext cx="8813800" cy="8940800"/>
        </a:xfrm>
        <a:prstGeom prst="rect">
          <a:avLst/>
        </a:prstGeom>
        <a:solidFill>
          <a:srgbClr val="92D050"/>
        </a:solidFill>
        <a:ln w="25400">
          <a:solidFill>
            <a:srgbClr val="7D60A0"/>
          </a:solid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400" b="1" i="0" u="sng" strike="noStrike">
              <a:solidFill>
                <a:srgbClr val="000000"/>
              </a:solidFill>
              <a:latin typeface="Calibri"/>
            </a:rPr>
            <a:t>Instructions for:</a:t>
          </a:r>
        </a:p>
        <a:p>
          <a:pPr algn="l" rtl="0">
            <a:defRPr sz="1000"/>
          </a:pPr>
          <a:r>
            <a:rPr lang="en-US" sz="1400" b="1" i="0" u="sng" strike="noStrike">
              <a:solidFill>
                <a:srgbClr val="000000"/>
              </a:solidFill>
              <a:latin typeface="Calibri"/>
            </a:rPr>
            <a:t>Adjusted BY &amp; YOE Estimate</a:t>
          </a:r>
        </a:p>
        <a:p>
          <a:pPr algn="l" rtl="0">
            <a:defRPr sz="1000"/>
          </a:pPr>
          <a:endParaRPr lang="en-US" sz="1400" b="0" i="0" strike="noStrike">
            <a:solidFill>
              <a:srgbClr val="000000"/>
            </a:solidFill>
            <a:latin typeface="Calibri"/>
          </a:endParaRPr>
        </a:p>
        <a:p>
          <a:pPr algn="l" rtl="0">
            <a:defRPr sz="1000"/>
          </a:pPr>
          <a:r>
            <a:rPr lang="en-US" sz="1400" b="0" i="0" strike="noStrike" baseline="0">
              <a:solidFill>
                <a:srgbClr val="000000"/>
              </a:solidFill>
              <a:latin typeface="+mn-lt"/>
            </a:rPr>
            <a:t>Determine whether the project should be divided into risk profiles:</a:t>
          </a:r>
        </a:p>
        <a:p>
          <a:pPr algn="l" rtl="0">
            <a:defRPr sz="1000"/>
          </a:pPr>
          <a:endParaRPr lang="en-US" sz="1400" b="0" i="1" strike="noStrike" baseline="0">
            <a:solidFill>
              <a:srgbClr val="000000"/>
            </a:solidFill>
            <a:latin typeface="+mn-lt"/>
          </a:endParaRPr>
        </a:p>
        <a:p>
          <a:pPr algn="l" rtl="0">
            <a:defRPr sz="1000"/>
          </a:pPr>
          <a:r>
            <a:rPr lang="en-US" sz="1400" b="1" i="1" strike="noStrike" baseline="0">
              <a:solidFill>
                <a:srgbClr val="000000"/>
              </a:solidFill>
              <a:latin typeface="+mn-lt"/>
            </a:rPr>
            <a:t>If risk profiles are not used</a:t>
          </a:r>
          <a:r>
            <a:rPr lang="en-US" sz="1400" b="0" i="0" strike="noStrike" baseline="0">
              <a:solidFill>
                <a:srgbClr val="000000"/>
              </a:solidFill>
              <a:latin typeface="+mn-lt"/>
            </a:rPr>
            <a:t>:</a:t>
          </a:r>
        </a:p>
        <a:p>
          <a:pPr algn="l" rtl="0">
            <a:defRPr sz="1000"/>
          </a:pPr>
          <a:r>
            <a:rPr lang="en-US" sz="1400" b="0" i="0" strike="noStrike" baseline="0">
              <a:solidFill>
                <a:srgbClr val="000000"/>
              </a:solidFill>
              <a:latin typeface="+mn-lt"/>
            </a:rPr>
            <a:t>-- indicate so on the risk profile description tab,</a:t>
          </a:r>
        </a:p>
        <a:p>
          <a:pPr algn="l" rtl="0">
            <a:defRPr sz="1000"/>
          </a:pPr>
          <a:r>
            <a:rPr lang="en-US" sz="1400" b="0" i="0" strike="noStrike" baseline="0">
              <a:solidFill>
                <a:srgbClr val="000000"/>
              </a:solidFill>
              <a:latin typeface="+mn-lt"/>
            </a:rPr>
            <a:t>-- verify that the Sponsor BY cost estimate has been automatically properly transferred to the PMOC Base Year Adjustments tab.</a:t>
          </a:r>
        </a:p>
        <a:p>
          <a:pPr algn="l" rtl="0">
            <a:defRPr sz="1000"/>
          </a:pPr>
          <a:endParaRPr lang="en-US" sz="1400" b="0" i="1" strike="noStrike" baseline="0">
            <a:solidFill>
              <a:srgbClr val="000000"/>
            </a:solidFill>
            <a:latin typeface="+mn-lt"/>
          </a:endParaRPr>
        </a:p>
        <a:p>
          <a:pPr algn="l" rtl="0">
            <a:defRPr sz="1000"/>
          </a:pPr>
          <a:r>
            <a:rPr lang="en-US" sz="1400" b="1" i="1" strike="noStrike" baseline="0">
              <a:solidFill>
                <a:srgbClr val="000000"/>
              </a:solidFill>
              <a:latin typeface="+mn-lt"/>
            </a:rPr>
            <a:t>If up to four risk profiles are used</a:t>
          </a:r>
          <a:r>
            <a:rPr lang="en-US" sz="1400" b="1" i="0" strike="noStrike" baseline="0">
              <a:solidFill>
                <a:srgbClr val="000000"/>
              </a:solidFill>
              <a:latin typeface="+mn-lt"/>
            </a:rPr>
            <a:t>:</a:t>
          </a:r>
        </a:p>
        <a:p>
          <a:pPr algn="l" rtl="0">
            <a:defRPr sz="1000"/>
          </a:pPr>
          <a:r>
            <a:rPr lang="en-US" sz="1400" b="0" i="0" strike="noStrike" baseline="0">
              <a:solidFill>
                <a:srgbClr val="000000"/>
              </a:solidFill>
              <a:latin typeface="+mn-lt"/>
            </a:rPr>
            <a:t>-- describe those risk profiles on the risk profile description tab,</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develop a PMOC workbook that segregates the Sponsor cost estimate by risk profile,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transfer this information to the PMOC Base Year Adjustments tab.</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More than four risk profiles may be used, see instruction at bottom.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400" b="0" i="0" strike="noStrike" baseline="0">
            <a:solidFill>
              <a:srgbClr val="000000"/>
            </a:solidFill>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Develop and apply adjustments to the Sponsor's Base year values in the PMOC BY Adj worksheet.  Three categories of adjustments are provided: Direct cost adjustments, time-related direct cost adjustments, and latent contingency adjustments.  It is helpful to record brief reasons for any such adjustments.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Time-related adjustments include such items as direct costs for construction overhead due to anticipated extended project duration or for Sponsor staffing extension direct costs.  Not included in the PMOC BY Adj worksheet are inflation cost adjustments due to anticipated changes to the Sponsor annual cash flow or expected changes to the Sponsor infaltion values; those changes are accounted for in the PMOC Globl Infl Adjst and PMOC Profl Infl Adj worksheets.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400" b="0" i="0" strike="noStrike" baseline="0">
            <a:solidFill>
              <a:srgbClr val="000000"/>
            </a:solidFill>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Based upon results from the OP34 schedule and OP40 schedule risk analysis and other schedule-related information, if necessary amend a copy of the Sponsor SCC Workbook Inflation worksheet to establish revised cash flow values or inflation values.  Input the summary values into the PMOC Inflation Adjustment tab; if no PMOC adjustments, input the original Sponsor values.  Such revised rates may be calculated using a copy of the Sponsor SCC Workbook or may require a separately-documented spreadsheet analysis.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400" b="0" i="0" strike="noStrike" baseline="0">
            <a:solidFill>
              <a:srgbClr val="000000"/>
            </a:solidFill>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The above information is transferred to the PMOC YOE Adjustments worksheet.  The adjusted inflation rates for each SCC category are transferred to each risk profile.  If further definition of PMOC inflation rates is desired, enter those rates in the PMOC YOE Adjustments worksheet.</a:t>
          </a:r>
        </a:p>
        <a:p>
          <a:pPr algn="l" rtl="0">
            <a:defRPr sz="1000"/>
          </a:pPr>
          <a:endParaRPr lang="en-US" sz="1400" b="0" i="0" strike="noStrike">
            <a:solidFill>
              <a:srgbClr val="000000"/>
            </a:solidFill>
            <a:latin typeface="+mn-lt"/>
          </a:endParaRPr>
        </a:p>
        <a:p>
          <a:pPr algn="l" rtl="0">
            <a:defRPr sz="1000"/>
          </a:pPr>
          <a:r>
            <a:rPr lang="en-US" sz="1400" b="0" i="0" strike="noStrike">
              <a:solidFill>
                <a:srgbClr val="000000"/>
              </a:solidFill>
              <a:latin typeface="+mn-lt"/>
            </a:rPr>
            <a:t>The Adjusted YOE Estimate that results from these worksheets will form the basis for the Lower Bound for the risk assessment on the subsequent worksheets.  It is important that these values are well-established before proceeding with the analysis.  Among the important considerations is ensuring that all efforts have been made to strip the original estimate of the contingency; failure to do so will in effect cause a "double-counting" of amounts recommended to be added to the base estimate to protect against risk.</a:t>
          </a:r>
        </a:p>
        <a:p>
          <a:pPr algn="l" rtl="0">
            <a:defRPr sz="1000"/>
          </a:pPr>
          <a:endParaRPr lang="en-US" sz="1400" b="0" i="0" strike="noStrike">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1" i="0" strike="noStrike" baseline="0">
              <a:solidFill>
                <a:srgbClr val="000000"/>
              </a:solidFill>
              <a:latin typeface="+mn-lt"/>
            </a:rPr>
            <a:t>* </a:t>
          </a:r>
          <a:r>
            <a:rPr lang="en-US" sz="1400" b="1" i="1" strike="noStrike" baseline="0">
              <a:solidFill>
                <a:srgbClr val="000000"/>
              </a:solidFill>
              <a:latin typeface="+mn-lt"/>
            </a:rPr>
            <a:t>If more than four risk profiles are required</a:t>
          </a:r>
          <a:r>
            <a:rPr lang="en-US" sz="1400" b="1" i="0" strike="noStrike" baseline="0">
              <a:solidFill>
                <a:srgbClr val="000000"/>
              </a:solidFill>
              <a:latin typeface="+mn-lt"/>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complete an additional "addendum" risk workbook for up to four more risk profiles using the instructions to the left,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transfer results to the Section 4 "Additional Profiles" tab and the Section 5 "Risk Assessment Analysis" tab.</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strike="noStrike" baseline="0">
              <a:solidFill>
                <a:srgbClr val="000000"/>
              </a:solidFill>
              <a:latin typeface="+mn-lt"/>
            </a:rPr>
            <a:t>-- Each addendum may, in turn, include a "chained" sub-addendum workbook to achieve even further risk profile expansion.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38100</xdr:rowOff>
    </xdr:from>
    <xdr:to>
      <xdr:col>12</xdr:col>
      <xdr:colOff>406400</xdr:colOff>
      <xdr:row>22</xdr:row>
      <xdr:rowOff>25400</xdr:rowOff>
    </xdr:to>
    <xdr:sp macro="" textlink="">
      <xdr:nvSpPr>
        <xdr:cNvPr id="2" name="TextBox 1">
          <a:extLst>
            <a:ext uri="{FF2B5EF4-FFF2-40B4-BE49-F238E27FC236}">
              <a16:creationId xmlns:a16="http://schemas.microsoft.com/office/drawing/2014/main" id="{58BFEEA2-763C-004D-8DD6-2A273864D664}"/>
            </a:ext>
          </a:extLst>
        </xdr:cNvPr>
        <xdr:cNvSpPr txBox="1"/>
      </xdr:nvSpPr>
      <xdr:spPr>
        <a:xfrm>
          <a:off x="0" y="381000"/>
          <a:ext cx="10312400" cy="32893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Risk Profile 1 Description</a:t>
          </a:r>
        </a:p>
        <a:p>
          <a:r>
            <a:rPr lang="en-US" sz="1100" b="0" u="none"/>
            <a:t>Place notes here.</a:t>
          </a:r>
        </a:p>
      </xdr:txBody>
    </xdr:sp>
    <xdr:clientData/>
  </xdr:twoCellAnchor>
  <xdr:twoCellAnchor>
    <xdr:from>
      <xdr:col>0</xdr:col>
      <xdr:colOff>0</xdr:colOff>
      <xdr:row>25</xdr:row>
      <xdr:rowOff>38100</xdr:rowOff>
    </xdr:from>
    <xdr:to>
      <xdr:col>12</xdr:col>
      <xdr:colOff>406400</xdr:colOff>
      <xdr:row>45</xdr:row>
      <xdr:rowOff>25400</xdr:rowOff>
    </xdr:to>
    <xdr:sp macro="" textlink="">
      <xdr:nvSpPr>
        <xdr:cNvPr id="3" name="TextBox 2">
          <a:extLst>
            <a:ext uri="{FF2B5EF4-FFF2-40B4-BE49-F238E27FC236}">
              <a16:creationId xmlns:a16="http://schemas.microsoft.com/office/drawing/2014/main" id="{C6925C49-ACFC-174E-8286-B1479280ABBB}"/>
            </a:ext>
          </a:extLst>
        </xdr:cNvPr>
        <xdr:cNvSpPr txBox="1"/>
      </xdr:nvSpPr>
      <xdr:spPr>
        <a:xfrm>
          <a:off x="0" y="4191000"/>
          <a:ext cx="10312400" cy="32893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Risk Profile 2</a:t>
          </a:r>
          <a:r>
            <a:rPr lang="en-US" sz="1100" b="1" u="sng" baseline="0"/>
            <a:t> </a:t>
          </a:r>
          <a:r>
            <a:rPr lang="en-US" sz="1100" b="1" u="sng"/>
            <a:t>Description</a:t>
          </a:r>
        </a:p>
        <a:p>
          <a:r>
            <a:rPr lang="en-US" sz="1100" b="0" u="none"/>
            <a:t>Place notes here.</a:t>
          </a:r>
        </a:p>
      </xdr:txBody>
    </xdr:sp>
    <xdr:clientData/>
  </xdr:twoCellAnchor>
  <xdr:twoCellAnchor>
    <xdr:from>
      <xdr:col>0</xdr:col>
      <xdr:colOff>0</xdr:colOff>
      <xdr:row>48</xdr:row>
      <xdr:rowOff>50800</xdr:rowOff>
    </xdr:from>
    <xdr:to>
      <xdr:col>12</xdr:col>
      <xdr:colOff>406400</xdr:colOff>
      <xdr:row>70</xdr:row>
      <xdr:rowOff>38100</xdr:rowOff>
    </xdr:to>
    <xdr:sp macro="" textlink="">
      <xdr:nvSpPr>
        <xdr:cNvPr id="4" name="TextBox 3">
          <a:extLst>
            <a:ext uri="{FF2B5EF4-FFF2-40B4-BE49-F238E27FC236}">
              <a16:creationId xmlns:a16="http://schemas.microsoft.com/office/drawing/2014/main" id="{4A0B2D0D-2856-2045-A2C5-6068B2EFBAF9}"/>
            </a:ext>
          </a:extLst>
        </xdr:cNvPr>
        <xdr:cNvSpPr txBox="1"/>
      </xdr:nvSpPr>
      <xdr:spPr>
        <a:xfrm>
          <a:off x="0" y="8039100"/>
          <a:ext cx="10312400" cy="36195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Risk Profile 3 Description</a:t>
          </a:r>
          <a:r>
            <a:rPr lang="en-US" sz="1100" b="1" u="sng" baseline="0"/>
            <a:t> </a:t>
          </a:r>
        </a:p>
        <a:p>
          <a:r>
            <a:rPr lang="en-US" sz="1100" b="0" u="none"/>
            <a:t>Place notes here.</a:t>
          </a:r>
        </a:p>
      </xdr:txBody>
    </xdr:sp>
    <xdr:clientData/>
  </xdr:twoCellAnchor>
  <xdr:twoCellAnchor>
    <xdr:from>
      <xdr:col>0</xdr:col>
      <xdr:colOff>12700</xdr:colOff>
      <xdr:row>73</xdr:row>
      <xdr:rowOff>38100</xdr:rowOff>
    </xdr:from>
    <xdr:to>
      <xdr:col>12</xdr:col>
      <xdr:colOff>419100</xdr:colOff>
      <xdr:row>93</xdr:row>
      <xdr:rowOff>0</xdr:rowOff>
    </xdr:to>
    <xdr:sp macro="" textlink="">
      <xdr:nvSpPr>
        <xdr:cNvPr id="5" name="TextBox 4">
          <a:extLst>
            <a:ext uri="{FF2B5EF4-FFF2-40B4-BE49-F238E27FC236}">
              <a16:creationId xmlns:a16="http://schemas.microsoft.com/office/drawing/2014/main" id="{860D408C-90DD-F040-935D-1B3FDCA8B3AB}"/>
            </a:ext>
          </a:extLst>
        </xdr:cNvPr>
        <xdr:cNvSpPr txBox="1"/>
      </xdr:nvSpPr>
      <xdr:spPr>
        <a:xfrm>
          <a:off x="12700" y="12179300"/>
          <a:ext cx="10312400" cy="32639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Risk Profile 4</a:t>
          </a:r>
          <a:r>
            <a:rPr lang="en-US" sz="1100" b="1" u="sng" baseline="0"/>
            <a:t> </a:t>
          </a:r>
          <a:r>
            <a:rPr lang="en-US" sz="1100" b="1" u="sng"/>
            <a:t>Description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423333</xdr:colOff>
      <xdr:row>72</xdr:row>
      <xdr:rowOff>8467</xdr:rowOff>
    </xdr:from>
    <xdr:to>
      <xdr:col>3</xdr:col>
      <xdr:colOff>412750</xdr:colOff>
      <xdr:row>82</xdr:row>
      <xdr:rowOff>61384</xdr:rowOff>
    </xdr:to>
    <xdr:sp macro="" textlink="">
      <xdr:nvSpPr>
        <xdr:cNvPr id="2" name="TextBox 1">
          <a:extLst>
            <a:ext uri="{FF2B5EF4-FFF2-40B4-BE49-F238E27FC236}">
              <a16:creationId xmlns:a16="http://schemas.microsoft.com/office/drawing/2014/main" id="{D68E5D3C-366E-6744-B5E7-A929D5476BEA}"/>
            </a:ext>
          </a:extLst>
        </xdr:cNvPr>
        <xdr:cNvSpPr txBox="1"/>
      </xdr:nvSpPr>
      <xdr:spPr>
        <a:xfrm>
          <a:off x="423333" y="12835467"/>
          <a:ext cx="5615517" cy="164041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Source files used</a:t>
          </a:r>
        </a:p>
        <a:p>
          <a:r>
            <a:rPr lang="en-US" sz="1100"/>
            <a:t>Place notes here.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71</xdr:row>
      <xdr:rowOff>0</xdr:rowOff>
    </xdr:from>
    <xdr:to>
      <xdr:col>2</xdr:col>
      <xdr:colOff>932392</xdr:colOff>
      <xdr:row>81</xdr:row>
      <xdr:rowOff>116417</xdr:rowOff>
    </xdr:to>
    <xdr:sp macro="" textlink="">
      <xdr:nvSpPr>
        <xdr:cNvPr id="3" name="TextBox 2">
          <a:extLst>
            <a:ext uri="{FF2B5EF4-FFF2-40B4-BE49-F238E27FC236}">
              <a16:creationId xmlns:a16="http://schemas.microsoft.com/office/drawing/2014/main" id="{E4ABF816-3C70-164B-ABDE-6065E11BD34C}"/>
            </a:ext>
          </a:extLst>
        </xdr:cNvPr>
        <xdr:cNvSpPr txBox="1"/>
      </xdr:nvSpPr>
      <xdr:spPr>
        <a:xfrm>
          <a:off x="0" y="17907000"/>
          <a:ext cx="6123517" cy="170391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Source files used</a:t>
          </a:r>
        </a:p>
        <a:p>
          <a:r>
            <a:rPr lang="en-US" sz="1100"/>
            <a:t>Place notes here.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40</xdr:row>
      <xdr:rowOff>12700</xdr:rowOff>
    </xdr:from>
    <xdr:to>
      <xdr:col>3</xdr:col>
      <xdr:colOff>241300</xdr:colOff>
      <xdr:row>50</xdr:row>
      <xdr:rowOff>129117</xdr:rowOff>
    </xdr:to>
    <xdr:sp macro="" textlink="">
      <xdr:nvSpPr>
        <xdr:cNvPr id="3" name="TextBox 2">
          <a:extLst>
            <a:ext uri="{FF2B5EF4-FFF2-40B4-BE49-F238E27FC236}">
              <a16:creationId xmlns:a16="http://schemas.microsoft.com/office/drawing/2014/main" id="{9A1CAE26-9F50-1F4B-8E0D-6C879AB08291}"/>
            </a:ext>
          </a:extLst>
        </xdr:cNvPr>
        <xdr:cNvSpPr txBox="1"/>
      </xdr:nvSpPr>
      <xdr:spPr>
        <a:xfrm>
          <a:off x="0" y="9677400"/>
          <a:ext cx="5194300" cy="176741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PMOC notes:</a:t>
          </a:r>
        </a:p>
        <a:p>
          <a:r>
            <a:rPr lang="en-US" sz="1100"/>
            <a:t>Place notes here.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71</xdr:row>
      <xdr:rowOff>0</xdr:rowOff>
    </xdr:from>
    <xdr:to>
      <xdr:col>5</xdr:col>
      <xdr:colOff>932392</xdr:colOff>
      <xdr:row>81</xdr:row>
      <xdr:rowOff>116417</xdr:rowOff>
    </xdr:to>
    <xdr:sp macro="" textlink="">
      <xdr:nvSpPr>
        <xdr:cNvPr id="2" name="TextBox 1">
          <a:extLst>
            <a:ext uri="{FF2B5EF4-FFF2-40B4-BE49-F238E27FC236}">
              <a16:creationId xmlns:a16="http://schemas.microsoft.com/office/drawing/2014/main" id="{3ECCEA3D-A932-AF4E-B9E2-9D12D53C05E4}"/>
            </a:ext>
          </a:extLst>
        </xdr:cNvPr>
        <xdr:cNvSpPr txBox="1"/>
      </xdr:nvSpPr>
      <xdr:spPr>
        <a:xfrm>
          <a:off x="0" y="18237200"/>
          <a:ext cx="6126692" cy="176741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Place</a:t>
          </a:r>
          <a:r>
            <a:rPr lang="en-US" sz="1100" b="1" u="sng" baseline="0"/>
            <a:t> any notes here</a:t>
          </a:r>
          <a:endParaRPr lang="en-US" sz="1100" b="1" u="sng"/>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ftanas\share\Users\dsillars\Dropbox\Profession\LSG\2a)%20Current%20projects\2020%20MC%20GLBRT\5)%20Risk%20report\1)%20Initial%20draft%20to%20FTA\2)%20Risk%20report%20&amp;%20model\2)%20Cost%20risk%20model\1)%20Model%20after%20updated%20cost%20report\MC%20GBRT%20OP%2040%20Cost%20Risk%20Top-Down%20Model%20v5.11%20201106_00.xlsx?45FC4D94" TargetMode="External"/><Relationship Id="rId1" Type="http://schemas.openxmlformats.org/officeDocument/2006/relationships/externalLinkPath" Target="file:///\\45FC4D94\MC%20GBRT%20OP%2040%20Cost%20Risk%20Top-Down%20Model%20v5.11%20201106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C60-70 Beta calculations"/>
      <sheetName val="SCC10-50 Beta calculations"/>
      <sheetName val="PMOC Risk Profile Descr"/>
      <sheetName val="PMOC Project Background"/>
      <sheetName val="PMOC Profl Infl Adj"/>
      <sheetName val="4 - Risk A'ssment Instr"/>
      <sheetName val="Risk Assessment Total"/>
      <sheetName val="5 - Project Risk Analysis Instr"/>
      <sheetName val="Risk Assessment (1)"/>
      <sheetName val="Sponsor SCC 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tl.nist.gov/div898/handbook/eda/section3/eda366h.htm"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B1:C73"/>
  <sheetViews>
    <sheetView tabSelected="1" zoomScale="80" zoomScaleNormal="80" workbookViewId="0">
      <selection activeCell="C3" sqref="C3"/>
    </sheetView>
  </sheetViews>
  <sheetFormatPr defaultColWidth="11.42578125" defaultRowHeight="15"/>
  <cols>
    <col min="1" max="1" width="3.140625" style="632" customWidth="1"/>
    <col min="2" max="2" width="117.42578125" style="632" customWidth="1"/>
    <col min="3" max="3" width="43" style="632" customWidth="1"/>
    <col min="4" max="8" width="11.42578125" style="632"/>
    <col min="9" max="9" width="11.42578125" style="632" customWidth="1"/>
    <col min="10" max="16384" width="11.42578125" style="632"/>
  </cols>
  <sheetData>
    <row r="1" spans="2:3" ht="15.75" thickBot="1"/>
    <row r="2" spans="2:3" ht="16.5" thickBot="1">
      <c r="B2" s="631"/>
      <c r="C2" s="633" t="s">
        <v>559</v>
      </c>
    </row>
    <row r="3" spans="2:3" ht="15.75" thickBot="1">
      <c r="B3" s="631"/>
      <c r="C3" s="936" t="s">
        <v>561</v>
      </c>
    </row>
    <row r="4" spans="2:3">
      <c r="B4" s="631"/>
      <c r="C4" s="631"/>
    </row>
    <row r="5" spans="2:3">
      <c r="B5" s="631"/>
      <c r="C5" s="631"/>
    </row>
    <row r="6" spans="2:3">
      <c r="B6" s="631"/>
      <c r="C6" s="631"/>
    </row>
    <row r="7" spans="2:3">
      <c r="B7" s="631"/>
      <c r="C7" s="631"/>
    </row>
    <row r="8" spans="2:3">
      <c r="B8" s="631"/>
    </row>
    <row r="9" spans="2:3">
      <c r="B9" s="631"/>
    </row>
    <row r="10" spans="2:3">
      <c r="B10" s="631"/>
    </row>
    <row r="11" spans="2:3">
      <c r="B11" s="631"/>
    </row>
    <row r="12" spans="2:3">
      <c r="B12" s="631"/>
    </row>
    <row r="13" spans="2:3">
      <c r="B13" s="631"/>
    </row>
    <row r="14" spans="2:3">
      <c r="B14" s="631"/>
    </row>
    <row r="15" spans="2:3" ht="15.75" thickBot="1">
      <c r="B15" s="631"/>
    </row>
    <row r="16" spans="2:3" ht="16.5" thickBot="1">
      <c r="B16" s="631"/>
      <c r="C16" s="633" t="s">
        <v>318</v>
      </c>
    </row>
    <row r="17" spans="2:3">
      <c r="B17" s="631"/>
      <c r="C17" s="634" t="s">
        <v>319</v>
      </c>
    </row>
    <row r="18" spans="2:3">
      <c r="B18" s="631"/>
      <c r="C18" s="635" t="s">
        <v>469</v>
      </c>
    </row>
    <row r="19" spans="2:3">
      <c r="B19" s="631"/>
      <c r="C19" s="636" t="s">
        <v>470</v>
      </c>
    </row>
    <row r="20" spans="2:3">
      <c r="B20" s="631"/>
      <c r="C20" s="637" t="s">
        <v>471</v>
      </c>
    </row>
    <row r="21" spans="2:3">
      <c r="B21" s="631"/>
      <c r="C21" s="638" t="s">
        <v>478</v>
      </c>
    </row>
    <row r="22" spans="2:3">
      <c r="B22" s="631"/>
      <c r="C22" s="639" t="s">
        <v>472</v>
      </c>
    </row>
    <row r="23" spans="2:3" ht="15.75" thickBot="1">
      <c r="B23" s="631"/>
      <c r="C23" s="640" t="s">
        <v>529</v>
      </c>
    </row>
    <row r="24" spans="2:3">
      <c r="B24" s="631"/>
      <c r="C24" s="631"/>
    </row>
    <row r="25" spans="2:3">
      <c r="B25" s="631"/>
      <c r="C25" s="631"/>
    </row>
    <row r="26" spans="2:3">
      <c r="B26" s="631"/>
      <c r="C26" s="631"/>
    </row>
    <row r="27" spans="2:3">
      <c r="B27" s="631"/>
      <c r="C27" s="631"/>
    </row>
    <row r="28" spans="2:3">
      <c r="B28" s="631"/>
    </row>
    <row r="29" spans="2:3" ht="15.75" thickBot="1">
      <c r="B29" s="631"/>
    </row>
    <row r="30" spans="2:3" ht="16.5" thickBot="1">
      <c r="B30" s="631"/>
      <c r="C30" s="633" t="s">
        <v>311</v>
      </c>
    </row>
    <row r="31" spans="2:3">
      <c r="B31" s="631"/>
      <c r="C31" s="641" t="s">
        <v>305</v>
      </c>
    </row>
    <row r="32" spans="2:3">
      <c r="B32" s="631"/>
      <c r="C32" s="638" t="s">
        <v>306</v>
      </c>
    </row>
    <row r="33" spans="2:3">
      <c r="B33" s="631"/>
      <c r="C33" s="642" t="s">
        <v>307</v>
      </c>
    </row>
    <row r="34" spans="2:3">
      <c r="B34" s="631"/>
      <c r="C34" s="643" t="s">
        <v>308</v>
      </c>
    </row>
    <row r="35" spans="2:3">
      <c r="B35" s="631"/>
      <c r="C35" s="644" t="s">
        <v>309</v>
      </c>
    </row>
    <row r="36" spans="2:3" ht="15.75" thickBot="1">
      <c r="B36" s="631"/>
      <c r="C36" s="645" t="s">
        <v>310</v>
      </c>
    </row>
    <row r="37" spans="2:3">
      <c r="B37" s="631"/>
    </row>
    <row r="38" spans="2:3">
      <c r="B38" s="631"/>
      <c r="C38" s="631"/>
    </row>
    <row r="39" spans="2:3">
      <c r="B39" s="631"/>
      <c r="C39" s="631"/>
    </row>
    <row r="40" spans="2:3">
      <c r="B40" s="631"/>
      <c r="C40" s="631"/>
    </row>
    <row r="41" spans="2:3">
      <c r="B41" s="631"/>
      <c r="C41" s="631"/>
    </row>
    <row r="42" spans="2:3">
      <c r="B42" s="631"/>
      <c r="C42" s="631"/>
    </row>
    <row r="43" spans="2:3">
      <c r="B43" s="631"/>
      <c r="C43" s="631"/>
    </row>
    <row r="44" spans="2:3">
      <c r="B44" s="631"/>
      <c r="C44" s="631"/>
    </row>
    <row r="45" spans="2:3">
      <c r="B45" s="631"/>
      <c r="C45" s="631"/>
    </row>
    <row r="46" spans="2:3">
      <c r="B46" s="631"/>
      <c r="C46" s="631"/>
    </row>
    <row r="47" spans="2:3">
      <c r="B47" s="631"/>
      <c r="C47" s="631"/>
    </row>
    <row r="48" spans="2:3">
      <c r="B48" s="631"/>
      <c r="C48" s="631"/>
    </row>
    <row r="49" spans="2:3">
      <c r="B49" s="631"/>
      <c r="C49" s="631"/>
    </row>
    <row r="50" spans="2:3">
      <c r="B50" s="631"/>
      <c r="C50" s="631"/>
    </row>
    <row r="51" spans="2:3">
      <c r="B51" s="631"/>
      <c r="C51" s="631"/>
    </row>
    <row r="52" spans="2:3">
      <c r="B52" s="631"/>
      <c r="C52" s="631"/>
    </row>
    <row r="53" spans="2:3">
      <c r="B53" s="631"/>
      <c r="C53" s="631"/>
    </row>
    <row r="54" spans="2:3">
      <c r="B54" s="631"/>
      <c r="C54" s="631"/>
    </row>
    <row r="55" spans="2:3">
      <c r="B55" s="631"/>
      <c r="C55" s="631"/>
    </row>
    <row r="56" spans="2:3">
      <c r="B56" s="631"/>
      <c r="C56" s="631"/>
    </row>
    <row r="57" spans="2:3">
      <c r="B57" s="631"/>
      <c r="C57" s="631"/>
    </row>
    <row r="58" spans="2:3">
      <c r="B58" s="631"/>
      <c r="C58" s="631"/>
    </row>
    <row r="59" spans="2:3">
      <c r="B59" s="631"/>
      <c r="C59" s="631"/>
    </row>
    <row r="60" spans="2:3">
      <c r="B60" s="631"/>
      <c r="C60" s="631"/>
    </row>
    <row r="61" spans="2:3">
      <c r="B61" s="631"/>
      <c r="C61" s="631"/>
    </row>
    <row r="62" spans="2:3">
      <c r="B62" s="631"/>
      <c r="C62" s="631"/>
    </row>
    <row r="63" spans="2:3">
      <c r="B63" s="631"/>
      <c r="C63" s="631"/>
    </row>
    <row r="64" spans="2:3">
      <c r="B64" s="631"/>
      <c r="C64" s="631"/>
    </row>
    <row r="65" spans="2:3">
      <c r="B65" s="631"/>
      <c r="C65" s="631"/>
    </row>
    <row r="66" spans="2:3">
      <c r="B66" s="631"/>
      <c r="C66" s="631"/>
    </row>
    <row r="67" spans="2:3">
      <c r="B67" s="631"/>
      <c r="C67" s="631"/>
    </row>
    <row r="68" spans="2:3">
      <c r="B68" s="631"/>
      <c r="C68" s="631"/>
    </row>
    <row r="69" spans="2:3">
      <c r="B69" s="631"/>
      <c r="C69" s="631"/>
    </row>
    <row r="70" spans="2:3">
      <c r="B70" s="631"/>
      <c r="C70" s="631"/>
    </row>
    <row r="71" spans="2:3">
      <c r="B71" s="631"/>
      <c r="C71" s="631"/>
    </row>
    <row r="72" spans="2:3">
      <c r="B72" s="631"/>
      <c r="C72" s="631"/>
    </row>
    <row r="73" spans="2:3">
      <c r="B73" s="631"/>
      <c r="C73" s="631"/>
    </row>
  </sheetData>
  <sheetProtection algorithmName="SHA-512" hashValue="CQQs7KVjTEQKGKWueYUaYWyi7FiByxDKz/tpGNn5hICFmH7+aS63MwzvGSGsIxZu+dsIkmCyH30/+lh36WvWRg==" saltValue="SI/Gu/Dw+cG1r8ATsXn8MA==" spinCount="100000" sheet="1" objects="1" scenarios="1" formatCells="0" formatColumns="0" formatRows="0"/>
  <phoneticPr fontId="6" type="noConversion"/>
  <pageMargins left="0.75" right="0.75" top="1" bottom="1" header="0.5" footer="0.5"/>
  <pageSetup paperSize="0" orientation="portrait" horizontalDpi="4294967292" verticalDpi="4294967292"/>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A557F-3173-B849-9014-ED600E471A50}">
  <sheetPr codeName="Sheet13">
    <tabColor theme="6" tint="-0.249977111117893"/>
  </sheetPr>
  <dimension ref="A1:R70"/>
  <sheetViews>
    <sheetView zoomScale="85" zoomScaleNormal="85" workbookViewId="0">
      <pane xSplit="2" ySplit="3" topLeftCell="C4" activePane="bottomRight" state="frozen"/>
      <selection pane="topRight" activeCell="C1" sqref="C1"/>
      <selection pane="bottomLeft" activeCell="A4" sqref="A4"/>
      <selection pane="bottomRight" activeCell="D4" sqref="D4"/>
    </sheetView>
  </sheetViews>
  <sheetFormatPr defaultColWidth="11.42578125" defaultRowHeight="12.75"/>
  <cols>
    <col min="1" max="1" width="9.42578125" style="235" bestFit="1" customWidth="1"/>
    <col min="2" max="2" width="58.85546875" style="235" customWidth="1"/>
    <col min="3" max="3" width="12.42578125" style="235" customWidth="1"/>
    <col min="4" max="4" width="21.5703125" style="235" customWidth="1"/>
    <col min="5" max="5" width="12.42578125" style="235" customWidth="1"/>
    <col min="6" max="6" width="21.5703125" style="235" customWidth="1"/>
    <col min="7" max="7" width="12.42578125" style="235" customWidth="1"/>
    <col min="8" max="8" width="21.5703125" style="235" customWidth="1"/>
    <col min="9" max="9" width="12.42578125" style="235" customWidth="1"/>
    <col min="10" max="10" width="21.5703125" style="235" customWidth="1"/>
    <col min="11" max="13" width="11.42578125" style="235"/>
    <col min="14" max="14" width="2.42578125" style="235" customWidth="1"/>
    <col min="15" max="15" width="13.140625" style="235" customWidth="1"/>
    <col min="16" max="18" width="13.42578125" style="235" customWidth="1"/>
    <col min="19" max="16384" width="11.42578125" style="235"/>
  </cols>
  <sheetData>
    <row r="1" spans="1:18" s="245" customFormat="1" ht="47.1" customHeight="1" thickBot="1">
      <c r="A1" s="1055" t="s">
        <v>564</v>
      </c>
      <c r="B1" s="1055"/>
      <c r="C1" s="1055"/>
      <c r="D1" s="1055"/>
      <c r="E1" s="1055"/>
      <c r="F1" s="1055"/>
      <c r="G1" s="1055"/>
      <c r="H1" s="1055"/>
      <c r="I1" s="1055"/>
      <c r="J1" s="1055"/>
      <c r="K1" s="1055"/>
      <c r="L1" s="1055"/>
      <c r="M1" s="1055"/>
      <c r="O1" s="1056" t="s">
        <v>554</v>
      </c>
      <c r="P1" s="1056"/>
      <c r="Q1" s="1056"/>
      <c r="R1" s="1056"/>
    </row>
    <row r="2" spans="1:18" s="245" customFormat="1" ht="21" thickBot="1">
      <c r="A2" s="250"/>
      <c r="B2" s="251"/>
      <c r="C2" s="252" t="s">
        <v>205</v>
      </c>
      <c r="D2" s="251"/>
      <c r="E2" s="252" t="s">
        <v>206</v>
      </c>
      <c r="F2" s="251"/>
      <c r="G2" s="252" t="s">
        <v>207</v>
      </c>
      <c r="H2" s="251"/>
      <c r="I2" s="252" t="s">
        <v>208</v>
      </c>
      <c r="J2" s="251"/>
      <c r="K2" s="252" t="s">
        <v>209</v>
      </c>
      <c r="L2" s="252" t="s">
        <v>11</v>
      </c>
      <c r="M2" s="1053" t="s">
        <v>211</v>
      </c>
      <c r="O2" s="252" t="s">
        <v>205</v>
      </c>
      <c r="P2" s="252" t="s">
        <v>206</v>
      </c>
      <c r="Q2" s="252" t="s">
        <v>207</v>
      </c>
      <c r="R2" s="252" t="s">
        <v>208</v>
      </c>
    </row>
    <row r="3" spans="1:18" ht="63.6" customHeight="1" thickBot="1">
      <c r="A3" s="1050" t="s">
        <v>204</v>
      </c>
      <c r="B3" s="1051"/>
      <c r="C3" s="253" t="s">
        <v>158</v>
      </c>
      <c r="D3" s="254" t="s">
        <v>95</v>
      </c>
      <c r="E3" s="253" t="s">
        <v>158</v>
      </c>
      <c r="F3" s="254" t="s">
        <v>95</v>
      </c>
      <c r="G3" s="253" t="s">
        <v>158</v>
      </c>
      <c r="H3" s="254" t="s">
        <v>95</v>
      </c>
      <c r="I3" s="253" t="s">
        <v>158</v>
      </c>
      <c r="J3" s="254" t="s">
        <v>95</v>
      </c>
      <c r="K3" s="253" t="s">
        <v>210</v>
      </c>
      <c r="L3" s="253" t="s">
        <v>281</v>
      </c>
      <c r="M3" s="1054"/>
      <c r="N3"/>
      <c r="O3" s="253" t="s">
        <v>565</v>
      </c>
      <c r="P3" s="253" t="s">
        <v>565</v>
      </c>
      <c r="Q3" s="253" t="s">
        <v>565</v>
      </c>
      <c r="R3" s="253" t="s">
        <v>565</v>
      </c>
    </row>
    <row r="4" spans="1:18" ht="15">
      <c r="A4" s="14" t="s">
        <v>165</v>
      </c>
      <c r="B4" s="15"/>
      <c r="C4" s="526">
        <f>SUM(C5:C17)</f>
        <v>0</v>
      </c>
      <c r="D4" s="528"/>
      <c r="E4" s="526">
        <f>SUM(E5:E17)</f>
        <v>0</v>
      </c>
      <c r="F4" s="528"/>
      <c r="G4" s="526">
        <f>SUM(G5:G17)</f>
        <v>0</v>
      </c>
      <c r="H4" s="528"/>
      <c r="I4" s="526">
        <f>SUM(I5:I17)</f>
        <v>0</v>
      </c>
      <c r="J4" s="528"/>
      <c r="K4" s="526">
        <f>SUM(K5:K17)</f>
        <v>0</v>
      </c>
      <c r="L4" s="526">
        <f>SUM(L5:L17)</f>
        <v>0</v>
      </c>
      <c r="M4" s="255"/>
      <c r="N4"/>
      <c r="O4" s="526">
        <f>SUM(O5:O17)</f>
        <v>0</v>
      </c>
      <c r="P4" s="526">
        <f>SUM(P5:P17)</f>
        <v>0</v>
      </c>
      <c r="Q4" s="526">
        <f>SUM(Q5:Q17)</f>
        <v>0</v>
      </c>
      <c r="R4" s="526">
        <f>SUM(R5:R17)</f>
        <v>0</v>
      </c>
    </row>
    <row r="5" spans="1:18">
      <c r="A5" s="16">
        <v>10.01</v>
      </c>
      <c r="B5" s="17" t="s">
        <v>15</v>
      </c>
      <c r="C5" s="527">
        <v>0</v>
      </c>
      <c r="D5" s="528"/>
      <c r="E5" s="527">
        <v>0</v>
      </c>
      <c r="F5" s="528"/>
      <c r="G5" s="527">
        <v>0</v>
      </c>
      <c r="H5" s="528"/>
      <c r="I5" s="527">
        <v>0</v>
      </c>
      <c r="J5" s="528"/>
      <c r="K5" s="529">
        <f>SUM(C5,E5,G5,I5)</f>
        <v>0</v>
      </c>
      <c r="L5" s="530">
        <f>IF('Sponsor SCC Main'!D8="",0,'Sponsor SCC Main'!D8)</f>
        <v>0</v>
      </c>
      <c r="M5" s="255" t="str">
        <f t="shared" ref="M5:M68" si="0">IF(K5&lt;&gt;L5,"Error","OK")</f>
        <v>OK</v>
      </c>
      <c r="N5"/>
      <c r="O5" s="530">
        <f>C5*'Sponsor SCC Main'!$K$7</f>
        <v>0</v>
      </c>
      <c r="P5" s="530">
        <f>E5*'Sponsor SCC Main'!$K$7</f>
        <v>0</v>
      </c>
      <c r="Q5" s="530">
        <f>G5*'Sponsor SCC Main'!$K$7</f>
        <v>0</v>
      </c>
      <c r="R5" s="530">
        <f>I5*'Sponsor SCC Main'!$K$7</f>
        <v>0</v>
      </c>
    </row>
    <row r="6" spans="1:18">
      <c r="A6" s="16">
        <v>10.02</v>
      </c>
      <c r="B6" s="17" t="s">
        <v>16</v>
      </c>
      <c r="C6" s="527">
        <v>0</v>
      </c>
      <c r="D6" s="528"/>
      <c r="E6" s="527">
        <v>0</v>
      </c>
      <c r="F6" s="528"/>
      <c r="G6" s="527">
        <v>0</v>
      </c>
      <c r="H6" s="528"/>
      <c r="I6" s="527">
        <v>0</v>
      </c>
      <c r="J6" s="528"/>
      <c r="K6" s="529">
        <f t="shared" ref="K6:K17" si="1">SUM(C6,E6,G6,I6)</f>
        <v>0</v>
      </c>
      <c r="L6" s="530">
        <f>'Sponsor SCC Main'!D9</f>
        <v>0</v>
      </c>
      <c r="M6" s="255" t="str">
        <f t="shared" si="0"/>
        <v>OK</v>
      </c>
      <c r="N6"/>
      <c r="O6" s="530">
        <f>C6*'Sponsor SCC Main'!$K$7</f>
        <v>0</v>
      </c>
      <c r="P6" s="530">
        <f>E6*'Sponsor SCC Main'!$K$7</f>
        <v>0</v>
      </c>
      <c r="Q6" s="530">
        <f>G6*'Sponsor SCC Main'!$K$7</f>
        <v>0</v>
      </c>
      <c r="R6" s="530">
        <f>I6*'Sponsor SCC Main'!$K$7</f>
        <v>0</v>
      </c>
    </row>
    <row r="7" spans="1:18">
      <c r="A7" s="16">
        <v>10.029999999999999</v>
      </c>
      <c r="B7" s="17" t="s">
        <v>17</v>
      </c>
      <c r="C7" s="527">
        <v>0</v>
      </c>
      <c r="D7" s="528"/>
      <c r="E7" s="527">
        <v>0</v>
      </c>
      <c r="F7" s="528"/>
      <c r="G7" s="527">
        <v>0</v>
      </c>
      <c r="H7" s="528"/>
      <c r="I7" s="527">
        <v>0</v>
      </c>
      <c r="J7" s="528"/>
      <c r="K7" s="529">
        <f t="shared" si="1"/>
        <v>0</v>
      </c>
      <c r="L7" s="530">
        <f>'Sponsor SCC Main'!D10</f>
        <v>0</v>
      </c>
      <c r="M7" s="255" t="str">
        <f t="shared" si="0"/>
        <v>OK</v>
      </c>
      <c r="N7"/>
      <c r="O7" s="530">
        <f>C7*'Sponsor SCC Main'!$K$7</f>
        <v>0</v>
      </c>
      <c r="P7" s="530">
        <f>E7*'Sponsor SCC Main'!$K$7</f>
        <v>0</v>
      </c>
      <c r="Q7" s="530">
        <f>G7*'Sponsor SCC Main'!$K$7</f>
        <v>0</v>
      </c>
      <c r="R7" s="530">
        <f>I7*'Sponsor SCC Main'!$K$7</f>
        <v>0</v>
      </c>
    </row>
    <row r="8" spans="1:18">
      <c r="A8" s="16">
        <v>10.039999999999999</v>
      </c>
      <c r="B8" s="17" t="s">
        <v>18</v>
      </c>
      <c r="C8" s="527">
        <v>0</v>
      </c>
      <c r="D8" s="528"/>
      <c r="E8" s="527">
        <v>0</v>
      </c>
      <c r="F8" s="528"/>
      <c r="G8" s="527">
        <v>0</v>
      </c>
      <c r="H8" s="528"/>
      <c r="I8" s="527">
        <v>0</v>
      </c>
      <c r="J8" s="528"/>
      <c r="K8" s="529">
        <f t="shared" si="1"/>
        <v>0</v>
      </c>
      <c r="L8" s="530">
        <f>'Sponsor SCC Main'!D11</f>
        <v>0</v>
      </c>
      <c r="M8" s="255" t="str">
        <f t="shared" si="0"/>
        <v>OK</v>
      </c>
      <c r="N8"/>
      <c r="O8" s="530">
        <f>C8*'Sponsor SCC Main'!$K$7</f>
        <v>0</v>
      </c>
      <c r="P8" s="530">
        <f>E8*'Sponsor SCC Main'!$K$7</f>
        <v>0</v>
      </c>
      <c r="Q8" s="530">
        <f>G8*'Sponsor SCC Main'!$K$7</f>
        <v>0</v>
      </c>
      <c r="R8" s="530">
        <f>I8*'Sponsor SCC Main'!$K$7</f>
        <v>0</v>
      </c>
    </row>
    <row r="9" spans="1:18">
      <c r="A9" s="16">
        <v>10.050000000000001</v>
      </c>
      <c r="B9" s="17" t="s">
        <v>19</v>
      </c>
      <c r="C9" s="527">
        <v>0</v>
      </c>
      <c r="D9" s="528"/>
      <c r="E9" s="527">
        <v>0</v>
      </c>
      <c r="F9" s="528"/>
      <c r="G9" s="527">
        <v>0</v>
      </c>
      <c r="H9" s="528"/>
      <c r="I9" s="527">
        <v>0</v>
      </c>
      <c r="J9" s="528"/>
      <c r="K9" s="529">
        <f t="shared" si="1"/>
        <v>0</v>
      </c>
      <c r="L9" s="530">
        <f>'Sponsor SCC Main'!D12</f>
        <v>0</v>
      </c>
      <c r="M9" s="255" t="str">
        <f t="shared" si="0"/>
        <v>OK</v>
      </c>
      <c r="N9"/>
      <c r="O9" s="530">
        <f>C9*'Sponsor SCC Main'!$K$7</f>
        <v>0</v>
      </c>
      <c r="P9" s="530">
        <f>E9*'Sponsor SCC Main'!$K$7</f>
        <v>0</v>
      </c>
      <c r="Q9" s="530">
        <f>G9*'Sponsor SCC Main'!$K$7</f>
        <v>0</v>
      </c>
      <c r="R9" s="530">
        <f>I9*'Sponsor SCC Main'!$K$7</f>
        <v>0</v>
      </c>
    </row>
    <row r="10" spans="1:18">
      <c r="A10" s="16">
        <v>10.06</v>
      </c>
      <c r="B10" s="17" t="s">
        <v>20</v>
      </c>
      <c r="C10" s="527">
        <v>0</v>
      </c>
      <c r="D10" s="528"/>
      <c r="E10" s="527">
        <v>0</v>
      </c>
      <c r="F10" s="528"/>
      <c r="G10" s="527">
        <v>0</v>
      </c>
      <c r="H10" s="528"/>
      <c r="I10" s="527">
        <v>0</v>
      </c>
      <c r="J10" s="528"/>
      <c r="K10" s="529">
        <f t="shared" si="1"/>
        <v>0</v>
      </c>
      <c r="L10" s="530">
        <f>'Sponsor SCC Main'!D13</f>
        <v>0</v>
      </c>
      <c r="M10" s="255" t="str">
        <f t="shared" si="0"/>
        <v>OK</v>
      </c>
      <c r="N10"/>
      <c r="O10" s="530">
        <f>C10*'Sponsor SCC Main'!$K$7</f>
        <v>0</v>
      </c>
      <c r="P10" s="530">
        <f>E10*'Sponsor SCC Main'!$K$7</f>
        <v>0</v>
      </c>
      <c r="Q10" s="530">
        <f>G10*'Sponsor SCC Main'!$K$7</f>
        <v>0</v>
      </c>
      <c r="R10" s="530">
        <f>I10*'Sponsor SCC Main'!$K$7</f>
        <v>0</v>
      </c>
    </row>
    <row r="11" spans="1:18">
      <c r="A11" s="16">
        <v>10.07</v>
      </c>
      <c r="B11" s="17" t="s">
        <v>21</v>
      </c>
      <c r="C11" s="527">
        <v>0</v>
      </c>
      <c r="D11" s="528"/>
      <c r="E11" s="527">
        <v>0</v>
      </c>
      <c r="F11" s="528"/>
      <c r="G11" s="527">
        <v>0</v>
      </c>
      <c r="H11" s="528"/>
      <c r="I11" s="527">
        <v>0</v>
      </c>
      <c r="J11" s="528"/>
      <c r="K11" s="529">
        <f t="shared" si="1"/>
        <v>0</v>
      </c>
      <c r="L11" s="530">
        <f>'Sponsor SCC Main'!D14</f>
        <v>0</v>
      </c>
      <c r="M11" s="255" t="str">
        <f t="shared" si="0"/>
        <v>OK</v>
      </c>
      <c r="N11"/>
      <c r="O11" s="530">
        <f>C11*'Sponsor SCC Main'!$K$7</f>
        <v>0</v>
      </c>
      <c r="P11" s="530">
        <f>E11*'Sponsor SCC Main'!$K$7</f>
        <v>0</v>
      </c>
      <c r="Q11" s="530">
        <f>G11*'Sponsor SCC Main'!$K$7</f>
        <v>0</v>
      </c>
      <c r="R11" s="530">
        <f>I11*'Sponsor SCC Main'!$K$7</f>
        <v>0</v>
      </c>
    </row>
    <row r="12" spans="1:18">
      <c r="A12" s="16">
        <v>10.08</v>
      </c>
      <c r="B12" s="17" t="s">
        <v>22</v>
      </c>
      <c r="C12" s="527">
        <v>0</v>
      </c>
      <c r="D12" s="528"/>
      <c r="E12" s="527">
        <v>0</v>
      </c>
      <c r="F12" s="528"/>
      <c r="G12" s="527">
        <v>0</v>
      </c>
      <c r="H12" s="528"/>
      <c r="I12" s="527">
        <v>0</v>
      </c>
      <c r="J12" s="528"/>
      <c r="K12" s="529">
        <f t="shared" si="1"/>
        <v>0</v>
      </c>
      <c r="L12" s="530">
        <f>'Sponsor SCC Main'!D15</f>
        <v>0</v>
      </c>
      <c r="M12" s="255" t="str">
        <f t="shared" si="0"/>
        <v>OK</v>
      </c>
      <c r="N12"/>
      <c r="O12" s="530">
        <f>C12*'Sponsor SCC Main'!$K$7</f>
        <v>0</v>
      </c>
      <c r="P12" s="530">
        <f>E12*'Sponsor SCC Main'!$K$7</f>
        <v>0</v>
      </c>
      <c r="Q12" s="530">
        <f>G12*'Sponsor SCC Main'!$K$7</f>
        <v>0</v>
      </c>
      <c r="R12" s="530">
        <f>I12*'Sponsor SCC Main'!$K$7</f>
        <v>0</v>
      </c>
    </row>
    <row r="13" spans="1:18">
      <c r="A13" s="16">
        <v>10.09</v>
      </c>
      <c r="B13" s="17" t="s">
        <v>23</v>
      </c>
      <c r="C13" s="527">
        <v>0</v>
      </c>
      <c r="D13" s="528"/>
      <c r="E13" s="527">
        <v>0</v>
      </c>
      <c r="F13" s="528"/>
      <c r="G13" s="527">
        <v>0</v>
      </c>
      <c r="H13" s="528"/>
      <c r="I13" s="527">
        <v>0</v>
      </c>
      <c r="J13" s="528"/>
      <c r="K13" s="529">
        <f t="shared" si="1"/>
        <v>0</v>
      </c>
      <c r="L13" s="530">
        <f>'Sponsor SCC Main'!D16</f>
        <v>0</v>
      </c>
      <c r="M13" s="255" t="str">
        <f t="shared" si="0"/>
        <v>OK</v>
      </c>
      <c r="N13"/>
      <c r="O13" s="530">
        <f>C13*'Sponsor SCC Main'!$K$7</f>
        <v>0</v>
      </c>
      <c r="P13" s="530">
        <f>E13*'Sponsor SCC Main'!$K$7</f>
        <v>0</v>
      </c>
      <c r="Q13" s="530">
        <f>G13*'Sponsor SCC Main'!$K$7</f>
        <v>0</v>
      </c>
      <c r="R13" s="530">
        <f>I13*'Sponsor SCC Main'!$K$7</f>
        <v>0</v>
      </c>
    </row>
    <row r="14" spans="1:18">
      <c r="A14" s="16">
        <v>10.1</v>
      </c>
      <c r="B14" s="17" t="s">
        <v>24</v>
      </c>
      <c r="C14" s="527">
        <v>0</v>
      </c>
      <c r="D14" s="528"/>
      <c r="E14" s="527">
        <v>0</v>
      </c>
      <c r="F14" s="528"/>
      <c r="G14" s="527">
        <v>0</v>
      </c>
      <c r="H14" s="528"/>
      <c r="I14" s="527">
        <v>0</v>
      </c>
      <c r="J14" s="528"/>
      <c r="K14" s="529">
        <f t="shared" si="1"/>
        <v>0</v>
      </c>
      <c r="L14" s="530">
        <f>'Sponsor SCC Main'!D17</f>
        <v>0</v>
      </c>
      <c r="M14" s="255" t="str">
        <f t="shared" si="0"/>
        <v>OK</v>
      </c>
      <c r="N14"/>
      <c r="O14" s="530">
        <f>C14*'Sponsor SCC Main'!$K$7</f>
        <v>0</v>
      </c>
      <c r="P14" s="530">
        <f>E14*'Sponsor SCC Main'!$K$7</f>
        <v>0</v>
      </c>
      <c r="Q14" s="530">
        <f>G14*'Sponsor SCC Main'!$K$7</f>
        <v>0</v>
      </c>
      <c r="R14" s="530">
        <f>I14*'Sponsor SCC Main'!$K$7</f>
        <v>0</v>
      </c>
    </row>
    <row r="15" spans="1:18">
      <c r="A15" s="16">
        <v>10.11</v>
      </c>
      <c r="B15" s="17" t="s">
        <v>25</v>
      </c>
      <c r="C15" s="527">
        <v>0</v>
      </c>
      <c r="D15" s="528"/>
      <c r="E15" s="527">
        <v>0</v>
      </c>
      <c r="F15" s="528"/>
      <c r="G15" s="527">
        <v>0</v>
      </c>
      <c r="H15" s="528"/>
      <c r="I15" s="527">
        <v>0</v>
      </c>
      <c r="J15" s="528"/>
      <c r="K15" s="529">
        <f t="shared" si="1"/>
        <v>0</v>
      </c>
      <c r="L15" s="530">
        <f>'Sponsor SCC Main'!D18</f>
        <v>0</v>
      </c>
      <c r="M15" s="255" t="str">
        <f t="shared" si="0"/>
        <v>OK</v>
      </c>
      <c r="N15"/>
      <c r="O15" s="530">
        <f>C15*'Sponsor SCC Main'!$K$7</f>
        <v>0</v>
      </c>
      <c r="P15" s="530">
        <f>E15*'Sponsor SCC Main'!$K$7</f>
        <v>0</v>
      </c>
      <c r="Q15" s="530">
        <f>G15*'Sponsor SCC Main'!$K$7</f>
        <v>0</v>
      </c>
      <c r="R15" s="530">
        <f>I15*'Sponsor SCC Main'!$K$7</f>
        <v>0</v>
      </c>
    </row>
    <row r="16" spans="1:18">
      <c r="A16" s="16">
        <v>10.119999999999999</v>
      </c>
      <c r="B16" s="17" t="s">
        <v>26</v>
      </c>
      <c r="C16" s="527">
        <v>0</v>
      </c>
      <c r="D16" s="528"/>
      <c r="E16" s="527">
        <v>0</v>
      </c>
      <c r="F16" s="528"/>
      <c r="G16" s="527">
        <v>0</v>
      </c>
      <c r="H16" s="528"/>
      <c r="I16" s="527">
        <v>0</v>
      </c>
      <c r="J16" s="528"/>
      <c r="K16" s="529">
        <f t="shared" si="1"/>
        <v>0</v>
      </c>
      <c r="L16" s="530">
        <f>'Sponsor SCC Main'!D19</f>
        <v>0</v>
      </c>
      <c r="M16" s="255" t="str">
        <f t="shared" si="0"/>
        <v>OK</v>
      </c>
      <c r="N16"/>
      <c r="O16" s="530">
        <f>C16*'Sponsor SCC Main'!$K$7</f>
        <v>0</v>
      </c>
      <c r="P16" s="530">
        <f>E16*'Sponsor SCC Main'!$K$7</f>
        <v>0</v>
      </c>
      <c r="Q16" s="530">
        <f>G16*'Sponsor SCC Main'!$K$7</f>
        <v>0</v>
      </c>
      <c r="R16" s="530">
        <f>I16*'Sponsor SCC Main'!$K$7</f>
        <v>0</v>
      </c>
    </row>
    <row r="17" spans="1:18">
      <c r="A17" s="16">
        <v>10.130000000000001</v>
      </c>
      <c r="B17" s="17" t="s">
        <v>27</v>
      </c>
      <c r="C17" s="527">
        <v>0</v>
      </c>
      <c r="D17" s="528"/>
      <c r="E17" s="527">
        <v>0</v>
      </c>
      <c r="F17" s="528"/>
      <c r="G17" s="527">
        <v>0</v>
      </c>
      <c r="H17" s="528"/>
      <c r="I17" s="527">
        <v>0</v>
      </c>
      <c r="J17" s="528"/>
      <c r="K17" s="529">
        <f t="shared" si="1"/>
        <v>0</v>
      </c>
      <c r="L17" s="530">
        <f>'Sponsor SCC Main'!D20</f>
        <v>0</v>
      </c>
      <c r="M17" s="255" t="str">
        <f t="shared" si="0"/>
        <v>OK</v>
      </c>
      <c r="N17"/>
      <c r="O17" s="530">
        <f>C17*'Sponsor SCC Main'!$K$7</f>
        <v>0</v>
      </c>
      <c r="P17" s="530">
        <f>E17*'Sponsor SCC Main'!$K$7</f>
        <v>0</v>
      </c>
      <c r="Q17" s="530">
        <f>G17*'Sponsor SCC Main'!$K$7</f>
        <v>0</v>
      </c>
      <c r="R17" s="530">
        <f>I17*'Sponsor SCC Main'!$K$7</f>
        <v>0</v>
      </c>
    </row>
    <row r="18" spans="1:18" ht="15">
      <c r="A18" s="14" t="s">
        <v>167</v>
      </c>
      <c r="B18" s="15"/>
      <c r="C18" s="526">
        <f>SUM(C19:C25)</f>
        <v>0</v>
      </c>
      <c r="D18" s="528"/>
      <c r="E18" s="526">
        <f>SUM(E19:E25)</f>
        <v>0</v>
      </c>
      <c r="F18" s="528"/>
      <c r="G18" s="526">
        <f>SUM(G19:G25)</f>
        <v>0</v>
      </c>
      <c r="H18" s="528"/>
      <c r="I18" s="526">
        <f>SUM(I19:I25)</f>
        <v>0</v>
      </c>
      <c r="J18" s="528"/>
      <c r="K18" s="531">
        <f>SUM(K19:K25)</f>
        <v>0</v>
      </c>
      <c r="L18" s="531">
        <f>SUM(L19:L25)</f>
        <v>0</v>
      </c>
      <c r="M18" s="255"/>
      <c r="N18"/>
      <c r="O18" s="531">
        <f>SUM(O19:O25)</f>
        <v>0</v>
      </c>
      <c r="P18" s="531">
        <f>SUM(P19:P25)</f>
        <v>0</v>
      </c>
      <c r="Q18" s="531">
        <f>SUM(Q19:Q25)</f>
        <v>0</v>
      </c>
      <c r="R18" s="531">
        <f>SUM(R19:R25)</f>
        <v>0</v>
      </c>
    </row>
    <row r="19" spans="1:18">
      <c r="A19" s="18">
        <v>20.010000000000002</v>
      </c>
      <c r="B19" s="19" t="s">
        <v>63</v>
      </c>
      <c r="C19" s="527">
        <v>0</v>
      </c>
      <c r="D19" s="528"/>
      <c r="E19" s="527">
        <v>0</v>
      </c>
      <c r="F19" s="528"/>
      <c r="G19" s="527">
        <v>0</v>
      </c>
      <c r="H19" s="528"/>
      <c r="I19" s="527">
        <v>0</v>
      </c>
      <c r="J19" s="528"/>
      <c r="K19" s="529">
        <f t="shared" ref="K19:K25" si="2">SUM(C19,E19,G19,I19)</f>
        <v>0</v>
      </c>
      <c r="L19" s="530">
        <f>'Sponsor SCC Main'!D22</f>
        <v>0</v>
      </c>
      <c r="M19" s="255" t="str">
        <f t="shared" si="0"/>
        <v>OK</v>
      </c>
      <c r="N19"/>
      <c r="O19" s="530">
        <f>C19*'Sponsor SCC Main'!$K$21</f>
        <v>0</v>
      </c>
      <c r="P19" s="530">
        <f>E19*'Sponsor SCC Main'!$K$21</f>
        <v>0</v>
      </c>
      <c r="Q19" s="530">
        <f>G19*'Sponsor SCC Main'!$K$21</f>
        <v>0</v>
      </c>
      <c r="R19" s="530">
        <f>I19*'Sponsor SCC Main'!$K$21</f>
        <v>0</v>
      </c>
    </row>
    <row r="20" spans="1:18">
      <c r="A20" s="18">
        <v>20.02</v>
      </c>
      <c r="B20" s="19" t="s">
        <v>64</v>
      </c>
      <c r="C20" s="527">
        <v>0</v>
      </c>
      <c r="D20" s="528"/>
      <c r="E20" s="527">
        <v>0</v>
      </c>
      <c r="F20" s="528"/>
      <c r="G20" s="527">
        <v>0</v>
      </c>
      <c r="H20" s="528"/>
      <c r="I20" s="527">
        <v>0</v>
      </c>
      <c r="J20" s="528"/>
      <c r="K20" s="529">
        <f t="shared" si="2"/>
        <v>0</v>
      </c>
      <c r="L20" s="530">
        <f>'Sponsor SCC Main'!D23</f>
        <v>0</v>
      </c>
      <c r="M20" s="255" t="str">
        <f t="shared" si="0"/>
        <v>OK</v>
      </c>
      <c r="N20"/>
      <c r="O20" s="530">
        <f>C20*'Sponsor SCC Main'!$K$21</f>
        <v>0</v>
      </c>
      <c r="P20" s="530">
        <f>E20*'Sponsor SCC Main'!$K$21</f>
        <v>0</v>
      </c>
      <c r="Q20" s="530">
        <f>G20*'Sponsor SCC Main'!$K$21</f>
        <v>0</v>
      </c>
      <c r="R20" s="530">
        <f>I20*'Sponsor SCC Main'!$K$21</f>
        <v>0</v>
      </c>
    </row>
    <row r="21" spans="1:18">
      <c r="A21" s="18">
        <v>20.03</v>
      </c>
      <c r="B21" s="19" t="s">
        <v>65</v>
      </c>
      <c r="C21" s="527">
        <v>0</v>
      </c>
      <c r="D21" s="528"/>
      <c r="E21" s="527">
        <v>0</v>
      </c>
      <c r="F21" s="528"/>
      <c r="G21" s="527">
        <v>0</v>
      </c>
      <c r="H21" s="528"/>
      <c r="I21" s="527">
        <v>0</v>
      </c>
      <c r="J21" s="528"/>
      <c r="K21" s="529">
        <f t="shared" si="2"/>
        <v>0</v>
      </c>
      <c r="L21" s="530">
        <f>'Sponsor SCC Main'!D24</f>
        <v>0</v>
      </c>
      <c r="M21" s="255" t="str">
        <f t="shared" si="0"/>
        <v>OK</v>
      </c>
      <c r="N21"/>
      <c r="O21" s="530">
        <f>C21*'Sponsor SCC Main'!$K$21</f>
        <v>0</v>
      </c>
      <c r="P21" s="530">
        <f>E21*'Sponsor SCC Main'!$K$21</f>
        <v>0</v>
      </c>
      <c r="Q21" s="530">
        <f>G21*'Sponsor SCC Main'!$K$21</f>
        <v>0</v>
      </c>
      <c r="R21" s="530">
        <f>I21*'Sponsor SCC Main'!$K$21</f>
        <v>0</v>
      </c>
    </row>
    <row r="22" spans="1:18">
      <c r="A22" s="18">
        <v>20.04</v>
      </c>
      <c r="B22" s="19" t="s">
        <v>66</v>
      </c>
      <c r="C22" s="527">
        <v>0</v>
      </c>
      <c r="D22" s="528"/>
      <c r="E22" s="527">
        <v>0</v>
      </c>
      <c r="F22" s="528"/>
      <c r="G22" s="527">
        <v>0</v>
      </c>
      <c r="H22" s="528"/>
      <c r="I22" s="527">
        <v>0</v>
      </c>
      <c r="J22" s="528"/>
      <c r="K22" s="529">
        <f t="shared" si="2"/>
        <v>0</v>
      </c>
      <c r="L22" s="530">
        <f>'Sponsor SCC Main'!D25</f>
        <v>0</v>
      </c>
      <c r="M22" s="255" t="str">
        <f t="shared" si="0"/>
        <v>OK</v>
      </c>
      <c r="N22"/>
      <c r="O22" s="530">
        <f>C22*'Sponsor SCC Main'!$K$21</f>
        <v>0</v>
      </c>
      <c r="P22" s="530">
        <f>E22*'Sponsor SCC Main'!$K$21</f>
        <v>0</v>
      </c>
      <c r="Q22" s="530">
        <f>G22*'Sponsor SCC Main'!$K$21</f>
        <v>0</v>
      </c>
      <c r="R22" s="530">
        <f>I22*'Sponsor SCC Main'!$K$21</f>
        <v>0</v>
      </c>
    </row>
    <row r="23" spans="1:18">
      <c r="A23" s="18">
        <v>20.05</v>
      </c>
      <c r="B23" s="19" t="s">
        <v>67</v>
      </c>
      <c r="C23" s="527">
        <v>0</v>
      </c>
      <c r="D23" s="528"/>
      <c r="E23" s="527">
        <v>0</v>
      </c>
      <c r="F23" s="528"/>
      <c r="G23" s="527">
        <v>0</v>
      </c>
      <c r="H23" s="528"/>
      <c r="I23" s="527">
        <v>0</v>
      </c>
      <c r="J23" s="528"/>
      <c r="K23" s="529">
        <f t="shared" si="2"/>
        <v>0</v>
      </c>
      <c r="L23" s="530">
        <f>'Sponsor SCC Main'!D26</f>
        <v>0</v>
      </c>
      <c r="M23" s="255" t="str">
        <f t="shared" si="0"/>
        <v>OK</v>
      </c>
      <c r="N23"/>
      <c r="O23" s="530">
        <f>C23*'Sponsor SCC Main'!$K$21</f>
        <v>0</v>
      </c>
      <c r="P23" s="530">
        <f>E23*'Sponsor SCC Main'!$K$21</f>
        <v>0</v>
      </c>
      <c r="Q23" s="530">
        <f>G23*'Sponsor SCC Main'!$K$21</f>
        <v>0</v>
      </c>
      <c r="R23" s="530">
        <f>I23*'Sponsor SCC Main'!$K$21</f>
        <v>0</v>
      </c>
    </row>
    <row r="24" spans="1:18">
      <c r="A24" s="18">
        <v>20.059999999999999</v>
      </c>
      <c r="B24" s="19" t="s">
        <v>68</v>
      </c>
      <c r="C24" s="527">
        <v>0</v>
      </c>
      <c r="D24" s="528"/>
      <c r="E24" s="527">
        <v>0</v>
      </c>
      <c r="F24" s="528"/>
      <c r="G24" s="527">
        <v>0</v>
      </c>
      <c r="H24" s="528"/>
      <c r="I24" s="527">
        <v>0</v>
      </c>
      <c r="J24" s="528"/>
      <c r="K24" s="529">
        <f t="shared" si="2"/>
        <v>0</v>
      </c>
      <c r="L24" s="530">
        <f>'Sponsor SCC Main'!D27</f>
        <v>0</v>
      </c>
      <c r="M24" s="255" t="str">
        <f t="shared" si="0"/>
        <v>OK</v>
      </c>
      <c r="N24"/>
      <c r="O24" s="530">
        <f>C24*'Sponsor SCC Main'!$K$21</f>
        <v>0</v>
      </c>
      <c r="P24" s="530">
        <f>E24*'Sponsor SCC Main'!$K$21</f>
        <v>0</v>
      </c>
      <c r="Q24" s="530">
        <f>G24*'Sponsor SCC Main'!$K$21</f>
        <v>0</v>
      </c>
      <c r="R24" s="530">
        <f>I24*'Sponsor SCC Main'!$K$21</f>
        <v>0</v>
      </c>
    </row>
    <row r="25" spans="1:18">
      <c r="A25" s="18">
        <v>20.07</v>
      </c>
      <c r="B25" s="19" t="s">
        <v>69</v>
      </c>
      <c r="C25" s="527">
        <v>0</v>
      </c>
      <c r="D25" s="528"/>
      <c r="E25" s="527">
        <v>0</v>
      </c>
      <c r="F25" s="528"/>
      <c r="G25" s="527">
        <v>0</v>
      </c>
      <c r="H25" s="528"/>
      <c r="I25" s="527">
        <v>0</v>
      </c>
      <c r="J25" s="528"/>
      <c r="K25" s="529">
        <f t="shared" si="2"/>
        <v>0</v>
      </c>
      <c r="L25" s="530">
        <f>'Sponsor SCC Main'!D28</f>
        <v>0</v>
      </c>
      <c r="M25" s="255" t="str">
        <f t="shared" si="0"/>
        <v>OK</v>
      </c>
      <c r="N25"/>
      <c r="O25" s="530">
        <f>C25*'Sponsor SCC Main'!$K$21</f>
        <v>0</v>
      </c>
      <c r="P25" s="530">
        <f>E25*'Sponsor SCC Main'!$K$21</f>
        <v>0</v>
      </c>
      <c r="Q25" s="530">
        <f>G25*'Sponsor SCC Main'!$K$21</f>
        <v>0</v>
      </c>
      <c r="R25" s="530">
        <f>I25*'Sponsor SCC Main'!$K$21</f>
        <v>0</v>
      </c>
    </row>
    <row r="26" spans="1:18" ht="15">
      <c r="A26" s="14" t="s">
        <v>168</v>
      </c>
      <c r="B26" s="15"/>
      <c r="C26" s="526">
        <f>SUM(C27:C31)</f>
        <v>0</v>
      </c>
      <c r="D26" s="528"/>
      <c r="E26" s="526">
        <f>SUM(E27:E31)</f>
        <v>0</v>
      </c>
      <c r="F26" s="528"/>
      <c r="G26" s="526">
        <f>SUM(G27:G31)</f>
        <v>0</v>
      </c>
      <c r="H26" s="528"/>
      <c r="I26" s="526">
        <f>SUM(I27:I31)</f>
        <v>0</v>
      </c>
      <c r="J26" s="528"/>
      <c r="K26" s="531">
        <f>SUM(K27:K31)</f>
        <v>0</v>
      </c>
      <c r="L26" s="531">
        <f>SUM(L27:L31)</f>
        <v>0</v>
      </c>
      <c r="M26" s="255"/>
      <c r="N26"/>
      <c r="O26" s="531">
        <f>SUM(O27:O31)</f>
        <v>0</v>
      </c>
      <c r="P26" s="531">
        <f>SUM(P27:P31)</f>
        <v>0</v>
      </c>
      <c r="Q26" s="531">
        <f>SUM(Q27:Q31)</f>
        <v>0</v>
      </c>
      <c r="R26" s="531">
        <f>SUM(R27:R31)</f>
        <v>0</v>
      </c>
    </row>
    <row r="27" spans="1:18">
      <c r="A27" s="18">
        <v>30.01</v>
      </c>
      <c r="B27" s="19" t="s">
        <v>28</v>
      </c>
      <c r="C27" s="527">
        <v>0</v>
      </c>
      <c r="D27" s="528"/>
      <c r="E27" s="527">
        <v>0</v>
      </c>
      <c r="F27" s="528"/>
      <c r="G27" s="527">
        <v>0</v>
      </c>
      <c r="H27" s="528"/>
      <c r="I27" s="527">
        <v>0</v>
      </c>
      <c r="J27" s="528"/>
      <c r="K27" s="529">
        <f t="shared" ref="K27:K31" si="3">SUM(C27,E27,G27,I27)</f>
        <v>0</v>
      </c>
      <c r="L27" s="530">
        <f>'Sponsor SCC Main'!D30</f>
        <v>0</v>
      </c>
      <c r="M27" s="255" t="str">
        <f t="shared" si="0"/>
        <v>OK</v>
      </c>
      <c r="N27"/>
      <c r="O27" s="530">
        <f>C27*'Sponsor SCC Main'!$K$29</f>
        <v>0</v>
      </c>
      <c r="P27" s="530">
        <f>E27*'Sponsor SCC Main'!$K$29</f>
        <v>0</v>
      </c>
      <c r="Q27" s="530">
        <f>G27*'Sponsor SCC Main'!$K$29</f>
        <v>0</v>
      </c>
      <c r="R27" s="530">
        <f>I27*'Sponsor SCC Main'!$K$29</f>
        <v>0</v>
      </c>
    </row>
    <row r="28" spans="1:18">
      <c r="A28" s="18">
        <v>30.02</v>
      </c>
      <c r="B28" s="20" t="s">
        <v>29</v>
      </c>
      <c r="C28" s="527">
        <v>0</v>
      </c>
      <c r="D28" s="528"/>
      <c r="E28" s="527">
        <v>0</v>
      </c>
      <c r="F28" s="528"/>
      <c r="G28" s="527">
        <v>0</v>
      </c>
      <c r="H28" s="528"/>
      <c r="I28" s="527">
        <v>0</v>
      </c>
      <c r="J28" s="528"/>
      <c r="K28" s="529">
        <f t="shared" si="3"/>
        <v>0</v>
      </c>
      <c r="L28" s="530">
        <f>'Sponsor SCC Main'!D31</f>
        <v>0</v>
      </c>
      <c r="M28" s="255" t="str">
        <f t="shared" si="0"/>
        <v>OK</v>
      </c>
      <c r="N28"/>
      <c r="O28" s="530">
        <f>C28*'Sponsor SCC Main'!$K$29</f>
        <v>0</v>
      </c>
      <c r="P28" s="530">
        <f>E28*'Sponsor SCC Main'!$K$29</f>
        <v>0</v>
      </c>
      <c r="Q28" s="530">
        <f>G28*'Sponsor SCC Main'!$K$29</f>
        <v>0</v>
      </c>
      <c r="R28" s="530">
        <f>I28*'Sponsor SCC Main'!$K$29</f>
        <v>0</v>
      </c>
    </row>
    <row r="29" spans="1:18">
      <c r="A29" s="18">
        <v>30.03</v>
      </c>
      <c r="B29" s="20" t="s">
        <v>30</v>
      </c>
      <c r="C29" s="527">
        <v>0</v>
      </c>
      <c r="D29" s="528"/>
      <c r="E29" s="527">
        <v>0</v>
      </c>
      <c r="F29" s="528"/>
      <c r="G29" s="527">
        <v>0</v>
      </c>
      <c r="H29" s="528"/>
      <c r="I29" s="527">
        <v>0</v>
      </c>
      <c r="J29" s="528"/>
      <c r="K29" s="529">
        <f t="shared" si="3"/>
        <v>0</v>
      </c>
      <c r="L29" s="530">
        <f>'Sponsor SCC Main'!D32</f>
        <v>0</v>
      </c>
      <c r="M29" s="255" t="str">
        <f t="shared" si="0"/>
        <v>OK</v>
      </c>
      <c r="N29"/>
      <c r="O29" s="530">
        <f>C29*'Sponsor SCC Main'!$K$29</f>
        <v>0</v>
      </c>
      <c r="P29" s="530">
        <f>E29*'Sponsor SCC Main'!$K$29</f>
        <v>0</v>
      </c>
      <c r="Q29" s="530">
        <f>G29*'Sponsor SCC Main'!$K$29</f>
        <v>0</v>
      </c>
      <c r="R29" s="530">
        <f>I29*'Sponsor SCC Main'!$K$29</f>
        <v>0</v>
      </c>
    </row>
    <row r="30" spans="1:18">
      <c r="A30" s="18">
        <v>30.04</v>
      </c>
      <c r="B30" s="20" t="s">
        <v>31</v>
      </c>
      <c r="C30" s="527">
        <v>0</v>
      </c>
      <c r="D30" s="528"/>
      <c r="E30" s="527">
        <v>0</v>
      </c>
      <c r="F30" s="528"/>
      <c r="G30" s="527">
        <v>0</v>
      </c>
      <c r="H30" s="528"/>
      <c r="I30" s="527">
        <v>0</v>
      </c>
      <c r="J30" s="528"/>
      <c r="K30" s="529">
        <f t="shared" si="3"/>
        <v>0</v>
      </c>
      <c r="L30" s="530">
        <f>'Sponsor SCC Main'!D33</f>
        <v>0</v>
      </c>
      <c r="M30" s="255" t="str">
        <f t="shared" si="0"/>
        <v>OK</v>
      </c>
      <c r="N30"/>
      <c r="O30" s="530">
        <f>C30*'Sponsor SCC Main'!$K$29</f>
        <v>0</v>
      </c>
      <c r="P30" s="530">
        <f>E30*'Sponsor SCC Main'!$K$29</f>
        <v>0</v>
      </c>
      <c r="Q30" s="530">
        <f>G30*'Sponsor SCC Main'!$K$29</f>
        <v>0</v>
      </c>
      <c r="R30" s="530">
        <f>I30*'Sponsor SCC Main'!$K$29</f>
        <v>0</v>
      </c>
    </row>
    <row r="31" spans="1:18">
      <c r="A31" s="18">
        <v>30.05</v>
      </c>
      <c r="B31" s="20" t="s">
        <v>32</v>
      </c>
      <c r="C31" s="527">
        <v>0</v>
      </c>
      <c r="D31" s="528"/>
      <c r="E31" s="527">
        <v>0</v>
      </c>
      <c r="F31" s="528"/>
      <c r="G31" s="527">
        <v>0</v>
      </c>
      <c r="H31" s="528"/>
      <c r="I31" s="527">
        <v>0</v>
      </c>
      <c r="J31" s="528"/>
      <c r="K31" s="529">
        <f t="shared" si="3"/>
        <v>0</v>
      </c>
      <c r="L31" s="530">
        <f>'Sponsor SCC Main'!D34</f>
        <v>0</v>
      </c>
      <c r="M31" s="255" t="str">
        <f t="shared" si="0"/>
        <v>OK</v>
      </c>
      <c r="N31"/>
      <c r="O31" s="530">
        <f>C31*'Sponsor SCC Main'!$K$29</f>
        <v>0</v>
      </c>
      <c r="P31" s="530">
        <f>E31*'Sponsor SCC Main'!$K$29</f>
        <v>0</v>
      </c>
      <c r="Q31" s="530">
        <f>G31*'Sponsor SCC Main'!$K$29</f>
        <v>0</v>
      </c>
      <c r="R31" s="530">
        <f>I31*'Sponsor SCC Main'!$K$29</f>
        <v>0</v>
      </c>
    </row>
    <row r="32" spans="1:18" ht="15">
      <c r="A32" s="14" t="s">
        <v>169</v>
      </c>
      <c r="B32" s="21"/>
      <c r="C32" s="526">
        <f>SUM(C33:C40)</f>
        <v>0</v>
      </c>
      <c r="D32" s="528"/>
      <c r="E32" s="526">
        <f>SUM(E33:E40)</f>
        <v>0</v>
      </c>
      <c r="F32" s="528"/>
      <c r="G32" s="526">
        <f>SUM(G33:G40)</f>
        <v>0</v>
      </c>
      <c r="H32" s="528"/>
      <c r="I32" s="526">
        <f>SUM(I33:I40)</f>
        <v>0</v>
      </c>
      <c r="J32" s="528"/>
      <c r="K32" s="531">
        <f>SUM(K33:K40)</f>
        <v>0</v>
      </c>
      <c r="L32" s="531">
        <f>SUM(L33:L40)</f>
        <v>0</v>
      </c>
      <c r="M32" s="255"/>
      <c r="N32"/>
      <c r="O32" s="531">
        <f>SUM(O33:O40)</f>
        <v>0</v>
      </c>
      <c r="P32" s="531">
        <f>SUM(P33:P40)</f>
        <v>0</v>
      </c>
      <c r="Q32" s="531">
        <f>SUM(Q33:Q40)</f>
        <v>0</v>
      </c>
      <c r="R32" s="531">
        <f>SUM(R33:R40)</f>
        <v>0</v>
      </c>
    </row>
    <row r="33" spans="1:18">
      <c r="A33" s="18">
        <v>40.01</v>
      </c>
      <c r="B33" s="19" t="s">
        <v>33</v>
      </c>
      <c r="C33" s="527">
        <v>0</v>
      </c>
      <c r="D33" s="528"/>
      <c r="E33" s="527">
        <v>0</v>
      </c>
      <c r="F33" s="528"/>
      <c r="G33" s="527">
        <v>0</v>
      </c>
      <c r="H33" s="528"/>
      <c r="I33" s="527">
        <v>0</v>
      </c>
      <c r="J33" s="528"/>
      <c r="K33" s="529">
        <f t="shared" ref="K33:K40" si="4">SUM(C33,E33,G33,I33)</f>
        <v>0</v>
      </c>
      <c r="L33" s="530">
        <f>'Sponsor SCC Main'!D36</f>
        <v>0</v>
      </c>
      <c r="M33" s="255" t="str">
        <f t="shared" si="0"/>
        <v>OK</v>
      </c>
      <c r="N33"/>
      <c r="O33" s="530">
        <f>C33*'Sponsor SCC Main'!$K$35</f>
        <v>0</v>
      </c>
      <c r="P33" s="530">
        <f>E33*'Sponsor SCC Main'!$K$35</f>
        <v>0</v>
      </c>
      <c r="Q33" s="530">
        <f>G33*'Sponsor SCC Main'!$K$35</f>
        <v>0</v>
      </c>
      <c r="R33" s="530">
        <f>I33*'Sponsor SCC Main'!$K$35</f>
        <v>0</v>
      </c>
    </row>
    <row r="34" spans="1:18">
      <c r="A34" s="18">
        <v>40.020000000000003</v>
      </c>
      <c r="B34" s="19" t="s">
        <v>34</v>
      </c>
      <c r="C34" s="527">
        <v>0</v>
      </c>
      <c r="D34" s="528"/>
      <c r="E34" s="527">
        <v>0</v>
      </c>
      <c r="F34" s="528"/>
      <c r="G34" s="527">
        <v>0</v>
      </c>
      <c r="H34" s="528"/>
      <c r="I34" s="527">
        <v>0</v>
      </c>
      <c r="J34" s="528"/>
      <c r="K34" s="529">
        <f t="shared" si="4"/>
        <v>0</v>
      </c>
      <c r="L34" s="530">
        <f>'Sponsor SCC Main'!D37</f>
        <v>0</v>
      </c>
      <c r="M34" s="255" t="str">
        <f t="shared" si="0"/>
        <v>OK</v>
      </c>
      <c r="N34"/>
      <c r="O34" s="530">
        <f>C34*'Sponsor SCC Main'!$K$35</f>
        <v>0</v>
      </c>
      <c r="P34" s="530">
        <f>E34*'Sponsor SCC Main'!$K$35</f>
        <v>0</v>
      </c>
      <c r="Q34" s="530">
        <f>G34*'Sponsor SCC Main'!$K$35</f>
        <v>0</v>
      </c>
      <c r="R34" s="530">
        <f>I34*'Sponsor SCC Main'!$K$35</f>
        <v>0</v>
      </c>
    </row>
    <row r="35" spans="1:18">
      <c r="A35" s="18">
        <v>40.03</v>
      </c>
      <c r="B35" s="19" t="s">
        <v>35</v>
      </c>
      <c r="C35" s="527">
        <v>0</v>
      </c>
      <c r="D35" s="528"/>
      <c r="E35" s="527">
        <v>0</v>
      </c>
      <c r="F35" s="528"/>
      <c r="G35" s="527">
        <v>0</v>
      </c>
      <c r="H35" s="528"/>
      <c r="I35" s="527">
        <v>0</v>
      </c>
      <c r="J35" s="528"/>
      <c r="K35" s="529">
        <f t="shared" si="4"/>
        <v>0</v>
      </c>
      <c r="L35" s="530">
        <f>'Sponsor SCC Main'!D38</f>
        <v>0</v>
      </c>
      <c r="M35" s="255" t="str">
        <f t="shared" si="0"/>
        <v>OK</v>
      </c>
      <c r="N35"/>
      <c r="O35" s="530">
        <f>C35*'Sponsor SCC Main'!$K$35</f>
        <v>0</v>
      </c>
      <c r="P35" s="530">
        <f>E35*'Sponsor SCC Main'!$K$35</f>
        <v>0</v>
      </c>
      <c r="Q35" s="530">
        <f>G35*'Sponsor SCC Main'!$K$35</f>
        <v>0</v>
      </c>
      <c r="R35" s="530">
        <f>I35*'Sponsor SCC Main'!$K$35</f>
        <v>0</v>
      </c>
    </row>
    <row r="36" spans="1:18">
      <c r="A36" s="18">
        <v>40.04</v>
      </c>
      <c r="B36" s="19" t="s">
        <v>36</v>
      </c>
      <c r="C36" s="527">
        <v>0</v>
      </c>
      <c r="D36" s="528"/>
      <c r="E36" s="527">
        <v>0</v>
      </c>
      <c r="F36" s="528"/>
      <c r="G36" s="527">
        <v>0</v>
      </c>
      <c r="H36" s="528"/>
      <c r="I36" s="527">
        <v>0</v>
      </c>
      <c r="J36" s="528"/>
      <c r="K36" s="529">
        <f t="shared" si="4"/>
        <v>0</v>
      </c>
      <c r="L36" s="530">
        <f>'Sponsor SCC Main'!D39</f>
        <v>0</v>
      </c>
      <c r="M36" s="255" t="str">
        <f t="shared" si="0"/>
        <v>OK</v>
      </c>
      <c r="N36"/>
      <c r="O36" s="530">
        <f>C36*'Sponsor SCC Main'!$K$35</f>
        <v>0</v>
      </c>
      <c r="P36" s="530">
        <f>E36*'Sponsor SCC Main'!$K$35</f>
        <v>0</v>
      </c>
      <c r="Q36" s="530">
        <f>G36*'Sponsor SCC Main'!$K$35</f>
        <v>0</v>
      </c>
      <c r="R36" s="530">
        <f>I36*'Sponsor SCC Main'!$K$35</f>
        <v>0</v>
      </c>
    </row>
    <row r="37" spans="1:18">
      <c r="A37" s="18">
        <v>40.049999999999997</v>
      </c>
      <c r="B37" s="19" t="s">
        <v>37</v>
      </c>
      <c r="C37" s="527">
        <v>0</v>
      </c>
      <c r="D37" s="528"/>
      <c r="E37" s="527">
        <v>0</v>
      </c>
      <c r="F37" s="528"/>
      <c r="G37" s="527">
        <v>0</v>
      </c>
      <c r="H37" s="528"/>
      <c r="I37" s="527">
        <v>0</v>
      </c>
      <c r="J37" s="528"/>
      <c r="K37" s="529">
        <f t="shared" si="4"/>
        <v>0</v>
      </c>
      <c r="L37" s="530">
        <f>'Sponsor SCC Main'!D40</f>
        <v>0</v>
      </c>
      <c r="M37" s="255" t="str">
        <f t="shared" si="0"/>
        <v>OK</v>
      </c>
      <c r="N37"/>
      <c r="O37" s="530">
        <f>C37*'Sponsor SCC Main'!$K$35</f>
        <v>0</v>
      </c>
      <c r="P37" s="530">
        <f>E37*'Sponsor SCC Main'!$K$35</f>
        <v>0</v>
      </c>
      <c r="Q37" s="530">
        <f>G37*'Sponsor SCC Main'!$K$35</f>
        <v>0</v>
      </c>
      <c r="R37" s="530">
        <f>I37*'Sponsor SCC Main'!$K$35</f>
        <v>0</v>
      </c>
    </row>
    <row r="38" spans="1:18">
      <c r="A38" s="18">
        <v>40.06</v>
      </c>
      <c r="B38" s="22" t="s">
        <v>38</v>
      </c>
      <c r="C38" s="527">
        <v>0</v>
      </c>
      <c r="D38" s="528"/>
      <c r="E38" s="527">
        <v>0</v>
      </c>
      <c r="F38" s="528"/>
      <c r="G38" s="527">
        <v>0</v>
      </c>
      <c r="H38" s="528"/>
      <c r="I38" s="527">
        <v>0</v>
      </c>
      <c r="J38" s="528"/>
      <c r="K38" s="529">
        <f t="shared" si="4"/>
        <v>0</v>
      </c>
      <c r="L38" s="530">
        <f>'Sponsor SCC Main'!D41</f>
        <v>0</v>
      </c>
      <c r="M38" s="255" t="str">
        <f t="shared" si="0"/>
        <v>OK</v>
      </c>
      <c r="N38"/>
      <c r="O38" s="530">
        <f>C38*'Sponsor SCC Main'!$K$35</f>
        <v>0</v>
      </c>
      <c r="P38" s="530">
        <f>E38*'Sponsor SCC Main'!$K$35</f>
        <v>0</v>
      </c>
      <c r="Q38" s="530">
        <f>G38*'Sponsor SCC Main'!$K$35</f>
        <v>0</v>
      </c>
      <c r="R38" s="530">
        <f>I38*'Sponsor SCC Main'!$K$35</f>
        <v>0</v>
      </c>
    </row>
    <row r="39" spans="1:18">
      <c r="A39" s="18">
        <v>40.07</v>
      </c>
      <c r="B39" s="22" t="s">
        <v>39</v>
      </c>
      <c r="C39" s="527">
        <v>0</v>
      </c>
      <c r="D39" s="528"/>
      <c r="E39" s="527">
        <v>0</v>
      </c>
      <c r="F39" s="528"/>
      <c r="G39" s="527">
        <v>0</v>
      </c>
      <c r="H39" s="528"/>
      <c r="I39" s="527">
        <v>0</v>
      </c>
      <c r="J39" s="528"/>
      <c r="K39" s="529">
        <f t="shared" si="4"/>
        <v>0</v>
      </c>
      <c r="L39" s="530">
        <f>'Sponsor SCC Main'!D42</f>
        <v>0</v>
      </c>
      <c r="M39" s="255" t="str">
        <f t="shared" si="0"/>
        <v>OK</v>
      </c>
      <c r="N39"/>
      <c r="O39" s="530">
        <f>C39*'Sponsor SCC Main'!$K$35</f>
        <v>0</v>
      </c>
      <c r="P39" s="530">
        <f>E39*'Sponsor SCC Main'!$K$35</f>
        <v>0</v>
      </c>
      <c r="Q39" s="530">
        <f>G39*'Sponsor SCC Main'!$K$35</f>
        <v>0</v>
      </c>
      <c r="R39" s="530">
        <f>I39*'Sponsor SCC Main'!$K$35</f>
        <v>0</v>
      </c>
    </row>
    <row r="40" spans="1:18">
      <c r="A40" s="18">
        <v>40.08</v>
      </c>
      <c r="B40" s="19" t="s">
        <v>40</v>
      </c>
      <c r="C40" s="527">
        <v>0</v>
      </c>
      <c r="D40" s="528"/>
      <c r="E40" s="527">
        <v>0</v>
      </c>
      <c r="F40" s="528"/>
      <c r="G40" s="527">
        <v>0</v>
      </c>
      <c r="H40" s="528"/>
      <c r="I40" s="527">
        <v>0</v>
      </c>
      <c r="J40" s="528"/>
      <c r="K40" s="529">
        <f t="shared" si="4"/>
        <v>0</v>
      </c>
      <c r="L40" s="530">
        <f>'Sponsor SCC Main'!D43</f>
        <v>0</v>
      </c>
      <c r="M40" s="255" t="str">
        <f t="shared" si="0"/>
        <v>OK</v>
      </c>
      <c r="N40"/>
      <c r="O40" s="530">
        <f>C40*'Sponsor SCC Main'!$K$35</f>
        <v>0</v>
      </c>
      <c r="P40" s="530">
        <f>E40*'Sponsor SCC Main'!$K$35</f>
        <v>0</v>
      </c>
      <c r="Q40" s="530">
        <f>G40*'Sponsor SCC Main'!$K$35</f>
        <v>0</v>
      </c>
      <c r="R40" s="530">
        <f>I40*'Sponsor SCC Main'!$K$35</f>
        <v>0</v>
      </c>
    </row>
    <row r="41" spans="1:18" ht="15">
      <c r="A41" s="14" t="s">
        <v>170</v>
      </c>
      <c r="B41" s="15"/>
      <c r="C41" s="526">
        <f>SUM(C42:C48)</f>
        <v>0</v>
      </c>
      <c r="D41" s="528"/>
      <c r="E41" s="526">
        <f>SUM(E42:E48)</f>
        <v>0</v>
      </c>
      <c r="F41" s="528"/>
      <c r="G41" s="526">
        <f>SUM(G42:G48)</f>
        <v>0</v>
      </c>
      <c r="H41" s="528"/>
      <c r="I41" s="526">
        <f>SUM(I42:I48)</f>
        <v>0</v>
      </c>
      <c r="J41" s="528"/>
      <c r="K41" s="531">
        <f>SUM(K42:K48)</f>
        <v>0</v>
      </c>
      <c r="L41" s="531">
        <f>SUM(L42:L48)</f>
        <v>0</v>
      </c>
      <c r="M41" s="255"/>
      <c r="N41"/>
      <c r="O41" s="531">
        <f>SUM(O42:O48)</f>
        <v>0</v>
      </c>
      <c r="P41" s="531">
        <f>SUM(P42:P48)</f>
        <v>0</v>
      </c>
      <c r="Q41" s="531">
        <f>SUM(Q42:Q48)</f>
        <v>0</v>
      </c>
      <c r="R41" s="531">
        <f>SUM(R42:R48)</f>
        <v>0</v>
      </c>
    </row>
    <row r="42" spans="1:18">
      <c r="A42" s="18">
        <v>50.01</v>
      </c>
      <c r="B42" s="19" t="s">
        <v>41</v>
      </c>
      <c r="C42" s="527">
        <v>0</v>
      </c>
      <c r="D42" s="528"/>
      <c r="E42" s="527">
        <v>0</v>
      </c>
      <c r="F42" s="528"/>
      <c r="G42" s="527">
        <v>0</v>
      </c>
      <c r="H42" s="528"/>
      <c r="I42" s="527">
        <v>0</v>
      </c>
      <c r="J42" s="528"/>
      <c r="K42" s="529">
        <f t="shared" ref="K42:K48" si="5">SUM(C42,E42,G42,I42)</f>
        <v>0</v>
      </c>
      <c r="L42" s="530">
        <f>'Sponsor SCC Main'!D45</f>
        <v>0</v>
      </c>
      <c r="M42" s="255" t="str">
        <f t="shared" si="0"/>
        <v>OK</v>
      </c>
      <c r="N42"/>
      <c r="O42" s="530">
        <f>C42*'Sponsor SCC Main'!$K$44</f>
        <v>0</v>
      </c>
      <c r="P42" s="530">
        <f>E42*'Sponsor SCC Main'!$K$44</f>
        <v>0</v>
      </c>
      <c r="Q42" s="530">
        <f>G42*'Sponsor SCC Main'!$K$44</f>
        <v>0</v>
      </c>
      <c r="R42" s="530">
        <f>I42*'Sponsor SCC Main'!$K$44</f>
        <v>0</v>
      </c>
    </row>
    <row r="43" spans="1:18">
      <c r="A43" s="18">
        <v>50.02</v>
      </c>
      <c r="B43" s="19" t="s">
        <v>42</v>
      </c>
      <c r="C43" s="527">
        <v>0</v>
      </c>
      <c r="D43" s="528"/>
      <c r="E43" s="527">
        <v>0</v>
      </c>
      <c r="F43" s="528"/>
      <c r="G43" s="527">
        <v>0</v>
      </c>
      <c r="H43" s="528"/>
      <c r="I43" s="527">
        <v>0</v>
      </c>
      <c r="J43" s="528"/>
      <c r="K43" s="529">
        <f t="shared" si="5"/>
        <v>0</v>
      </c>
      <c r="L43" s="530">
        <f>'Sponsor SCC Main'!D46</f>
        <v>0</v>
      </c>
      <c r="M43" s="255" t="str">
        <f t="shared" si="0"/>
        <v>OK</v>
      </c>
      <c r="N43"/>
      <c r="O43" s="530">
        <f>C43*'Sponsor SCC Main'!$K$44</f>
        <v>0</v>
      </c>
      <c r="P43" s="530">
        <f>E43*'Sponsor SCC Main'!$K$44</f>
        <v>0</v>
      </c>
      <c r="Q43" s="530">
        <f>G43*'Sponsor SCC Main'!$K$44</f>
        <v>0</v>
      </c>
      <c r="R43" s="530">
        <f>I43*'Sponsor SCC Main'!$K$44</f>
        <v>0</v>
      </c>
    </row>
    <row r="44" spans="1:18">
      <c r="A44" s="18">
        <v>50.03</v>
      </c>
      <c r="B44" s="19" t="s">
        <v>43</v>
      </c>
      <c r="C44" s="527">
        <v>0</v>
      </c>
      <c r="D44" s="528"/>
      <c r="E44" s="527">
        <v>0</v>
      </c>
      <c r="F44" s="528"/>
      <c r="G44" s="527">
        <v>0</v>
      </c>
      <c r="H44" s="528"/>
      <c r="I44" s="527">
        <v>0</v>
      </c>
      <c r="J44" s="528"/>
      <c r="K44" s="529">
        <f t="shared" si="5"/>
        <v>0</v>
      </c>
      <c r="L44" s="530">
        <f>'Sponsor SCC Main'!D47</f>
        <v>0</v>
      </c>
      <c r="M44" s="255" t="str">
        <f t="shared" si="0"/>
        <v>OK</v>
      </c>
      <c r="N44"/>
      <c r="O44" s="530">
        <f>C44*'Sponsor SCC Main'!$K$44</f>
        <v>0</v>
      </c>
      <c r="P44" s="530">
        <f>E44*'Sponsor SCC Main'!$K$44</f>
        <v>0</v>
      </c>
      <c r="Q44" s="530">
        <f>G44*'Sponsor SCC Main'!$K$44</f>
        <v>0</v>
      </c>
      <c r="R44" s="530">
        <f>I44*'Sponsor SCC Main'!$K$44</f>
        <v>0</v>
      </c>
    </row>
    <row r="45" spans="1:18">
      <c r="A45" s="18">
        <v>50.04</v>
      </c>
      <c r="B45" s="19" t="s">
        <v>44</v>
      </c>
      <c r="C45" s="527">
        <v>0</v>
      </c>
      <c r="D45" s="528"/>
      <c r="E45" s="527">
        <v>0</v>
      </c>
      <c r="F45" s="528"/>
      <c r="G45" s="527">
        <v>0</v>
      </c>
      <c r="H45" s="528"/>
      <c r="I45" s="527">
        <v>0</v>
      </c>
      <c r="J45" s="528"/>
      <c r="K45" s="529">
        <f t="shared" si="5"/>
        <v>0</v>
      </c>
      <c r="L45" s="530">
        <f>'Sponsor SCC Main'!D48</f>
        <v>0</v>
      </c>
      <c r="M45" s="255" t="str">
        <f t="shared" si="0"/>
        <v>OK</v>
      </c>
      <c r="N45"/>
      <c r="O45" s="530">
        <f>C45*'Sponsor SCC Main'!$K$44</f>
        <v>0</v>
      </c>
      <c r="P45" s="530">
        <f>E45*'Sponsor SCC Main'!$K$44</f>
        <v>0</v>
      </c>
      <c r="Q45" s="530">
        <f>G45*'Sponsor SCC Main'!$K$44</f>
        <v>0</v>
      </c>
      <c r="R45" s="530">
        <f>I45*'Sponsor SCC Main'!$K$44</f>
        <v>0</v>
      </c>
    </row>
    <row r="46" spans="1:18">
      <c r="A46" s="18">
        <v>50.05</v>
      </c>
      <c r="B46" s="19" t="s">
        <v>45</v>
      </c>
      <c r="C46" s="527">
        <v>0</v>
      </c>
      <c r="D46" s="528"/>
      <c r="E46" s="527">
        <v>0</v>
      </c>
      <c r="F46" s="528"/>
      <c r="G46" s="527">
        <v>0</v>
      </c>
      <c r="H46" s="528"/>
      <c r="I46" s="527">
        <v>0</v>
      </c>
      <c r="J46" s="528"/>
      <c r="K46" s="529">
        <f t="shared" si="5"/>
        <v>0</v>
      </c>
      <c r="L46" s="530">
        <f>'Sponsor SCC Main'!D49</f>
        <v>0</v>
      </c>
      <c r="M46" s="255" t="str">
        <f t="shared" si="0"/>
        <v>OK</v>
      </c>
      <c r="N46"/>
      <c r="O46" s="530">
        <f>C46*'Sponsor SCC Main'!$K$44</f>
        <v>0</v>
      </c>
      <c r="P46" s="530">
        <f>E46*'Sponsor SCC Main'!$K$44</f>
        <v>0</v>
      </c>
      <c r="Q46" s="530">
        <f>G46*'Sponsor SCC Main'!$K$44</f>
        <v>0</v>
      </c>
      <c r="R46" s="530">
        <f>I46*'Sponsor SCC Main'!$K$44</f>
        <v>0</v>
      </c>
    </row>
    <row r="47" spans="1:18">
      <c r="A47" s="18">
        <v>50.06</v>
      </c>
      <c r="B47" s="19" t="s">
        <v>46</v>
      </c>
      <c r="C47" s="527">
        <v>0</v>
      </c>
      <c r="D47" s="528"/>
      <c r="E47" s="527">
        <v>0</v>
      </c>
      <c r="F47" s="528"/>
      <c r="G47" s="527">
        <v>0</v>
      </c>
      <c r="H47" s="528"/>
      <c r="I47" s="527">
        <v>0</v>
      </c>
      <c r="J47" s="528"/>
      <c r="K47" s="529">
        <f t="shared" si="5"/>
        <v>0</v>
      </c>
      <c r="L47" s="530">
        <f>'Sponsor SCC Main'!D50</f>
        <v>0</v>
      </c>
      <c r="M47" s="255" t="str">
        <f t="shared" si="0"/>
        <v>OK</v>
      </c>
      <c r="N47"/>
      <c r="O47" s="530">
        <f>C47*'Sponsor SCC Main'!$K$44</f>
        <v>0</v>
      </c>
      <c r="P47" s="530">
        <f>E47*'Sponsor SCC Main'!$K$44</f>
        <v>0</v>
      </c>
      <c r="Q47" s="530">
        <f>G47*'Sponsor SCC Main'!$K$44</f>
        <v>0</v>
      </c>
      <c r="R47" s="530">
        <f>I47*'Sponsor SCC Main'!$K$44</f>
        <v>0</v>
      </c>
    </row>
    <row r="48" spans="1:18" ht="13.5" thickBot="1">
      <c r="A48" s="18">
        <v>50.07</v>
      </c>
      <c r="B48" s="19" t="s">
        <v>47</v>
      </c>
      <c r="C48" s="535">
        <v>0</v>
      </c>
      <c r="D48" s="528"/>
      <c r="E48" s="535">
        <v>0</v>
      </c>
      <c r="F48" s="528"/>
      <c r="G48" s="535">
        <v>0</v>
      </c>
      <c r="H48" s="528"/>
      <c r="I48" s="535">
        <v>0</v>
      </c>
      <c r="J48" s="528"/>
      <c r="K48" s="532">
        <f t="shared" si="5"/>
        <v>0</v>
      </c>
      <c r="L48" s="533">
        <f>'Sponsor SCC Main'!D51</f>
        <v>0</v>
      </c>
      <c r="M48" s="255" t="str">
        <f t="shared" si="0"/>
        <v>OK</v>
      </c>
      <c r="N48"/>
      <c r="O48" s="530">
        <f>C48*'Sponsor SCC Main'!$K$44</f>
        <v>0</v>
      </c>
      <c r="P48" s="530">
        <f>E48*'Sponsor SCC Main'!$K$44</f>
        <v>0</v>
      </c>
      <c r="Q48" s="530">
        <f>G48*'Sponsor SCC Main'!$K$44</f>
        <v>0</v>
      </c>
      <c r="R48" s="530">
        <f>I48*'Sponsor SCC Main'!$K$44</f>
        <v>0</v>
      </c>
    </row>
    <row r="49" spans="1:18" ht="15.75" thickBot="1">
      <c r="A49" s="1022" t="s">
        <v>171</v>
      </c>
      <c r="B49" s="1052"/>
      <c r="C49" s="526">
        <f>SUM(C4,C18,C26,C32,C41)</f>
        <v>0</v>
      </c>
      <c r="D49" s="528"/>
      <c r="E49" s="526">
        <f>SUM(E4,E18,E26,E32,E41)</f>
        <v>0</v>
      </c>
      <c r="F49" s="528"/>
      <c r="G49" s="526">
        <f>SUM(G4,G18,G26,G32,G41)</f>
        <v>0</v>
      </c>
      <c r="H49" s="528"/>
      <c r="I49" s="526">
        <f>SUM(I4,I18,I26,I32,I41)</f>
        <v>0</v>
      </c>
      <c r="J49" s="528"/>
      <c r="K49" s="534">
        <f>SUM(K4,K18,K26,K32,K41)</f>
        <v>0</v>
      </c>
      <c r="L49" s="534">
        <f>SUM(L4,L18,L26,L32,L41)</f>
        <v>0</v>
      </c>
      <c r="M49" s="255"/>
      <c r="N49"/>
      <c r="O49" s="534">
        <f>SUM(O4,O18,O26,O32,O41)</f>
        <v>0</v>
      </c>
      <c r="P49" s="534">
        <f>SUM(P4,P18,P26,P32,P41)</f>
        <v>0</v>
      </c>
      <c r="Q49" s="534">
        <f>SUM(Q4,Q18,Q26,Q32,Q41)</f>
        <v>0</v>
      </c>
      <c r="R49" s="534">
        <f>SUM(R4,R18,R26,R32,R41)</f>
        <v>0</v>
      </c>
    </row>
    <row r="50" spans="1:18" ht="15">
      <c r="A50" s="14" t="s">
        <v>172</v>
      </c>
      <c r="B50" s="21"/>
      <c r="C50" s="526">
        <f>SUM(C51:C52)</f>
        <v>0</v>
      </c>
      <c r="D50" s="528"/>
      <c r="E50" s="526">
        <f>SUM(E51:E52)</f>
        <v>0</v>
      </c>
      <c r="F50" s="528"/>
      <c r="G50" s="526">
        <f>SUM(G51:G52)</f>
        <v>0</v>
      </c>
      <c r="H50" s="528"/>
      <c r="I50" s="526">
        <f>SUM(I51:I52)</f>
        <v>0</v>
      </c>
      <c r="J50" s="528"/>
      <c r="K50" s="526">
        <f>SUM(K51:K52)</f>
        <v>0</v>
      </c>
      <c r="L50" s="526">
        <f>SUM(L51:L52)</f>
        <v>0</v>
      </c>
      <c r="M50" s="255"/>
      <c r="N50"/>
      <c r="O50" s="526">
        <f>SUM(O51:O52)</f>
        <v>0</v>
      </c>
      <c r="P50" s="526">
        <f>SUM(P51:P52)</f>
        <v>0</v>
      </c>
      <c r="Q50" s="526">
        <f>SUM(Q51:Q52)</f>
        <v>0</v>
      </c>
      <c r="R50" s="526">
        <f>SUM(R51:R52)</f>
        <v>0</v>
      </c>
    </row>
    <row r="51" spans="1:18">
      <c r="A51" s="18">
        <v>60.01</v>
      </c>
      <c r="B51" s="19" t="s">
        <v>48</v>
      </c>
      <c r="C51" s="527">
        <v>0</v>
      </c>
      <c r="D51" s="528"/>
      <c r="E51" s="527">
        <v>0</v>
      </c>
      <c r="F51" s="528"/>
      <c r="G51" s="527">
        <v>0</v>
      </c>
      <c r="H51" s="528"/>
      <c r="I51" s="527">
        <v>0</v>
      </c>
      <c r="J51" s="528"/>
      <c r="K51" s="529">
        <f t="shared" ref="K51:K52" si="6">SUM(C51,E51,G51,I51)</f>
        <v>0</v>
      </c>
      <c r="L51" s="530">
        <f>'Sponsor SCC Main'!D54</f>
        <v>0</v>
      </c>
      <c r="M51" s="255" t="str">
        <f t="shared" si="0"/>
        <v>OK</v>
      </c>
      <c r="N51"/>
      <c r="O51" s="530">
        <f>C51*'Sponsor SCC Main'!$K$53</f>
        <v>0</v>
      </c>
      <c r="P51" s="530">
        <f>E51*'Sponsor SCC Main'!$K$53</f>
        <v>0</v>
      </c>
      <c r="Q51" s="530">
        <f>G51*'Sponsor SCC Main'!$K$53</f>
        <v>0</v>
      </c>
      <c r="R51" s="530">
        <f>I51*'Sponsor SCC Main'!$K$53</f>
        <v>0</v>
      </c>
    </row>
    <row r="52" spans="1:18">
      <c r="A52" s="18">
        <v>60.02</v>
      </c>
      <c r="B52" s="19" t="s">
        <v>49</v>
      </c>
      <c r="C52" s="527">
        <v>0</v>
      </c>
      <c r="D52" s="528"/>
      <c r="E52" s="527">
        <v>0</v>
      </c>
      <c r="F52" s="528"/>
      <c r="G52" s="527">
        <v>0</v>
      </c>
      <c r="H52" s="528"/>
      <c r="I52" s="527">
        <v>0</v>
      </c>
      <c r="J52" s="528"/>
      <c r="K52" s="529">
        <f t="shared" si="6"/>
        <v>0</v>
      </c>
      <c r="L52" s="530">
        <f>'Sponsor SCC Main'!D55</f>
        <v>0</v>
      </c>
      <c r="M52" s="255" t="str">
        <f t="shared" si="0"/>
        <v>OK</v>
      </c>
      <c r="N52"/>
      <c r="O52" s="530">
        <f>C52*'Sponsor SCC Main'!$K$53</f>
        <v>0</v>
      </c>
      <c r="P52" s="530">
        <f>E52*'Sponsor SCC Main'!$K$53</f>
        <v>0</v>
      </c>
      <c r="Q52" s="530">
        <f>G52*'Sponsor SCC Main'!$K$53</f>
        <v>0</v>
      </c>
      <c r="R52" s="530">
        <f>I52*'Sponsor SCC Main'!$K$53</f>
        <v>0</v>
      </c>
    </row>
    <row r="53" spans="1:18" ht="15">
      <c r="A53" s="23" t="s">
        <v>173</v>
      </c>
      <c r="B53" s="15"/>
      <c r="C53" s="526">
        <f>SUM(C54:C60)</f>
        <v>0</v>
      </c>
      <c r="D53" s="528"/>
      <c r="E53" s="526">
        <f>SUM(E54:E60)</f>
        <v>0</v>
      </c>
      <c r="F53" s="528"/>
      <c r="G53" s="526">
        <f>SUM(G54:G60)</f>
        <v>0</v>
      </c>
      <c r="H53" s="528"/>
      <c r="I53" s="526">
        <f>SUM(I54:I60)</f>
        <v>0</v>
      </c>
      <c r="J53" s="528"/>
      <c r="K53" s="531">
        <f>SUM(K54:K60)</f>
        <v>0</v>
      </c>
      <c r="L53" s="531">
        <f>SUM(L54:L60)</f>
        <v>0</v>
      </c>
      <c r="M53" s="255"/>
      <c r="N53"/>
      <c r="O53" s="531">
        <f>SUM(O54:O60)</f>
        <v>0</v>
      </c>
      <c r="P53" s="531">
        <f>SUM(P54:P60)</f>
        <v>0</v>
      </c>
      <c r="Q53" s="531">
        <f>SUM(Q54:Q60)</f>
        <v>0</v>
      </c>
      <c r="R53" s="531">
        <f>SUM(R54:R60)</f>
        <v>0</v>
      </c>
    </row>
    <row r="54" spans="1:18">
      <c r="A54" s="18">
        <v>70.010000000000005</v>
      </c>
      <c r="B54" s="19" t="s">
        <v>50</v>
      </c>
      <c r="C54" s="527">
        <v>0</v>
      </c>
      <c r="D54" s="528"/>
      <c r="E54" s="527">
        <v>0</v>
      </c>
      <c r="F54" s="528"/>
      <c r="G54" s="527">
        <v>0</v>
      </c>
      <c r="H54" s="528"/>
      <c r="I54" s="527">
        <v>0</v>
      </c>
      <c r="J54" s="528"/>
      <c r="K54" s="529">
        <f t="shared" ref="K54:K60" si="7">SUM(C54,E54,G54,I54)</f>
        <v>0</v>
      </c>
      <c r="L54" s="530">
        <f>'Sponsor SCC Main'!D57</f>
        <v>0</v>
      </c>
      <c r="M54" s="255" t="str">
        <f t="shared" si="0"/>
        <v>OK</v>
      </c>
      <c r="N54"/>
      <c r="O54" s="530">
        <f>C54*'Sponsor SCC Main'!$K$56</f>
        <v>0</v>
      </c>
      <c r="P54" s="530">
        <f>E54*'Sponsor SCC Main'!$K$56</f>
        <v>0</v>
      </c>
      <c r="Q54" s="530">
        <f>G54*'Sponsor SCC Main'!$K$56</f>
        <v>0</v>
      </c>
      <c r="R54" s="530">
        <f>I54*'Sponsor SCC Main'!$K$56</f>
        <v>0</v>
      </c>
    </row>
    <row r="55" spans="1:18">
      <c r="A55" s="18">
        <v>70.02</v>
      </c>
      <c r="B55" s="19" t="s">
        <v>51</v>
      </c>
      <c r="C55" s="527">
        <v>0</v>
      </c>
      <c r="D55" s="528"/>
      <c r="E55" s="527">
        <v>0</v>
      </c>
      <c r="F55" s="528"/>
      <c r="G55" s="527">
        <v>0</v>
      </c>
      <c r="H55" s="528"/>
      <c r="I55" s="527">
        <v>0</v>
      </c>
      <c r="J55" s="528"/>
      <c r="K55" s="529">
        <f t="shared" si="7"/>
        <v>0</v>
      </c>
      <c r="L55" s="530">
        <f>'Sponsor SCC Main'!D58</f>
        <v>0</v>
      </c>
      <c r="M55" s="255" t="str">
        <f t="shared" si="0"/>
        <v>OK</v>
      </c>
      <c r="N55"/>
      <c r="O55" s="530">
        <f>C55*'Sponsor SCC Main'!$K$56</f>
        <v>0</v>
      </c>
      <c r="P55" s="530">
        <f>E55*'Sponsor SCC Main'!$K$56</f>
        <v>0</v>
      </c>
      <c r="Q55" s="530">
        <f>G55*'Sponsor SCC Main'!$K$56</f>
        <v>0</v>
      </c>
      <c r="R55" s="530">
        <f>I55*'Sponsor SCC Main'!$K$56</f>
        <v>0</v>
      </c>
    </row>
    <row r="56" spans="1:18">
      <c r="A56" s="18">
        <v>70.03</v>
      </c>
      <c r="B56" s="19" t="s">
        <v>52</v>
      </c>
      <c r="C56" s="527">
        <v>0</v>
      </c>
      <c r="D56" s="528"/>
      <c r="E56" s="527">
        <v>0</v>
      </c>
      <c r="F56" s="528"/>
      <c r="G56" s="527">
        <v>0</v>
      </c>
      <c r="H56" s="528"/>
      <c r="I56" s="527">
        <v>0</v>
      </c>
      <c r="J56" s="528"/>
      <c r="K56" s="529">
        <f t="shared" si="7"/>
        <v>0</v>
      </c>
      <c r="L56" s="530">
        <f>'Sponsor SCC Main'!D59</f>
        <v>0</v>
      </c>
      <c r="M56" s="255" t="str">
        <f t="shared" si="0"/>
        <v>OK</v>
      </c>
      <c r="N56"/>
      <c r="O56" s="530">
        <f>C56*'Sponsor SCC Main'!$K$56</f>
        <v>0</v>
      </c>
      <c r="P56" s="530">
        <f>E56*'Sponsor SCC Main'!$K$56</f>
        <v>0</v>
      </c>
      <c r="Q56" s="530">
        <f>G56*'Sponsor SCC Main'!$K$56</f>
        <v>0</v>
      </c>
      <c r="R56" s="530">
        <f>I56*'Sponsor SCC Main'!$K$56</f>
        <v>0</v>
      </c>
    </row>
    <row r="57" spans="1:18">
      <c r="A57" s="18">
        <v>70.040000000000006</v>
      </c>
      <c r="B57" s="19" t="s">
        <v>53</v>
      </c>
      <c r="C57" s="527">
        <v>0</v>
      </c>
      <c r="D57" s="528"/>
      <c r="E57" s="527">
        <v>0</v>
      </c>
      <c r="F57" s="528"/>
      <c r="G57" s="527">
        <v>0</v>
      </c>
      <c r="H57" s="528"/>
      <c r="I57" s="527">
        <v>0</v>
      </c>
      <c r="J57" s="528"/>
      <c r="K57" s="529">
        <f t="shared" si="7"/>
        <v>0</v>
      </c>
      <c r="L57" s="530">
        <f>'Sponsor SCC Main'!D60</f>
        <v>0</v>
      </c>
      <c r="M57" s="255" t="str">
        <f t="shared" si="0"/>
        <v>OK</v>
      </c>
      <c r="N57"/>
      <c r="O57" s="530">
        <f>C57*'Sponsor SCC Main'!$K$56</f>
        <v>0</v>
      </c>
      <c r="P57" s="530">
        <f>E57*'Sponsor SCC Main'!$K$56</f>
        <v>0</v>
      </c>
      <c r="Q57" s="530">
        <f>G57*'Sponsor SCC Main'!$K$56</f>
        <v>0</v>
      </c>
      <c r="R57" s="530">
        <f>I57*'Sponsor SCC Main'!$K$56</f>
        <v>0</v>
      </c>
    </row>
    <row r="58" spans="1:18">
      <c r="A58" s="18">
        <v>70.05</v>
      </c>
      <c r="B58" s="19" t="s">
        <v>54</v>
      </c>
      <c r="C58" s="527">
        <v>0</v>
      </c>
      <c r="D58" s="528"/>
      <c r="E58" s="527">
        <v>0</v>
      </c>
      <c r="F58" s="528"/>
      <c r="G58" s="527">
        <v>0</v>
      </c>
      <c r="H58" s="528"/>
      <c r="I58" s="527">
        <v>0</v>
      </c>
      <c r="J58" s="528"/>
      <c r="K58" s="529">
        <f t="shared" si="7"/>
        <v>0</v>
      </c>
      <c r="L58" s="530">
        <f>'Sponsor SCC Main'!D61</f>
        <v>0</v>
      </c>
      <c r="M58" s="255" t="str">
        <f t="shared" si="0"/>
        <v>OK</v>
      </c>
      <c r="N58"/>
      <c r="O58" s="530">
        <f>C58*'Sponsor SCC Main'!$K$56</f>
        <v>0</v>
      </c>
      <c r="P58" s="530">
        <f>E58*'Sponsor SCC Main'!$K$56</f>
        <v>0</v>
      </c>
      <c r="Q58" s="530">
        <f>G58*'Sponsor SCC Main'!$K$56</f>
        <v>0</v>
      </c>
      <c r="R58" s="530">
        <f>I58*'Sponsor SCC Main'!$K$56</f>
        <v>0</v>
      </c>
    </row>
    <row r="59" spans="1:18">
      <c r="A59" s="18">
        <v>70.06</v>
      </c>
      <c r="B59" s="19" t="s">
        <v>55</v>
      </c>
      <c r="C59" s="527">
        <v>0</v>
      </c>
      <c r="D59" s="528"/>
      <c r="E59" s="527">
        <v>0</v>
      </c>
      <c r="F59" s="528"/>
      <c r="G59" s="527">
        <v>0</v>
      </c>
      <c r="H59" s="528"/>
      <c r="I59" s="527">
        <v>0</v>
      </c>
      <c r="J59" s="528"/>
      <c r="K59" s="529">
        <f t="shared" si="7"/>
        <v>0</v>
      </c>
      <c r="L59" s="530">
        <f>'Sponsor SCC Main'!D62</f>
        <v>0</v>
      </c>
      <c r="M59" s="255" t="str">
        <f t="shared" si="0"/>
        <v>OK</v>
      </c>
      <c r="N59"/>
      <c r="O59" s="530">
        <f>C59*'Sponsor SCC Main'!$K$56</f>
        <v>0</v>
      </c>
      <c r="P59" s="530">
        <f>E59*'Sponsor SCC Main'!$K$56</f>
        <v>0</v>
      </c>
      <c r="Q59" s="530">
        <f>G59*'Sponsor SCC Main'!$K$56</f>
        <v>0</v>
      </c>
      <c r="R59" s="530">
        <f>I59*'Sponsor SCC Main'!$K$56</f>
        <v>0</v>
      </c>
    </row>
    <row r="60" spans="1:18">
      <c r="A60" s="18">
        <v>70.069999999999993</v>
      </c>
      <c r="B60" s="19" t="s">
        <v>56</v>
      </c>
      <c r="C60" s="527">
        <v>0</v>
      </c>
      <c r="D60" s="528"/>
      <c r="E60" s="527">
        <v>0</v>
      </c>
      <c r="F60" s="528"/>
      <c r="G60" s="527">
        <v>0</v>
      </c>
      <c r="H60" s="528"/>
      <c r="I60" s="527">
        <v>0</v>
      </c>
      <c r="J60" s="528"/>
      <c r="K60" s="529">
        <f t="shared" si="7"/>
        <v>0</v>
      </c>
      <c r="L60" s="530">
        <f>'Sponsor SCC Main'!D63</f>
        <v>0</v>
      </c>
      <c r="M60" s="255" t="str">
        <f t="shared" si="0"/>
        <v>OK</v>
      </c>
      <c r="N60"/>
      <c r="O60" s="530">
        <f>C60*'Sponsor SCC Main'!$K$56</f>
        <v>0</v>
      </c>
      <c r="P60" s="530">
        <f>E60*'Sponsor SCC Main'!$K$56</f>
        <v>0</v>
      </c>
      <c r="Q60" s="530">
        <f>G60*'Sponsor SCC Main'!$K$56</f>
        <v>0</v>
      </c>
      <c r="R60" s="530">
        <f>I60*'Sponsor SCC Main'!$K$56</f>
        <v>0</v>
      </c>
    </row>
    <row r="61" spans="1:18" ht="15">
      <c r="A61" s="23" t="s">
        <v>174</v>
      </c>
      <c r="B61" s="24"/>
      <c r="C61" s="526">
        <f>SUM(C62:C69)</f>
        <v>0</v>
      </c>
      <c r="D61" s="528"/>
      <c r="E61" s="526">
        <f>SUM(E62:E69)</f>
        <v>0</v>
      </c>
      <c r="F61" s="528"/>
      <c r="G61" s="526">
        <f>SUM(G62:G69)</f>
        <v>0</v>
      </c>
      <c r="H61" s="528"/>
      <c r="I61" s="526">
        <f>SUM(I62:I69)</f>
        <v>0</v>
      </c>
      <c r="J61" s="528"/>
      <c r="K61" s="531">
        <f>SUM(K62:K69)</f>
        <v>0</v>
      </c>
      <c r="L61" s="531">
        <f>SUM(L62:L69)</f>
        <v>0</v>
      </c>
      <c r="M61" s="255"/>
      <c r="N61"/>
      <c r="O61" s="531">
        <f>SUM(O62:O69)</f>
        <v>0</v>
      </c>
      <c r="P61" s="531">
        <f>SUM(P62:P69)</f>
        <v>0</v>
      </c>
      <c r="Q61" s="531">
        <f>SUM(Q62:Q69)</f>
        <v>0</v>
      </c>
      <c r="R61" s="531">
        <f>SUM(R62:R69)</f>
        <v>0</v>
      </c>
    </row>
    <row r="62" spans="1:18">
      <c r="A62" s="25">
        <v>80.010000000000005</v>
      </c>
      <c r="B62" s="17" t="s">
        <v>143</v>
      </c>
      <c r="C62" s="527">
        <v>0</v>
      </c>
      <c r="D62" s="528"/>
      <c r="E62" s="527">
        <v>0</v>
      </c>
      <c r="F62" s="528"/>
      <c r="G62" s="527">
        <v>0</v>
      </c>
      <c r="H62" s="528"/>
      <c r="I62" s="527">
        <v>0</v>
      </c>
      <c r="J62" s="528"/>
      <c r="K62" s="529">
        <f t="shared" ref="K62:K69" si="8">SUM(C62,E62,G62,I62)</f>
        <v>0</v>
      </c>
      <c r="L62" s="530">
        <f>'Sponsor SCC Main'!D65</f>
        <v>0</v>
      </c>
      <c r="M62" s="255" t="str">
        <f t="shared" si="0"/>
        <v>OK</v>
      </c>
      <c r="N62"/>
      <c r="O62" s="530">
        <f>C62*'Sponsor SCC Main'!$K$64</f>
        <v>0</v>
      </c>
      <c r="P62" s="530">
        <f>E62*'Sponsor SCC Main'!$K$64</f>
        <v>0</v>
      </c>
      <c r="Q62" s="530">
        <f>G62*'Sponsor SCC Main'!$K$64</f>
        <v>0</v>
      </c>
      <c r="R62" s="530">
        <f>I62*'Sponsor SCC Main'!$K$64</f>
        <v>0</v>
      </c>
    </row>
    <row r="63" spans="1:18">
      <c r="A63" s="25">
        <v>80.02</v>
      </c>
      <c r="B63" s="17" t="s">
        <v>175</v>
      </c>
      <c r="C63" s="527">
        <v>0</v>
      </c>
      <c r="D63" s="528"/>
      <c r="E63" s="527">
        <v>0</v>
      </c>
      <c r="F63" s="528"/>
      <c r="G63" s="527">
        <v>0</v>
      </c>
      <c r="H63" s="528"/>
      <c r="I63" s="527">
        <v>0</v>
      </c>
      <c r="J63" s="528"/>
      <c r="K63" s="529">
        <f t="shared" si="8"/>
        <v>0</v>
      </c>
      <c r="L63" s="530">
        <f>'Sponsor SCC Main'!D66</f>
        <v>0</v>
      </c>
      <c r="M63" s="255" t="str">
        <f t="shared" si="0"/>
        <v>OK</v>
      </c>
      <c r="N63"/>
      <c r="O63" s="530">
        <f>C63*'Sponsor SCC Main'!$K$64</f>
        <v>0</v>
      </c>
      <c r="P63" s="530">
        <f>E63*'Sponsor SCC Main'!$K$64</f>
        <v>0</v>
      </c>
      <c r="Q63" s="530">
        <f>G63*'Sponsor SCC Main'!$K$64</f>
        <v>0</v>
      </c>
      <c r="R63" s="530">
        <f>I63*'Sponsor SCC Main'!$K$64</f>
        <v>0</v>
      </c>
    </row>
    <row r="64" spans="1:18">
      <c r="A64" s="25">
        <v>80.03</v>
      </c>
      <c r="B64" s="17" t="s">
        <v>57</v>
      </c>
      <c r="C64" s="527">
        <v>0</v>
      </c>
      <c r="D64" s="528"/>
      <c r="E64" s="527">
        <v>0</v>
      </c>
      <c r="F64" s="528"/>
      <c r="G64" s="527">
        <v>0</v>
      </c>
      <c r="H64" s="528"/>
      <c r="I64" s="527">
        <v>0</v>
      </c>
      <c r="J64" s="528"/>
      <c r="K64" s="529">
        <f t="shared" si="8"/>
        <v>0</v>
      </c>
      <c r="L64" s="530">
        <f>'Sponsor SCC Main'!D67</f>
        <v>0</v>
      </c>
      <c r="M64" s="255" t="str">
        <f t="shared" si="0"/>
        <v>OK</v>
      </c>
      <c r="N64"/>
      <c r="O64" s="530">
        <f>C64*'Sponsor SCC Main'!$K$64</f>
        <v>0</v>
      </c>
      <c r="P64" s="530">
        <f>E64*'Sponsor SCC Main'!$K$64</f>
        <v>0</v>
      </c>
      <c r="Q64" s="530">
        <f>G64*'Sponsor SCC Main'!$K$64</f>
        <v>0</v>
      </c>
      <c r="R64" s="530">
        <f>I64*'Sponsor SCC Main'!$K$64</f>
        <v>0</v>
      </c>
    </row>
    <row r="65" spans="1:18">
      <c r="A65" s="25">
        <v>80.040000000000006</v>
      </c>
      <c r="B65" s="17" t="s">
        <v>58</v>
      </c>
      <c r="C65" s="527">
        <v>0</v>
      </c>
      <c r="D65" s="528"/>
      <c r="E65" s="527">
        <v>0</v>
      </c>
      <c r="F65" s="528"/>
      <c r="G65" s="527">
        <v>0</v>
      </c>
      <c r="H65" s="528"/>
      <c r="I65" s="527">
        <v>0</v>
      </c>
      <c r="J65" s="528"/>
      <c r="K65" s="529">
        <f t="shared" si="8"/>
        <v>0</v>
      </c>
      <c r="L65" s="530">
        <f>'Sponsor SCC Main'!D68</f>
        <v>0</v>
      </c>
      <c r="M65" s="255" t="str">
        <f t="shared" si="0"/>
        <v>OK</v>
      </c>
      <c r="N65"/>
      <c r="O65" s="530">
        <f>C65*'Sponsor SCC Main'!$K$64</f>
        <v>0</v>
      </c>
      <c r="P65" s="530">
        <f>E65*'Sponsor SCC Main'!$K$64</f>
        <v>0</v>
      </c>
      <c r="Q65" s="530">
        <f>G65*'Sponsor SCC Main'!$K$64</f>
        <v>0</v>
      </c>
      <c r="R65" s="530">
        <f>I65*'Sponsor SCC Main'!$K$64</f>
        <v>0</v>
      </c>
    </row>
    <row r="66" spans="1:18">
      <c r="A66" s="25">
        <v>80.05</v>
      </c>
      <c r="B66" s="17" t="s">
        <v>59</v>
      </c>
      <c r="C66" s="527">
        <v>0</v>
      </c>
      <c r="D66" s="528"/>
      <c r="E66" s="527">
        <v>0</v>
      </c>
      <c r="F66" s="528"/>
      <c r="G66" s="527">
        <v>0</v>
      </c>
      <c r="H66" s="528"/>
      <c r="I66" s="527">
        <v>0</v>
      </c>
      <c r="J66" s="528"/>
      <c r="K66" s="529">
        <f t="shared" si="8"/>
        <v>0</v>
      </c>
      <c r="L66" s="530">
        <f>'Sponsor SCC Main'!D69</f>
        <v>0</v>
      </c>
      <c r="M66" s="255" t="str">
        <f t="shared" si="0"/>
        <v>OK</v>
      </c>
      <c r="N66"/>
      <c r="O66" s="530">
        <f>C66*'Sponsor SCC Main'!$K$64</f>
        <v>0</v>
      </c>
      <c r="P66" s="530">
        <f>E66*'Sponsor SCC Main'!$K$64</f>
        <v>0</v>
      </c>
      <c r="Q66" s="530">
        <f>G66*'Sponsor SCC Main'!$K$64</f>
        <v>0</v>
      </c>
      <c r="R66" s="530">
        <f>I66*'Sponsor SCC Main'!$K$64</f>
        <v>0</v>
      </c>
    </row>
    <row r="67" spans="1:18">
      <c r="A67" s="25">
        <v>80.06</v>
      </c>
      <c r="B67" s="17" t="s">
        <v>60</v>
      </c>
      <c r="C67" s="527">
        <v>0</v>
      </c>
      <c r="D67" s="528"/>
      <c r="E67" s="527">
        <v>0</v>
      </c>
      <c r="F67" s="528"/>
      <c r="G67" s="527">
        <v>0</v>
      </c>
      <c r="H67" s="528"/>
      <c r="I67" s="527">
        <v>0</v>
      </c>
      <c r="J67" s="528"/>
      <c r="K67" s="529">
        <f t="shared" si="8"/>
        <v>0</v>
      </c>
      <c r="L67" s="530">
        <f>'Sponsor SCC Main'!D70</f>
        <v>0</v>
      </c>
      <c r="M67" s="255" t="str">
        <f t="shared" si="0"/>
        <v>OK</v>
      </c>
      <c r="N67"/>
      <c r="O67" s="530">
        <f>C67*'Sponsor SCC Main'!$K$64</f>
        <v>0</v>
      </c>
      <c r="P67" s="530">
        <f>E67*'Sponsor SCC Main'!$K$64</f>
        <v>0</v>
      </c>
      <c r="Q67" s="530">
        <f>G67*'Sponsor SCC Main'!$K$64</f>
        <v>0</v>
      </c>
      <c r="R67" s="530">
        <f>I67*'Sponsor SCC Main'!$K$64</f>
        <v>0</v>
      </c>
    </row>
    <row r="68" spans="1:18">
      <c r="A68" s="25">
        <v>80.069999999999993</v>
      </c>
      <c r="B68" s="17" t="s">
        <v>61</v>
      </c>
      <c r="C68" s="527">
        <v>0</v>
      </c>
      <c r="D68" s="528"/>
      <c r="E68" s="527">
        <v>0</v>
      </c>
      <c r="F68" s="528"/>
      <c r="G68" s="527">
        <v>0</v>
      </c>
      <c r="H68" s="528"/>
      <c r="I68" s="527">
        <v>0</v>
      </c>
      <c r="J68" s="528"/>
      <c r="K68" s="529">
        <f t="shared" si="8"/>
        <v>0</v>
      </c>
      <c r="L68" s="530">
        <f>'Sponsor SCC Main'!D71</f>
        <v>0</v>
      </c>
      <c r="M68" s="255" t="str">
        <f t="shared" si="0"/>
        <v>OK</v>
      </c>
      <c r="N68"/>
      <c r="O68" s="530">
        <f>C68*'Sponsor SCC Main'!$K$64</f>
        <v>0</v>
      </c>
      <c r="P68" s="530">
        <f>E68*'Sponsor SCC Main'!$K$64</f>
        <v>0</v>
      </c>
      <c r="Q68" s="530">
        <f>G68*'Sponsor SCC Main'!$K$64</f>
        <v>0</v>
      </c>
      <c r="R68" s="530">
        <f>I68*'Sponsor SCC Main'!$K$64</f>
        <v>0</v>
      </c>
    </row>
    <row r="69" spans="1:18" ht="13.5" thickBot="1">
      <c r="A69" s="25">
        <v>80.08</v>
      </c>
      <c r="B69" s="17" t="s">
        <v>62</v>
      </c>
      <c r="C69" s="535">
        <v>0</v>
      </c>
      <c r="D69" s="528"/>
      <c r="E69" s="535">
        <v>0</v>
      </c>
      <c r="F69" s="528"/>
      <c r="G69" s="535">
        <v>0</v>
      </c>
      <c r="H69" s="528"/>
      <c r="I69" s="535">
        <v>0</v>
      </c>
      <c r="J69" s="528"/>
      <c r="K69" s="532">
        <f t="shared" si="8"/>
        <v>0</v>
      </c>
      <c r="L69" s="533">
        <f>'Sponsor SCC Main'!D72</f>
        <v>0</v>
      </c>
      <c r="M69" s="255" t="str">
        <f t="shared" ref="M69" si="9">IF(K69&lt;&gt;L69,"Error","OK")</f>
        <v>OK</v>
      </c>
      <c r="N69"/>
      <c r="O69" s="530">
        <f>C69*'Sponsor SCC Main'!$K$64</f>
        <v>0</v>
      </c>
      <c r="P69" s="530">
        <f>E69*'Sponsor SCC Main'!$K$64</f>
        <v>0</v>
      </c>
      <c r="Q69" s="530">
        <f>G69*'Sponsor SCC Main'!$K$64</f>
        <v>0</v>
      </c>
      <c r="R69" s="530">
        <f>I69*'Sponsor SCC Main'!$K$64</f>
        <v>0</v>
      </c>
    </row>
    <row r="70" spans="1:18" ht="15.75" thickBot="1">
      <c r="A70" s="256" t="s">
        <v>176</v>
      </c>
      <c r="B70" s="257"/>
      <c r="C70" s="526">
        <f>SUM(C49,C50,C53,C61)</f>
        <v>0</v>
      </c>
      <c r="D70" s="536"/>
      <c r="E70" s="526">
        <f>SUM(E49,E50,E53,E61)</f>
        <v>0</v>
      </c>
      <c r="F70" s="536"/>
      <c r="G70" s="526">
        <f>SUM(G49,G50,G53,G61)</f>
        <v>0</v>
      </c>
      <c r="H70" s="536"/>
      <c r="I70" s="526">
        <f>SUM(I49,I50,I53,I61)</f>
        <v>0</v>
      </c>
      <c r="J70" s="536"/>
      <c r="K70" s="534">
        <f>SUM(K49,K50,K53,K61)</f>
        <v>0</v>
      </c>
      <c r="L70" s="534">
        <f>SUM(L49,L50,L53,L61)</f>
        <v>0</v>
      </c>
      <c r="M70" s="258"/>
      <c r="N70"/>
      <c r="O70" s="534">
        <f>SUM(O49,O50,O53,O61)</f>
        <v>0</v>
      </c>
      <c r="P70" s="534">
        <f>SUM(P49,P50,P53,P61)</f>
        <v>0</v>
      </c>
      <c r="Q70" s="534">
        <f>SUM(Q49,Q50,Q53,Q61)</f>
        <v>0</v>
      </c>
      <c r="R70" s="534">
        <f>SUM(R49,R50,R53,R61)</f>
        <v>0</v>
      </c>
    </row>
  </sheetData>
  <sheetProtection algorithmName="SHA-512" hashValue="GcZyfMfPuPrFHD0j+Jj0imOrycBD2RiphJrepSXFcQpkOdw3ZdARBT1GcdrbFd8c3t5tYISPPf3PrXjY0NfxOA==" saltValue="tQ/nsYiIWG1v6R7IAPLmkw==" spinCount="100000" sheet="1" formatCells="0" formatColumns="0" formatRows="0"/>
  <mergeCells count="5">
    <mergeCell ref="A3:B3"/>
    <mergeCell ref="A49:B49"/>
    <mergeCell ref="M2:M3"/>
    <mergeCell ref="A1:M1"/>
    <mergeCell ref="O1:R1"/>
  </mergeCells>
  <conditionalFormatting sqref="M4:M70">
    <cfRule type="containsText" dxfId="1" priority="3" operator="containsText" text="Error">
      <formula>NOT(ISERROR(SEARCH("Error",M4)))</formula>
    </cfRule>
  </conditionalFormatting>
  <pageMargins left="0.7" right="0.7" top="0.75" bottom="0.75" header="0.3" footer="0.3"/>
  <pageSetup orientation="portrait" horizontalDpi="1200" verticalDpi="1200" r:id="rId1"/>
  <ignoredErrors>
    <ignoredError sqref="L4 L19:L25 L18 L27:L31 L26 L33:L40 L32 L42:L52 L41 L54:L60 L53 L62:L70 L61 M5:M70 K5:K17 C4:K4 C18:J18 D7:D17 C26:J26 D20:D25 C32:J32 D27:D31 C41:J41 D33:D40 C53:J53 C49:J50 C61:J61 D54:D60 D62:D69 C70:J70 D5 F5 D6 F6 D19 F19:J19 D42:D48 D51:D52 F7:F17 F20:J25 F27:F31 F33:F40 F42:F48 F51:F52 F62:F69 H5:J5 H6:J6 H7:J17 H27:J31 H33:J40 H42:J48 H51:J52 H54:J60 H62:J69 F54:F60 L6:L17 O4:R4 O18:R18 O26:R26 O32:R32 O41:R41 O49:R50 O53:R53 O61:R61 O70:R70" unlockedFormula="1"/>
    <ignoredError sqref="K70 K61 K53 K41 K32 K26 K18 K19:K25 K27:K31 K33:K40 K42:K52 K54:K60 K62:K69" formula="1"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6F3B-92F3-CE45-A592-FD31248E544F}">
  <sheetPr codeName="Sheet14">
    <tabColor theme="6" tint="-0.249977111117893"/>
  </sheetPr>
  <dimension ref="A1:AJ71"/>
  <sheetViews>
    <sheetView workbookViewId="0">
      <pane xSplit="2" ySplit="3" topLeftCell="C4" activePane="bottomRight" state="frozen"/>
      <selection pane="topRight" activeCell="C1" sqref="C1"/>
      <selection pane="bottomLeft" activeCell="A4" sqref="A4"/>
      <selection pane="bottomRight" sqref="A1:B1"/>
    </sheetView>
  </sheetViews>
  <sheetFormatPr defaultColWidth="11.42578125" defaultRowHeight="12.75"/>
  <cols>
    <col min="1" max="1" width="9.42578125" style="235" bestFit="1" customWidth="1"/>
    <col min="2" max="2" width="58.85546875" style="235" customWidth="1"/>
    <col min="3" max="4" width="12.42578125" style="235" customWidth="1"/>
    <col min="5" max="8" width="11.42578125" style="235"/>
    <col min="9" max="9" width="21.5703125" style="235" customWidth="1"/>
    <col min="10" max="13" width="11.42578125" style="235"/>
    <col min="14" max="14" width="10.85546875" style="235" customWidth="1"/>
    <col min="15" max="15" width="11.42578125" style="235"/>
    <col min="16" max="16" width="21.5703125" style="235" customWidth="1"/>
    <col min="17" max="17" width="11.42578125" style="235"/>
    <col min="18" max="18" width="10.85546875" style="235" customWidth="1"/>
    <col min="19" max="21" width="11.42578125" style="235"/>
    <col min="22" max="22" width="14.42578125" style="235" customWidth="1"/>
    <col min="23" max="23" width="21.5703125" style="235" customWidth="1"/>
    <col min="24" max="29" width="11.42578125" style="235"/>
    <col min="30" max="30" width="21.5703125" style="235" customWidth="1"/>
    <col min="31" max="16384" width="11.42578125" style="235"/>
  </cols>
  <sheetData>
    <row r="1" spans="1:36" s="245" customFormat="1" ht="76.5" customHeight="1" thickBot="1">
      <c r="A1" s="1067" t="s">
        <v>570</v>
      </c>
      <c r="B1" s="1068"/>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7"/>
    </row>
    <row r="2" spans="1:36" s="245" customFormat="1" ht="30.95" customHeight="1" thickBot="1">
      <c r="A2" s="1063"/>
      <c r="B2" s="1064"/>
      <c r="C2" s="1057" t="s">
        <v>322</v>
      </c>
      <c r="D2" s="1058"/>
      <c r="E2" s="1058"/>
      <c r="F2" s="1058"/>
      <c r="G2" s="1058"/>
      <c r="H2" s="1059"/>
      <c r="I2" s="1065" t="s">
        <v>95</v>
      </c>
      <c r="J2" s="1057" t="s">
        <v>323</v>
      </c>
      <c r="K2" s="1058"/>
      <c r="L2" s="1058"/>
      <c r="M2" s="1058"/>
      <c r="N2" s="1058"/>
      <c r="O2" s="1059"/>
      <c r="P2" s="1065" t="s">
        <v>95</v>
      </c>
      <c r="Q2" s="1057" t="s">
        <v>324</v>
      </c>
      <c r="R2" s="1058"/>
      <c r="S2" s="1058"/>
      <c r="T2" s="1058"/>
      <c r="U2" s="1058"/>
      <c r="V2" s="1060"/>
      <c r="W2" s="1065" t="s">
        <v>95</v>
      </c>
      <c r="X2" s="1057" t="s">
        <v>325</v>
      </c>
      <c r="Y2" s="1058"/>
      <c r="Z2" s="1058"/>
      <c r="AA2" s="1058"/>
      <c r="AB2" s="1058"/>
      <c r="AC2" s="1060"/>
      <c r="AD2" s="1065" t="s">
        <v>95</v>
      </c>
      <c r="AE2" s="1057" t="s">
        <v>213</v>
      </c>
      <c r="AF2" s="1058"/>
      <c r="AG2" s="1058"/>
      <c r="AH2" s="1058"/>
      <c r="AI2" s="1058"/>
      <c r="AJ2" s="1059"/>
    </row>
    <row r="3" spans="1:36" ht="56.1" customHeight="1" thickBot="1">
      <c r="A3" s="1061"/>
      <c r="B3" s="1062"/>
      <c r="C3" s="260" t="s">
        <v>212</v>
      </c>
      <c r="D3" s="261" t="s">
        <v>198</v>
      </c>
      <c r="E3" s="261" t="s">
        <v>490</v>
      </c>
      <c r="F3" s="261" t="s">
        <v>526</v>
      </c>
      <c r="G3" s="261" t="s">
        <v>200</v>
      </c>
      <c r="H3" s="261" t="s">
        <v>263</v>
      </c>
      <c r="I3" s="1066"/>
      <c r="J3" s="268" t="str">
        <f>'PMOC BY Adj'!$C3</f>
        <v>Sponsor SCC Values</v>
      </c>
      <c r="K3" s="268" t="str">
        <f>'PMOC BY Adj'!$D3</f>
        <v>Direct cost adjustments</v>
      </c>
      <c r="L3" s="268" t="str">
        <f>'PMOC BY Adj'!$E3</f>
        <v>Time-related direct cost adjustments
(not inflation)</v>
      </c>
      <c r="M3" s="268" t="str">
        <f>'PMOC BY Adj'!$F3</f>
        <v>Latent Contingency Deductions (negative)</v>
      </c>
      <c r="N3" s="268" t="str">
        <f>'PMOC BY Adj'!$G3</f>
        <v>Total adjustment</v>
      </c>
      <c r="O3" s="269" t="str">
        <f>'PMOC BY Adj'!$H3</f>
        <v>PMOC Adjusted Estimate</v>
      </c>
      <c r="P3" s="1066"/>
      <c r="Q3" s="268" t="str">
        <f>'PMOC BY Adj'!$C3</f>
        <v>Sponsor SCC Values</v>
      </c>
      <c r="R3" s="268" t="str">
        <f>'PMOC BY Adj'!$D3</f>
        <v>Direct cost adjustments</v>
      </c>
      <c r="S3" s="268" t="str">
        <f>'PMOC BY Adj'!$E3</f>
        <v>Time-related direct cost adjustments
(not inflation)</v>
      </c>
      <c r="T3" s="268" t="str">
        <f>'PMOC BY Adj'!$F3</f>
        <v>Latent Contingency Deductions (negative)</v>
      </c>
      <c r="U3" s="268" t="str">
        <f>'PMOC BY Adj'!$G3</f>
        <v>Total adjustment</v>
      </c>
      <c r="V3" s="269" t="str">
        <f>'PMOC BY Adj'!$H3</f>
        <v>PMOC Adjusted Estimate</v>
      </c>
      <c r="W3" s="1066"/>
      <c r="X3" s="268" t="str">
        <f>'PMOC BY Adj'!$C3</f>
        <v>Sponsor SCC Values</v>
      </c>
      <c r="Y3" s="268" t="str">
        <f>'PMOC BY Adj'!$D3</f>
        <v>Direct cost adjustments</v>
      </c>
      <c r="Z3" s="268" t="str">
        <f>'PMOC BY Adj'!$E3</f>
        <v>Time-related direct cost adjustments
(not inflation)</v>
      </c>
      <c r="AA3" s="268" t="str">
        <f>'PMOC BY Adj'!$F3</f>
        <v>Latent Contingency Deductions (negative)</v>
      </c>
      <c r="AB3" s="268" t="str">
        <f>'PMOC BY Adj'!$G3</f>
        <v>Total adjustment</v>
      </c>
      <c r="AC3" s="269" t="str">
        <f>'PMOC BY Adj'!$H3</f>
        <v>PMOC Adjusted Estimate</v>
      </c>
      <c r="AD3" s="1066"/>
      <c r="AE3" s="268" t="str">
        <f>'PMOC BY Adj'!$C3</f>
        <v>Sponsor SCC Values</v>
      </c>
      <c r="AF3" s="268" t="str">
        <f>'PMOC BY Adj'!$D3</f>
        <v>Direct cost adjustments</v>
      </c>
      <c r="AG3" s="268" t="str">
        <f>'PMOC BY Adj'!$E3</f>
        <v>Time-related direct cost adjustments
(not inflation)</v>
      </c>
      <c r="AH3" s="268" t="str">
        <f>'PMOC BY Adj'!$F3</f>
        <v>Latent Contingency Deductions (negative)</v>
      </c>
      <c r="AI3" s="268" t="str">
        <f>'PMOC BY Adj'!$G3</f>
        <v>Total adjustment</v>
      </c>
      <c r="AJ3" s="269" t="str">
        <f>'PMOC BY Adj'!$H3</f>
        <v>PMOC Adjusted Estimate</v>
      </c>
    </row>
    <row r="4" spans="1:36" ht="15">
      <c r="A4" s="14" t="s">
        <v>165</v>
      </c>
      <c r="B4" s="15"/>
      <c r="C4" s="538">
        <f>SUM(C5:C17)</f>
        <v>0</v>
      </c>
      <c r="D4" s="539">
        <f t="shared" ref="D4:H4" si="0">SUM(D5:D17)</f>
        <v>0</v>
      </c>
      <c r="E4" s="539">
        <f t="shared" si="0"/>
        <v>0</v>
      </c>
      <c r="F4" s="539">
        <f t="shared" si="0"/>
        <v>0</v>
      </c>
      <c r="G4" s="539">
        <f t="shared" si="0"/>
        <v>0</v>
      </c>
      <c r="H4" s="539">
        <f t="shared" si="0"/>
        <v>0</v>
      </c>
      <c r="I4" s="563"/>
      <c r="J4" s="538">
        <f>SUM(J5:J17)</f>
        <v>0</v>
      </c>
      <c r="K4" s="539">
        <f>SUM(K5:K17)</f>
        <v>0</v>
      </c>
      <c r="L4" s="539">
        <f t="shared" ref="L4:N4" si="1">SUM(L5:L17)</f>
        <v>0</v>
      </c>
      <c r="M4" s="539">
        <f t="shared" si="1"/>
        <v>0</v>
      </c>
      <c r="N4" s="539">
        <f t="shared" si="1"/>
        <v>0</v>
      </c>
      <c r="O4" s="539">
        <f>SUM(O5:O17)</f>
        <v>0</v>
      </c>
      <c r="P4" s="563"/>
      <c r="Q4" s="538">
        <f>SUM(Q5:Q17)</f>
        <v>0</v>
      </c>
      <c r="R4" s="539">
        <f>SUM(R5:R17)</f>
        <v>0</v>
      </c>
      <c r="S4" s="539">
        <f t="shared" ref="S4:U4" si="2">SUM(S5:S17)</f>
        <v>0</v>
      </c>
      <c r="T4" s="539">
        <f t="shared" si="2"/>
        <v>0</v>
      </c>
      <c r="U4" s="539">
        <f t="shared" si="2"/>
        <v>0</v>
      </c>
      <c r="V4" s="539">
        <f>SUM(V5:V17)</f>
        <v>0</v>
      </c>
      <c r="W4" s="563"/>
      <c r="X4" s="538">
        <f>SUM(X5:X17)</f>
        <v>0</v>
      </c>
      <c r="Y4" s="539">
        <f>SUM(Y5:Y17)</f>
        <v>0</v>
      </c>
      <c r="Z4" s="539">
        <f t="shared" ref="Z4:AB4" si="3">SUM(Z5:Z17)</f>
        <v>0</v>
      </c>
      <c r="AA4" s="539">
        <f t="shared" si="3"/>
        <v>0</v>
      </c>
      <c r="AB4" s="539">
        <f t="shared" si="3"/>
        <v>0</v>
      </c>
      <c r="AC4" s="539">
        <f>SUM(AC5:AC17)</f>
        <v>0</v>
      </c>
      <c r="AD4" s="563"/>
      <c r="AE4" s="538">
        <f>SUM(AE5:AE17)</f>
        <v>0</v>
      </c>
      <c r="AF4" s="539">
        <f>SUM(AF5:AF17)</f>
        <v>0</v>
      </c>
      <c r="AG4" s="539">
        <f t="shared" ref="AG4:AH4" si="4">SUM(AG5:AG17)</f>
        <v>0</v>
      </c>
      <c r="AH4" s="539">
        <f t="shared" si="4"/>
        <v>0</v>
      </c>
      <c r="AI4" s="539">
        <f>SUM(AI5:AI17)</f>
        <v>0</v>
      </c>
      <c r="AJ4" s="540">
        <f>SUM(AJ5:AJ17)</f>
        <v>0</v>
      </c>
    </row>
    <row r="5" spans="1:36">
      <c r="A5" s="16">
        <v>10.01</v>
      </c>
      <c r="B5" s="17" t="s">
        <v>15</v>
      </c>
      <c r="C5" s="537">
        <f>'PMOC BY Risk Profile Values'!C5</f>
        <v>0</v>
      </c>
      <c r="D5" s="543">
        <v>0</v>
      </c>
      <c r="E5" s="543">
        <v>0</v>
      </c>
      <c r="F5" s="543">
        <v>0</v>
      </c>
      <c r="G5" s="541">
        <f>SUM(D5:E5,F5)</f>
        <v>0</v>
      </c>
      <c r="H5" s="542">
        <f>SUM(C5,G5)</f>
        <v>0</v>
      </c>
      <c r="I5" s="660"/>
      <c r="J5" s="537">
        <f>'PMOC BY Risk Profile Values'!E5</f>
        <v>0</v>
      </c>
      <c r="K5" s="543">
        <v>0</v>
      </c>
      <c r="L5" s="543">
        <v>0</v>
      </c>
      <c r="M5" s="543">
        <v>0</v>
      </c>
      <c r="N5" s="541">
        <f>SUM(K5:L5,M5)</f>
        <v>0</v>
      </c>
      <c r="O5" s="542">
        <f>SUM(J5,N5)</f>
        <v>0</v>
      </c>
      <c r="P5" s="660"/>
      <c r="Q5" s="537">
        <f>'PMOC BY Risk Profile Values'!G5</f>
        <v>0</v>
      </c>
      <c r="R5" s="543">
        <v>0</v>
      </c>
      <c r="S5" s="543">
        <v>0</v>
      </c>
      <c r="T5" s="543">
        <v>0</v>
      </c>
      <c r="U5" s="541">
        <f>SUM(R5:S5,T5)</f>
        <v>0</v>
      </c>
      <c r="V5" s="542">
        <f>SUM(Q5,U5)</f>
        <v>0</v>
      </c>
      <c r="W5" s="660"/>
      <c r="X5" s="537">
        <f>'PMOC BY Risk Profile Values'!I5</f>
        <v>0</v>
      </c>
      <c r="Y5" s="543">
        <v>0</v>
      </c>
      <c r="Z5" s="543">
        <v>0</v>
      </c>
      <c r="AA5" s="543">
        <v>0</v>
      </c>
      <c r="AB5" s="541">
        <f>SUM(Y5:Z5,AA5)</f>
        <v>0</v>
      </c>
      <c r="AC5" s="542">
        <f>SUM(X5,AB5)</f>
        <v>0</v>
      </c>
      <c r="AD5" s="660"/>
      <c r="AE5" s="544">
        <f>SUM(C5,J5,Q5,X5)</f>
        <v>0</v>
      </c>
      <c r="AF5" s="545">
        <f t="shared" ref="AF5:AF17" si="5">SUM(D5,K5,R5,Y5)</f>
        <v>0</v>
      </c>
      <c r="AG5" s="545">
        <f t="shared" ref="AG5:AH17" si="6">SUM(E5,L5,S5,Z5)</f>
        <v>0</v>
      </c>
      <c r="AH5" s="545">
        <f t="shared" si="6"/>
        <v>0</v>
      </c>
      <c r="AI5" s="545">
        <f t="shared" ref="AI5:AI17" si="7">SUM(G5,N5,U5,AB5)</f>
        <v>0</v>
      </c>
      <c r="AJ5" s="546">
        <f t="shared" ref="AJ5:AJ17" si="8">SUM(H5,O5,V5,AC5)</f>
        <v>0</v>
      </c>
    </row>
    <row r="6" spans="1:36">
      <c r="A6" s="16" t="s">
        <v>166</v>
      </c>
      <c r="B6" s="17" t="s">
        <v>16</v>
      </c>
      <c r="C6" s="537">
        <f>'PMOC BY Risk Profile Values'!C6</f>
        <v>0</v>
      </c>
      <c r="D6" s="543">
        <v>0</v>
      </c>
      <c r="E6" s="543">
        <v>0</v>
      </c>
      <c r="F6" s="543">
        <v>0</v>
      </c>
      <c r="G6" s="541">
        <f t="shared" ref="G6:G17" si="9">SUM(D6:E6,F6)</f>
        <v>0</v>
      </c>
      <c r="H6" s="542">
        <f t="shared" ref="H6:H17" si="10">SUM(C6,G6)</f>
        <v>0</v>
      </c>
      <c r="I6" s="563"/>
      <c r="J6" s="537">
        <f>'PMOC BY Risk Profile Values'!E6</f>
        <v>0</v>
      </c>
      <c r="K6" s="543">
        <v>0</v>
      </c>
      <c r="L6" s="543">
        <v>0</v>
      </c>
      <c r="M6" s="543">
        <v>0</v>
      </c>
      <c r="N6" s="541">
        <f t="shared" ref="N6:N17" si="11">SUM(K6:L6,M6)</f>
        <v>0</v>
      </c>
      <c r="O6" s="542">
        <f t="shared" ref="O6:O17" si="12">SUM(J6,N6)</f>
        <v>0</v>
      </c>
      <c r="P6" s="563"/>
      <c r="Q6" s="537">
        <f>'PMOC BY Risk Profile Values'!G6</f>
        <v>0</v>
      </c>
      <c r="R6" s="543">
        <v>0</v>
      </c>
      <c r="S6" s="543">
        <v>0</v>
      </c>
      <c r="T6" s="543">
        <v>0</v>
      </c>
      <c r="U6" s="541">
        <f t="shared" ref="U6:U17" si="13">SUM(R6:S6,T6)</f>
        <v>0</v>
      </c>
      <c r="V6" s="542">
        <f t="shared" ref="V6:V17" si="14">SUM(Q6,U6)</f>
        <v>0</v>
      </c>
      <c r="W6" s="563"/>
      <c r="X6" s="537">
        <f>'PMOC BY Risk Profile Values'!I6</f>
        <v>0</v>
      </c>
      <c r="Y6" s="543">
        <v>0</v>
      </c>
      <c r="Z6" s="543">
        <v>0</v>
      </c>
      <c r="AA6" s="543">
        <v>0</v>
      </c>
      <c r="AB6" s="541">
        <f t="shared" ref="AB6:AB17" si="15">SUM(Y6:Z6,AA6)</f>
        <v>0</v>
      </c>
      <c r="AC6" s="542">
        <f t="shared" ref="AC6:AC17" si="16">SUM(X6,AB6)</f>
        <v>0</v>
      </c>
      <c r="AD6" s="563"/>
      <c r="AE6" s="544">
        <f t="shared" ref="AE6:AE17" si="17">SUM(C6,J6,Q6,X6)</f>
        <v>0</v>
      </c>
      <c r="AF6" s="545">
        <f t="shared" si="5"/>
        <v>0</v>
      </c>
      <c r="AG6" s="545">
        <f t="shared" si="6"/>
        <v>0</v>
      </c>
      <c r="AH6" s="545">
        <f t="shared" si="6"/>
        <v>0</v>
      </c>
      <c r="AI6" s="545">
        <f t="shared" si="7"/>
        <v>0</v>
      </c>
      <c r="AJ6" s="546">
        <f t="shared" si="8"/>
        <v>0</v>
      </c>
    </row>
    <row r="7" spans="1:36">
      <c r="A7" s="16">
        <v>10.029999999999999</v>
      </c>
      <c r="B7" s="17" t="s">
        <v>17</v>
      </c>
      <c r="C7" s="537">
        <f>'PMOC BY Risk Profile Values'!C7</f>
        <v>0</v>
      </c>
      <c r="D7" s="543">
        <v>0</v>
      </c>
      <c r="E7" s="543">
        <v>0</v>
      </c>
      <c r="F7" s="543">
        <v>0</v>
      </c>
      <c r="G7" s="541">
        <f t="shared" si="9"/>
        <v>0</v>
      </c>
      <c r="H7" s="542">
        <f t="shared" si="10"/>
        <v>0</v>
      </c>
      <c r="I7" s="563"/>
      <c r="J7" s="537">
        <f>'PMOC BY Risk Profile Values'!E7</f>
        <v>0</v>
      </c>
      <c r="K7" s="543">
        <v>0</v>
      </c>
      <c r="L7" s="543">
        <v>0</v>
      </c>
      <c r="M7" s="543">
        <v>0</v>
      </c>
      <c r="N7" s="541">
        <f t="shared" si="11"/>
        <v>0</v>
      </c>
      <c r="O7" s="542">
        <f t="shared" si="12"/>
        <v>0</v>
      </c>
      <c r="P7" s="563"/>
      <c r="Q7" s="537">
        <f>'PMOC BY Risk Profile Values'!G7</f>
        <v>0</v>
      </c>
      <c r="R7" s="543">
        <v>0</v>
      </c>
      <c r="S7" s="543">
        <v>0</v>
      </c>
      <c r="T7" s="543">
        <v>0</v>
      </c>
      <c r="U7" s="541">
        <f t="shared" si="13"/>
        <v>0</v>
      </c>
      <c r="V7" s="542">
        <f t="shared" si="14"/>
        <v>0</v>
      </c>
      <c r="W7" s="563"/>
      <c r="X7" s="537">
        <f>'PMOC BY Risk Profile Values'!I7</f>
        <v>0</v>
      </c>
      <c r="Y7" s="543">
        <v>0</v>
      </c>
      <c r="Z7" s="543">
        <v>0</v>
      </c>
      <c r="AA7" s="543">
        <v>0</v>
      </c>
      <c r="AB7" s="541">
        <f t="shared" si="15"/>
        <v>0</v>
      </c>
      <c r="AC7" s="542">
        <f t="shared" si="16"/>
        <v>0</v>
      </c>
      <c r="AD7" s="563"/>
      <c r="AE7" s="544">
        <f t="shared" si="17"/>
        <v>0</v>
      </c>
      <c r="AF7" s="545">
        <f t="shared" si="5"/>
        <v>0</v>
      </c>
      <c r="AG7" s="545">
        <f t="shared" si="6"/>
        <v>0</v>
      </c>
      <c r="AH7" s="545">
        <f t="shared" si="6"/>
        <v>0</v>
      </c>
      <c r="AI7" s="545">
        <f t="shared" si="7"/>
        <v>0</v>
      </c>
      <c r="AJ7" s="546">
        <f t="shared" si="8"/>
        <v>0</v>
      </c>
    </row>
    <row r="8" spans="1:36">
      <c r="A8" s="16">
        <v>10.039999999999999</v>
      </c>
      <c r="B8" s="17" t="s">
        <v>18</v>
      </c>
      <c r="C8" s="537">
        <f>'PMOC BY Risk Profile Values'!C8</f>
        <v>0</v>
      </c>
      <c r="D8" s="543">
        <v>0</v>
      </c>
      <c r="E8" s="543">
        <v>0</v>
      </c>
      <c r="F8" s="543">
        <v>0</v>
      </c>
      <c r="G8" s="541">
        <f t="shared" si="9"/>
        <v>0</v>
      </c>
      <c r="H8" s="542">
        <f t="shared" si="10"/>
        <v>0</v>
      </c>
      <c r="I8" s="563"/>
      <c r="J8" s="537">
        <f>'PMOC BY Risk Profile Values'!E8</f>
        <v>0</v>
      </c>
      <c r="K8" s="543">
        <v>0</v>
      </c>
      <c r="L8" s="543">
        <v>0</v>
      </c>
      <c r="M8" s="543">
        <v>0</v>
      </c>
      <c r="N8" s="541">
        <f t="shared" si="11"/>
        <v>0</v>
      </c>
      <c r="O8" s="542">
        <f t="shared" si="12"/>
        <v>0</v>
      </c>
      <c r="P8" s="563"/>
      <c r="Q8" s="537">
        <f>'PMOC BY Risk Profile Values'!G8</f>
        <v>0</v>
      </c>
      <c r="R8" s="543">
        <v>0</v>
      </c>
      <c r="S8" s="543">
        <v>0</v>
      </c>
      <c r="T8" s="543">
        <v>0</v>
      </c>
      <c r="U8" s="541">
        <f t="shared" si="13"/>
        <v>0</v>
      </c>
      <c r="V8" s="542">
        <f t="shared" si="14"/>
        <v>0</v>
      </c>
      <c r="W8" s="563"/>
      <c r="X8" s="537">
        <f>'PMOC BY Risk Profile Values'!I8</f>
        <v>0</v>
      </c>
      <c r="Y8" s="543">
        <v>0</v>
      </c>
      <c r="Z8" s="543">
        <v>0</v>
      </c>
      <c r="AA8" s="543">
        <v>0</v>
      </c>
      <c r="AB8" s="541">
        <f t="shared" si="15"/>
        <v>0</v>
      </c>
      <c r="AC8" s="542">
        <f t="shared" si="16"/>
        <v>0</v>
      </c>
      <c r="AD8" s="563"/>
      <c r="AE8" s="544">
        <f t="shared" si="17"/>
        <v>0</v>
      </c>
      <c r="AF8" s="545">
        <f t="shared" si="5"/>
        <v>0</v>
      </c>
      <c r="AG8" s="545">
        <f t="shared" si="6"/>
        <v>0</v>
      </c>
      <c r="AH8" s="545">
        <f t="shared" si="6"/>
        <v>0</v>
      </c>
      <c r="AI8" s="545">
        <f t="shared" si="7"/>
        <v>0</v>
      </c>
      <c r="AJ8" s="546">
        <f t="shared" si="8"/>
        <v>0</v>
      </c>
    </row>
    <row r="9" spans="1:36">
      <c r="A9" s="16">
        <v>10.050000000000001</v>
      </c>
      <c r="B9" s="17" t="s">
        <v>19</v>
      </c>
      <c r="C9" s="537">
        <f>'PMOC BY Risk Profile Values'!C9</f>
        <v>0</v>
      </c>
      <c r="D9" s="543">
        <v>0</v>
      </c>
      <c r="E9" s="543">
        <v>0</v>
      </c>
      <c r="F9" s="543">
        <v>0</v>
      </c>
      <c r="G9" s="541">
        <f t="shared" si="9"/>
        <v>0</v>
      </c>
      <c r="H9" s="542">
        <f t="shared" si="10"/>
        <v>0</v>
      </c>
      <c r="I9" s="563"/>
      <c r="J9" s="537">
        <f>'PMOC BY Risk Profile Values'!E9</f>
        <v>0</v>
      </c>
      <c r="K9" s="543">
        <v>0</v>
      </c>
      <c r="L9" s="543">
        <v>0</v>
      </c>
      <c r="M9" s="543">
        <v>0</v>
      </c>
      <c r="N9" s="541">
        <f t="shared" si="11"/>
        <v>0</v>
      </c>
      <c r="O9" s="542">
        <f t="shared" si="12"/>
        <v>0</v>
      </c>
      <c r="P9" s="563"/>
      <c r="Q9" s="537">
        <f>'PMOC BY Risk Profile Values'!G9</f>
        <v>0</v>
      </c>
      <c r="R9" s="543">
        <v>0</v>
      </c>
      <c r="S9" s="543">
        <v>0</v>
      </c>
      <c r="T9" s="543">
        <v>0</v>
      </c>
      <c r="U9" s="541">
        <f t="shared" si="13"/>
        <v>0</v>
      </c>
      <c r="V9" s="542">
        <f t="shared" si="14"/>
        <v>0</v>
      </c>
      <c r="W9" s="563"/>
      <c r="X9" s="537">
        <f>'PMOC BY Risk Profile Values'!I9</f>
        <v>0</v>
      </c>
      <c r="Y9" s="543">
        <v>0</v>
      </c>
      <c r="Z9" s="543">
        <v>0</v>
      </c>
      <c r="AA9" s="543">
        <v>0</v>
      </c>
      <c r="AB9" s="541">
        <f t="shared" si="15"/>
        <v>0</v>
      </c>
      <c r="AC9" s="542">
        <f t="shared" si="16"/>
        <v>0</v>
      </c>
      <c r="AD9" s="563"/>
      <c r="AE9" s="544">
        <f t="shared" si="17"/>
        <v>0</v>
      </c>
      <c r="AF9" s="545">
        <f t="shared" si="5"/>
        <v>0</v>
      </c>
      <c r="AG9" s="545">
        <f t="shared" si="6"/>
        <v>0</v>
      </c>
      <c r="AH9" s="545">
        <f t="shared" si="6"/>
        <v>0</v>
      </c>
      <c r="AI9" s="545">
        <f t="shared" si="7"/>
        <v>0</v>
      </c>
      <c r="AJ9" s="546">
        <f t="shared" si="8"/>
        <v>0</v>
      </c>
    </row>
    <row r="10" spans="1:36">
      <c r="A10" s="16">
        <v>10.06</v>
      </c>
      <c r="B10" s="17" t="s">
        <v>20</v>
      </c>
      <c r="C10" s="537">
        <f>'PMOC BY Risk Profile Values'!C10</f>
        <v>0</v>
      </c>
      <c r="D10" s="543">
        <v>0</v>
      </c>
      <c r="E10" s="543">
        <v>0</v>
      </c>
      <c r="F10" s="543">
        <v>0</v>
      </c>
      <c r="G10" s="541">
        <f t="shared" si="9"/>
        <v>0</v>
      </c>
      <c r="H10" s="542">
        <f t="shared" si="10"/>
        <v>0</v>
      </c>
      <c r="I10" s="563"/>
      <c r="J10" s="537">
        <f>'PMOC BY Risk Profile Values'!E10</f>
        <v>0</v>
      </c>
      <c r="K10" s="543">
        <v>0</v>
      </c>
      <c r="L10" s="543">
        <v>0</v>
      </c>
      <c r="M10" s="543">
        <v>0</v>
      </c>
      <c r="N10" s="541">
        <f t="shared" si="11"/>
        <v>0</v>
      </c>
      <c r="O10" s="542">
        <f t="shared" si="12"/>
        <v>0</v>
      </c>
      <c r="P10" s="563"/>
      <c r="Q10" s="537">
        <f>'PMOC BY Risk Profile Values'!G10</f>
        <v>0</v>
      </c>
      <c r="R10" s="543">
        <v>0</v>
      </c>
      <c r="S10" s="543">
        <v>0</v>
      </c>
      <c r="T10" s="543">
        <v>0</v>
      </c>
      <c r="U10" s="541">
        <f t="shared" si="13"/>
        <v>0</v>
      </c>
      <c r="V10" s="542">
        <f t="shared" si="14"/>
        <v>0</v>
      </c>
      <c r="W10" s="563"/>
      <c r="X10" s="537">
        <f>'PMOC BY Risk Profile Values'!I10</f>
        <v>0</v>
      </c>
      <c r="Y10" s="543">
        <v>0</v>
      </c>
      <c r="Z10" s="543">
        <v>0</v>
      </c>
      <c r="AA10" s="543">
        <v>0</v>
      </c>
      <c r="AB10" s="541">
        <f t="shared" si="15"/>
        <v>0</v>
      </c>
      <c r="AC10" s="542">
        <f t="shared" si="16"/>
        <v>0</v>
      </c>
      <c r="AD10" s="563"/>
      <c r="AE10" s="544">
        <f t="shared" si="17"/>
        <v>0</v>
      </c>
      <c r="AF10" s="545">
        <f t="shared" si="5"/>
        <v>0</v>
      </c>
      <c r="AG10" s="545">
        <f t="shared" si="6"/>
        <v>0</v>
      </c>
      <c r="AH10" s="545">
        <f t="shared" si="6"/>
        <v>0</v>
      </c>
      <c r="AI10" s="545">
        <f t="shared" si="7"/>
        <v>0</v>
      </c>
      <c r="AJ10" s="546">
        <f t="shared" si="8"/>
        <v>0</v>
      </c>
    </row>
    <row r="11" spans="1:36">
      <c r="A11" s="16">
        <v>10.07</v>
      </c>
      <c r="B11" s="17" t="s">
        <v>21</v>
      </c>
      <c r="C11" s="537">
        <f>'PMOC BY Risk Profile Values'!C11</f>
        <v>0</v>
      </c>
      <c r="D11" s="543">
        <v>0</v>
      </c>
      <c r="E11" s="543">
        <v>0</v>
      </c>
      <c r="F11" s="543">
        <v>0</v>
      </c>
      <c r="G11" s="541">
        <f t="shared" si="9"/>
        <v>0</v>
      </c>
      <c r="H11" s="542">
        <f t="shared" si="10"/>
        <v>0</v>
      </c>
      <c r="I11" s="563"/>
      <c r="J11" s="537">
        <f>'PMOC BY Risk Profile Values'!E11</f>
        <v>0</v>
      </c>
      <c r="K11" s="543">
        <v>0</v>
      </c>
      <c r="L11" s="543">
        <v>0</v>
      </c>
      <c r="M11" s="543">
        <v>0</v>
      </c>
      <c r="N11" s="541">
        <f t="shared" si="11"/>
        <v>0</v>
      </c>
      <c r="O11" s="542">
        <f t="shared" si="12"/>
        <v>0</v>
      </c>
      <c r="P11" s="563"/>
      <c r="Q11" s="537">
        <f>'PMOC BY Risk Profile Values'!G11</f>
        <v>0</v>
      </c>
      <c r="R11" s="543">
        <v>0</v>
      </c>
      <c r="S11" s="543">
        <v>0</v>
      </c>
      <c r="T11" s="543">
        <v>0</v>
      </c>
      <c r="U11" s="541">
        <f t="shared" si="13"/>
        <v>0</v>
      </c>
      <c r="V11" s="542">
        <f t="shared" si="14"/>
        <v>0</v>
      </c>
      <c r="W11" s="563"/>
      <c r="X11" s="537">
        <f>'PMOC BY Risk Profile Values'!I11</f>
        <v>0</v>
      </c>
      <c r="Y11" s="543">
        <v>0</v>
      </c>
      <c r="Z11" s="543">
        <v>0</v>
      </c>
      <c r="AA11" s="543">
        <v>0</v>
      </c>
      <c r="AB11" s="541">
        <f t="shared" si="15"/>
        <v>0</v>
      </c>
      <c r="AC11" s="542">
        <f t="shared" si="16"/>
        <v>0</v>
      </c>
      <c r="AD11" s="563"/>
      <c r="AE11" s="544">
        <f t="shared" si="17"/>
        <v>0</v>
      </c>
      <c r="AF11" s="545">
        <f t="shared" si="5"/>
        <v>0</v>
      </c>
      <c r="AG11" s="545">
        <f t="shared" si="6"/>
        <v>0</v>
      </c>
      <c r="AH11" s="545">
        <f t="shared" si="6"/>
        <v>0</v>
      </c>
      <c r="AI11" s="545">
        <f t="shared" si="7"/>
        <v>0</v>
      </c>
      <c r="AJ11" s="546">
        <f t="shared" si="8"/>
        <v>0</v>
      </c>
    </row>
    <row r="12" spans="1:36">
      <c r="A12" s="16">
        <v>10.08</v>
      </c>
      <c r="B12" s="17" t="s">
        <v>22</v>
      </c>
      <c r="C12" s="537">
        <f>'PMOC BY Risk Profile Values'!C12</f>
        <v>0</v>
      </c>
      <c r="D12" s="543">
        <v>0</v>
      </c>
      <c r="E12" s="543">
        <v>0</v>
      </c>
      <c r="F12" s="543">
        <v>0</v>
      </c>
      <c r="G12" s="541">
        <f t="shared" si="9"/>
        <v>0</v>
      </c>
      <c r="H12" s="542">
        <f t="shared" si="10"/>
        <v>0</v>
      </c>
      <c r="I12" s="563"/>
      <c r="J12" s="537">
        <f>'PMOC BY Risk Profile Values'!E12</f>
        <v>0</v>
      </c>
      <c r="K12" s="543">
        <v>0</v>
      </c>
      <c r="L12" s="543">
        <v>0</v>
      </c>
      <c r="M12" s="543">
        <v>0</v>
      </c>
      <c r="N12" s="541">
        <f t="shared" si="11"/>
        <v>0</v>
      </c>
      <c r="O12" s="542">
        <f t="shared" si="12"/>
        <v>0</v>
      </c>
      <c r="P12" s="563"/>
      <c r="Q12" s="537">
        <f>'PMOC BY Risk Profile Values'!G12</f>
        <v>0</v>
      </c>
      <c r="R12" s="543">
        <v>0</v>
      </c>
      <c r="S12" s="543">
        <v>0</v>
      </c>
      <c r="T12" s="543">
        <v>0</v>
      </c>
      <c r="U12" s="541">
        <f t="shared" si="13"/>
        <v>0</v>
      </c>
      <c r="V12" s="542">
        <f t="shared" si="14"/>
        <v>0</v>
      </c>
      <c r="W12" s="563"/>
      <c r="X12" s="537">
        <f>'PMOC BY Risk Profile Values'!I12</f>
        <v>0</v>
      </c>
      <c r="Y12" s="543">
        <v>0</v>
      </c>
      <c r="Z12" s="543">
        <v>0</v>
      </c>
      <c r="AA12" s="543">
        <v>0</v>
      </c>
      <c r="AB12" s="541">
        <f t="shared" si="15"/>
        <v>0</v>
      </c>
      <c r="AC12" s="542">
        <f t="shared" si="16"/>
        <v>0</v>
      </c>
      <c r="AD12" s="563"/>
      <c r="AE12" s="544">
        <f t="shared" si="17"/>
        <v>0</v>
      </c>
      <c r="AF12" s="545">
        <f t="shared" si="5"/>
        <v>0</v>
      </c>
      <c r="AG12" s="545">
        <f t="shared" si="6"/>
        <v>0</v>
      </c>
      <c r="AH12" s="545">
        <f t="shared" si="6"/>
        <v>0</v>
      </c>
      <c r="AI12" s="545">
        <f t="shared" si="7"/>
        <v>0</v>
      </c>
      <c r="AJ12" s="546">
        <f t="shared" si="8"/>
        <v>0</v>
      </c>
    </row>
    <row r="13" spans="1:36">
      <c r="A13" s="16">
        <v>10.09</v>
      </c>
      <c r="B13" s="17" t="s">
        <v>23</v>
      </c>
      <c r="C13" s="537">
        <f>'PMOC BY Risk Profile Values'!C13</f>
        <v>0</v>
      </c>
      <c r="D13" s="543">
        <v>0</v>
      </c>
      <c r="E13" s="543">
        <v>0</v>
      </c>
      <c r="F13" s="543">
        <v>0</v>
      </c>
      <c r="G13" s="541">
        <f t="shared" si="9"/>
        <v>0</v>
      </c>
      <c r="H13" s="542">
        <f t="shared" si="10"/>
        <v>0</v>
      </c>
      <c r="I13" s="563"/>
      <c r="J13" s="537">
        <f>'PMOC BY Risk Profile Values'!E13</f>
        <v>0</v>
      </c>
      <c r="K13" s="543">
        <v>0</v>
      </c>
      <c r="L13" s="543">
        <v>0</v>
      </c>
      <c r="M13" s="543">
        <v>0</v>
      </c>
      <c r="N13" s="541">
        <f t="shared" si="11"/>
        <v>0</v>
      </c>
      <c r="O13" s="542">
        <f t="shared" si="12"/>
        <v>0</v>
      </c>
      <c r="P13" s="563"/>
      <c r="Q13" s="537">
        <f>'PMOC BY Risk Profile Values'!G13</f>
        <v>0</v>
      </c>
      <c r="R13" s="543">
        <v>0</v>
      </c>
      <c r="S13" s="543">
        <v>0</v>
      </c>
      <c r="T13" s="543">
        <v>0</v>
      </c>
      <c r="U13" s="541">
        <f t="shared" si="13"/>
        <v>0</v>
      </c>
      <c r="V13" s="542">
        <f t="shared" si="14"/>
        <v>0</v>
      </c>
      <c r="W13" s="563"/>
      <c r="X13" s="537">
        <f>'PMOC BY Risk Profile Values'!I13</f>
        <v>0</v>
      </c>
      <c r="Y13" s="543">
        <v>0</v>
      </c>
      <c r="Z13" s="543">
        <v>0</v>
      </c>
      <c r="AA13" s="543">
        <v>0</v>
      </c>
      <c r="AB13" s="541">
        <f t="shared" si="15"/>
        <v>0</v>
      </c>
      <c r="AC13" s="542">
        <f t="shared" si="16"/>
        <v>0</v>
      </c>
      <c r="AD13" s="563"/>
      <c r="AE13" s="544">
        <f t="shared" si="17"/>
        <v>0</v>
      </c>
      <c r="AF13" s="545">
        <f t="shared" si="5"/>
        <v>0</v>
      </c>
      <c r="AG13" s="545">
        <f t="shared" si="6"/>
        <v>0</v>
      </c>
      <c r="AH13" s="545">
        <f t="shared" si="6"/>
        <v>0</v>
      </c>
      <c r="AI13" s="545">
        <f t="shared" si="7"/>
        <v>0</v>
      </c>
      <c r="AJ13" s="546">
        <f t="shared" si="8"/>
        <v>0</v>
      </c>
    </row>
    <row r="14" spans="1:36">
      <c r="A14" s="16">
        <v>10.1</v>
      </c>
      <c r="B14" s="17" t="s">
        <v>24</v>
      </c>
      <c r="C14" s="537">
        <f>'PMOC BY Risk Profile Values'!C14</f>
        <v>0</v>
      </c>
      <c r="D14" s="543">
        <v>0</v>
      </c>
      <c r="E14" s="543">
        <v>0</v>
      </c>
      <c r="F14" s="543">
        <v>0</v>
      </c>
      <c r="G14" s="541">
        <f t="shared" si="9"/>
        <v>0</v>
      </c>
      <c r="H14" s="542">
        <f t="shared" si="10"/>
        <v>0</v>
      </c>
      <c r="I14" s="563"/>
      <c r="J14" s="537">
        <f>'PMOC BY Risk Profile Values'!E14</f>
        <v>0</v>
      </c>
      <c r="K14" s="543">
        <v>0</v>
      </c>
      <c r="L14" s="543">
        <v>0</v>
      </c>
      <c r="M14" s="543">
        <v>0</v>
      </c>
      <c r="N14" s="541">
        <f t="shared" si="11"/>
        <v>0</v>
      </c>
      <c r="O14" s="542">
        <f t="shared" si="12"/>
        <v>0</v>
      </c>
      <c r="P14" s="563"/>
      <c r="Q14" s="537">
        <f>'PMOC BY Risk Profile Values'!G14</f>
        <v>0</v>
      </c>
      <c r="R14" s="543">
        <v>0</v>
      </c>
      <c r="S14" s="543">
        <v>0</v>
      </c>
      <c r="T14" s="543">
        <v>0</v>
      </c>
      <c r="U14" s="541">
        <f t="shared" si="13"/>
        <v>0</v>
      </c>
      <c r="V14" s="542">
        <f t="shared" si="14"/>
        <v>0</v>
      </c>
      <c r="W14" s="563"/>
      <c r="X14" s="537">
        <f>'PMOC BY Risk Profile Values'!I14</f>
        <v>0</v>
      </c>
      <c r="Y14" s="543">
        <v>0</v>
      </c>
      <c r="Z14" s="543">
        <v>0</v>
      </c>
      <c r="AA14" s="543">
        <v>0</v>
      </c>
      <c r="AB14" s="541">
        <f t="shared" si="15"/>
        <v>0</v>
      </c>
      <c r="AC14" s="542">
        <f t="shared" si="16"/>
        <v>0</v>
      </c>
      <c r="AD14" s="563"/>
      <c r="AE14" s="544">
        <f t="shared" si="17"/>
        <v>0</v>
      </c>
      <c r="AF14" s="545">
        <f t="shared" si="5"/>
        <v>0</v>
      </c>
      <c r="AG14" s="545">
        <f t="shared" si="6"/>
        <v>0</v>
      </c>
      <c r="AH14" s="545">
        <f t="shared" si="6"/>
        <v>0</v>
      </c>
      <c r="AI14" s="545">
        <f t="shared" si="7"/>
        <v>0</v>
      </c>
      <c r="AJ14" s="546">
        <f t="shared" si="8"/>
        <v>0</v>
      </c>
    </row>
    <row r="15" spans="1:36">
      <c r="A15" s="16">
        <v>10.11</v>
      </c>
      <c r="B15" s="17" t="s">
        <v>25</v>
      </c>
      <c r="C15" s="537">
        <f>'PMOC BY Risk Profile Values'!C15</f>
        <v>0</v>
      </c>
      <c r="D15" s="543">
        <v>0</v>
      </c>
      <c r="E15" s="543">
        <v>0</v>
      </c>
      <c r="F15" s="543">
        <v>0</v>
      </c>
      <c r="G15" s="541">
        <f t="shared" si="9"/>
        <v>0</v>
      </c>
      <c r="H15" s="542">
        <f t="shared" si="10"/>
        <v>0</v>
      </c>
      <c r="I15" s="563"/>
      <c r="J15" s="537">
        <f>'PMOC BY Risk Profile Values'!E15</f>
        <v>0</v>
      </c>
      <c r="K15" s="543">
        <v>0</v>
      </c>
      <c r="L15" s="543">
        <v>0</v>
      </c>
      <c r="M15" s="543">
        <v>0</v>
      </c>
      <c r="N15" s="541">
        <f t="shared" si="11"/>
        <v>0</v>
      </c>
      <c r="O15" s="542">
        <f t="shared" si="12"/>
        <v>0</v>
      </c>
      <c r="P15" s="563"/>
      <c r="Q15" s="537">
        <f>'PMOC BY Risk Profile Values'!G15</f>
        <v>0</v>
      </c>
      <c r="R15" s="543">
        <v>0</v>
      </c>
      <c r="S15" s="543">
        <v>0</v>
      </c>
      <c r="T15" s="543">
        <v>0</v>
      </c>
      <c r="U15" s="541">
        <f t="shared" si="13"/>
        <v>0</v>
      </c>
      <c r="V15" s="542">
        <f t="shared" si="14"/>
        <v>0</v>
      </c>
      <c r="W15" s="563"/>
      <c r="X15" s="537">
        <f>'PMOC BY Risk Profile Values'!I15</f>
        <v>0</v>
      </c>
      <c r="Y15" s="543">
        <v>0</v>
      </c>
      <c r="Z15" s="543">
        <v>0</v>
      </c>
      <c r="AA15" s="543">
        <v>0</v>
      </c>
      <c r="AB15" s="541">
        <f t="shared" si="15"/>
        <v>0</v>
      </c>
      <c r="AC15" s="542">
        <f t="shared" si="16"/>
        <v>0</v>
      </c>
      <c r="AD15" s="563"/>
      <c r="AE15" s="544">
        <f t="shared" si="17"/>
        <v>0</v>
      </c>
      <c r="AF15" s="545">
        <f t="shared" si="5"/>
        <v>0</v>
      </c>
      <c r="AG15" s="545">
        <f t="shared" si="6"/>
        <v>0</v>
      </c>
      <c r="AH15" s="545">
        <f t="shared" si="6"/>
        <v>0</v>
      </c>
      <c r="AI15" s="545">
        <f t="shared" si="7"/>
        <v>0</v>
      </c>
      <c r="AJ15" s="546">
        <f t="shared" si="8"/>
        <v>0</v>
      </c>
    </row>
    <row r="16" spans="1:36">
      <c r="A16" s="16">
        <v>10.119999999999999</v>
      </c>
      <c r="B16" s="17" t="s">
        <v>26</v>
      </c>
      <c r="C16" s="537">
        <f>'PMOC BY Risk Profile Values'!C16</f>
        <v>0</v>
      </c>
      <c r="D16" s="543">
        <v>0</v>
      </c>
      <c r="E16" s="543">
        <v>0</v>
      </c>
      <c r="F16" s="543">
        <v>0</v>
      </c>
      <c r="G16" s="541">
        <f t="shared" si="9"/>
        <v>0</v>
      </c>
      <c r="H16" s="542">
        <f t="shared" si="10"/>
        <v>0</v>
      </c>
      <c r="I16" s="563"/>
      <c r="J16" s="537">
        <f>'PMOC BY Risk Profile Values'!E16</f>
        <v>0</v>
      </c>
      <c r="K16" s="543">
        <v>0</v>
      </c>
      <c r="L16" s="543">
        <v>0</v>
      </c>
      <c r="M16" s="543">
        <v>0</v>
      </c>
      <c r="N16" s="541">
        <f t="shared" si="11"/>
        <v>0</v>
      </c>
      <c r="O16" s="542">
        <f t="shared" si="12"/>
        <v>0</v>
      </c>
      <c r="P16" s="563"/>
      <c r="Q16" s="537">
        <f>'PMOC BY Risk Profile Values'!G16</f>
        <v>0</v>
      </c>
      <c r="R16" s="543">
        <v>0</v>
      </c>
      <c r="S16" s="543">
        <v>0</v>
      </c>
      <c r="T16" s="543">
        <v>0</v>
      </c>
      <c r="U16" s="541">
        <f t="shared" si="13"/>
        <v>0</v>
      </c>
      <c r="V16" s="542">
        <f t="shared" si="14"/>
        <v>0</v>
      </c>
      <c r="W16" s="563"/>
      <c r="X16" s="537">
        <f>'PMOC BY Risk Profile Values'!I16</f>
        <v>0</v>
      </c>
      <c r="Y16" s="543">
        <v>0</v>
      </c>
      <c r="Z16" s="543">
        <v>0</v>
      </c>
      <c r="AA16" s="543">
        <v>0</v>
      </c>
      <c r="AB16" s="541">
        <f t="shared" si="15"/>
        <v>0</v>
      </c>
      <c r="AC16" s="542">
        <f t="shared" si="16"/>
        <v>0</v>
      </c>
      <c r="AD16" s="563"/>
      <c r="AE16" s="544">
        <f t="shared" si="17"/>
        <v>0</v>
      </c>
      <c r="AF16" s="545">
        <f t="shared" si="5"/>
        <v>0</v>
      </c>
      <c r="AG16" s="545">
        <f t="shared" si="6"/>
        <v>0</v>
      </c>
      <c r="AH16" s="545">
        <f t="shared" si="6"/>
        <v>0</v>
      </c>
      <c r="AI16" s="545">
        <f t="shared" si="7"/>
        <v>0</v>
      </c>
      <c r="AJ16" s="546">
        <f t="shared" si="8"/>
        <v>0</v>
      </c>
    </row>
    <row r="17" spans="1:36">
      <c r="A17" s="16">
        <v>10.130000000000001</v>
      </c>
      <c r="B17" s="17" t="s">
        <v>27</v>
      </c>
      <c r="C17" s="537">
        <f>'PMOC BY Risk Profile Values'!C17</f>
        <v>0</v>
      </c>
      <c r="D17" s="543">
        <v>0</v>
      </c>
      <c r="E17" s="543">
        <v>0</v>
      </c>
      <c r="F17" s="543">
        <v>0</v>
      </c>
      <c r="G17" s="541">
        <f t="shared" si="9"/>
        <v>0</v>
      </c>
      <c r="H17" s="542">
        <f t="shared" si="10"/>
        <v>0</v>
      </c>
      <c r="I17" s="563"/>
      <c r="J17" s="537">
        <f>'PMOC BY Risk Profile Values'!E17</f>
        <v>0</v>
      </c>
      <c r="K17" s="543">
        <v>0</v>
      </c>
      <c r="L17" s="543">
        <v>0</v>
      </c>
      <c r="M17" s="543">
        <v>0</v>
      </c>
      <c r="N17" s="541">
        <f t="shared" si="11"/>
        <v>0</v>
      </c>
      <c r="O17" s="542">
        <f t="shared" si="12"/>
        <v>0</v>
      </c>
      <c r="P17" s="563"/>
      <c r="Q17" s="537">
        <f>'PMOC BY Risk Profile Values'!G17</f>
        <v>0</v>
      </c>
      <c r="R17" s="543">
        <v>0</v>
      </c>
      <c r="S17" s="543">
        <v>0</v>
      </c>
      <c r="T17" s="543">
        <v>0</v>
      </c>
      <c r="U17" s="541">
        <f t="shared" si="13"/>
        <v>0</v>
      </c>
      <c r="V17" s="542">
        <f t="shared" si="14"/>
        <v>0</v>
      </c>
      <c r="W17" s="563"/>
      <c r="X17" s="537">
        <f>'PMOC BY Risk Profile Values'!I17</f>
        <v>0</v>
      </c>
      <c r="Y17" s="543">
        <v>0</v>
      </c>
      <c r="Z17" s="543">
        <v>0</v>
      </c>
      <c r="AA17" s="543">
        <v>0</v>
      </c>
      <c r="AB17" s="541">
        <f t="shared" si="15"/>
        <v>0</v>
      </c>
      <c r="AC17" s="542">
        <f t="shared" si="16"/>
        <v>0</v>
      </c>
      <c r="AD17" s="563"/>
      <c r="AE17" s="544">
        <f t="shared" si="17"/>
        <v>0</v>
      </c>
      <c r="AF17" s="545">
        <f t="shared" si="5"/>
        <v>0</v>
      </c>
      <c r="AG17" s="545">
        <f t="shared" si="6"/>
        <v>0</v>
      </c>
      <c r="AH17" s="545">
        <f t="shared" si="6"/>
        <v>0</v>
      </c>
      <c r="AI17" s="545">
        <f t="shared" si="7"/>
        <v>0</v>
      </c>
      <c r="AJ17" s="546">
        <f t="shared" si="8"/>
        <v>0</v>
      </c>
    </row>
    <row r="18" spans="1:36" ht="15">
      <c r="A18" s="14" t="s">
        <v>167</v>
      </c>
      <c r="B18" s="15"/>
      <c r="C18" s="538">
        <f>SUM(C19:C25)</f>
        <v>0</v>
      </c>
      <c r="D18" s="539">
        <f t="shared" ref="D18:H18" si="18">SUM(D19:D25)</f>
        <v>0</v>
      </c>
      <c r="E18" s="539">
        <f t="shared" si="18"/>
        <v>0</v>
      </c>
      <c r="F18" s="539">
        <f t="shared" si="18"/>
        <v>0</v>
      </c>
      <c r="G18" s="539">
        <f t="shared" si="18"/>
        <v>0</v>
      </c>
      <c r="H18" s="539">
        <f t="shared" si="18"/>
        <v>0</v>
      </c>
      <c r="I18" s="563"/>
      <c r="J18" s="538">
        <f>SUM(J19:J25)</f>
        <v>0</v>
      </c>
      <c r="K18" s="539">
        <f>SUM(K19:K25)</f>
        <v>0</v>
      </c>
      <c r="L18" s="539">
        <f t="shared" ref="L18:N18" si="19">SUM(L19:L25)</f>
        <v>0</v>
      </c>
      <c r="M18" s="539">
        <f t="shared" si="19"/>
        <v>0</v>
      </c>
      <c r="N18" s="539">
        <f t="shared" si="19"/>
        <v>0</v>
      </c>
      <c r="O18" s="539">
        <f>SUM(O19:O25)</f>
        <v>0</v>
      </c>
      <c r="P18" s="563"/>
      <c r="Q18" s="538">
        <f>SUM(Q19:Q25)</f>
        <v>0</v>
      </c>
      <c r="R18" s="539">
        <f>SUM(R19:R25)</f>
        <v>0</v>
      </c>
      <c r="S18" s="539">
        <f t="shared" ref="S18:U18" si="20">SUM(S19:S25)</f>
        <v>0</v>
      </c>
      <c r="T18" s="539">
        <f t="shared" si="20"/>
        <v>0</v>
      </c>
      <c r="U18" s="539">
        <f t="shared" si="20"/>
        <v>0</v>
      </c>
      <c r="V18" s="539">
        <f>SUM(V19:V25)</f>
        <v>0</v>
      </c>
      <c r="W18" s="563"/>
      <c r="X18" s="538">
        <f>SUM(X19:X25)</f>
        <v>0</v>
      </c>
      <c r="Y18" s="539">
        <f>SUM(Y19:Y25)</f>
        <v>0</v>
      </c>
      <c r="Z18" s="539">
        <f t="shared" ref="Z18:AB18" si="21">SUM(Z19:Z25)</f>
        <v>0</v>
      </c>
      <c r="AA18" s="539">
        <f t="shared" si="21"/>
        <v>0</v>
      </c>
      <c r="AB18" s="539">
        <f t="shared" si="21"/>
        <v>0</v>
      </c>
      <c r="AC18" s="539">
        <f>SUM(AC19:AC25)</f>
        <v>0</v>
      </c>
      <c r="AD18" s="563"/>
      <c r="AE18" s="538">
        <f>SUM(AE19:AE25)</f>
        <v>0</v>
      </c>
      <c r="AF18" s="539">
        <f>SUM(AF19:AF25)</f>
        <v>0</v>
      </c>
      <c r="AG18" s="539">
        <f t="shared" ref="AG18:AH18" si="22">SUM(AG19:AG25)</f>
        <v>0</v>
      </c>
      <c r="AH18" s="539">
        <f t="shared" si="22"/>
        <v>0</v>
      </c>
      <c r="AI18" s="539">
        <f>SUM(AI19:AI25)</f>
        <v>0</v>
      </c>
      <c r="AJ18" s="540">
        <f>SUM(AJ19:AJ25)</f>
        <v>0</v>
      </c>
    </row>
    <row r="19" spans="1:36">
      <c r="A19" s="18">
        <v>20.010000000000002</v>
      </c>
      <c r="B19" s="19" t="s">
        <v>63</v>
      </c>
      <c r="C19" s="537">
        <f>'PMOC BY Risk Profile Values'!C19</f>
        <v>0</v>
      </c>
      <c r="D19" s="543">
        <v>0</v>
      </c>
      <c r="E19" s="543">
        <v>0</v>
      </c>
      <c r="F19" s="543">
        <v>0</v>
      </c>
      <c r="G19" s="541">
        <f t="shared" ref="G19:G25" si="23">SUM(D19:E19,F19)</f>
        <v>0</v>
      </c>
      <c r="H19" s="542">
        <f t="shared" ref="H19:H31" si="24">SUM(C19,G19)</f>
        <v>0</v>
      </c>
      <c r="I19" s="563"/>
      <c r="J19" s="537">
        <f>'PMOC BY Risk Profile Values'!E19</f>
        <v>0</v>
      </c>
      <c r="K19" s="543">
        <v>0</v>
      </c>
      <c r="L19" s="543">
        <v>0</v>
      </c>
      <c r="M19" s="543">
        <v>0</v>
      </c>
      <c r="N19" s="541">
        <f t="shared" ref="N19:N25" si="25">SUM(K19:L19,M19)</f>
        <v>0</v>
      </c>
      <c r="O19" s="542">
        <f t="shared" ref="O19:O31" si="26">SUM(J19,N19)</f>
        <v>0</v>
      </c>
      <c r="P19" s="563"/>
      <c r="Q19" s="537">
        <f>'PMOC BY Risk Profile Values'!G19</f>
        <v>0</v>
      </c>
      <c r="R19" s="543">
        <v>0</v>
      </c>
      <c r="S19" s="543">
        <v>0</v>
      </c>
      <c r="T19" s="543">
        <v>0</v>
      </c>
      <c r="U19" s="541">
        <f t="shared" ref="U19:U25" si="27">SUM(R19:S19,T19)</f>
        <v>0</v>
      </c>
      <c r="V19" s="542">
        <f t="shared" ref="V19:V31" si="28">SUM(Q19,U19)</f>
        <v>0</v>
      </c>
      <c r="W19" s="563"/>
      <c r="X19" s="537">
        <f>'PMOC BY Risk Profile Values'!I19</f>
        <v>0</v>
      </c>
      <c r="Y19" s="543">
        <v>0</v>
      </c>
      <c r="Z19" s="543">
        <v>0</v>
      </c>
      <c r="AA19" s="543">
        <v>0</v>
      </c>
      <c r="AB19" s="541">
        <f t="shared" ref="AB19:AB25" si="29">SUM(Y19:Z19,AA19)</f>
        <v>0</v>
      </c>
      <c r="AC19" s="542">
        <f t="shared" ref="AC19:AC31" si="30">SUM(X19,AB19)</f>
        <v>0</v>
      </c>
      <c r="AD19" s="563"/>
      <c r="AE19" s="544">
        <f t="shared" ref="AE19:AE25" si="31">SUM(C19,J19,Q19,X19)</f>
        <v>0</v>
      </c>
      <c r="AF19" s="545">
        <f t="shared" ref="AF19:AF25" si="32">SUM(D19,K19,R19,Y19)</f>
        <v>0</v>
      </c>
      <c r="AG19" s="545">
        <f t="shared" ref="AG19:AH25" si="33">SUM(E19,L19,S19,Z19)</f>
        <v>0</v>
      </c>
      <c r="AH19" s="545">
        <f t="shared" si="33"/>
        <v>0</v>
      </c>
      <c r="AI19" s="545">
        <f t="shared" ref="AI19:AI25" si="34">SUM(G19,N19,U19,AB19)</f>
        <v>0</v>
      </c>
      <c r="AJ19" s="546">
        <f t="shared" ref="AJ19:AJ25" si="35">SUM(H19,O19,V19,AC19)</f>
        <v>0</v>
      </c>
    </row>
    <row r="20" spans="1:36">
      <c r="A20" s="18">
        <v>20.02</v>
      </c>
      <c r="B20" s="19" t="s">
        <v>64</v>
      </c>
      <c r="C20" s="537">
        <f>'PMOC BY Risk Profile Values'!C20</f>
        <v>0</v>
      </c>
      <c r="D20" s="543">
        <v>0</v>
      </c>
      <c r="E20" s="543">
        <v>0</v>
      </c>
      <c r="F20" s="543">
        <v>0</v>
      </c>
      <c r="G20" s="541">
        <f t="shared" si="23"/>
        <v>0</v>
      </c>
      <c r="H20" s="542">
        <f t="shared" si="24"/>
        <v>0</v>
      </c>
      <c r="I20" s="563"/>
      <c r="J20" s="537">
        <f>'PMOC BY Risk Profile Values'!E20</f>
        <v>0</v>
      </c>
      <c r="K20" s="543">
        <v>0</v>
      </c>
      <c r="L20" s="543">
        <v>0</v>
      </c>
      <c r="M20" s="543">
        <v>0</v>
      </c>
      <c r="N20" s="541">
        <f t="shared" si="25"/>
        <v>0</v>
      </c>
      <c r="O20" s="542">
        <f t="shared" si="26"/>
        <v>0</v>
      </c>
      <c r="P20" s="563"/>
      <c r="Q20" s="537">
        <f>'PMOC BY Risk Profile Values'!G20</f>
        <v>0</v>
      </c>
      <c r="R20" s="543">
        <v>0</v>
      </c>
      <c r="S20" s="543">
        <v>0</v>
      </c>
      <c r="T20" s="543">
        <v>0</v>
      </c>
      <c r="U20" s="541">
        <f t="shared" si="27"/>
        <v>0</v>
      </c>
      <c r="V20" s="542">
        <f t="shared" si="28"/>
        <v>0</v>
      </c>
      <c r="W20" s="563"/>
      <c r="X20" s="537">
        <f>'PMOC BY Risk Profile Values'!I20</f>
        <v>0</v>
      </c>
      <c r="Y20" s="543">
        <v>0</v>
      </c>
      <c r="Z20" s="543">
        <v>0</v>
      </c>
      <c r="AA20" s="543">
        <v>0</v>
      </c>
      <c r="AB20" s="541">
        <f t="shared" si="29"/>
        <v>0</v>
      </c>
      <c r="AC20" s="542">
        <f t="shared" si="30"/>
        <v>0</v>
      </c>
      <c r="AD20" s="563"/>
      <c r="AE20" s="544">
        <f t="shared" si="31"/>
        <v>0</v>
      </c>
      <c r="AF20" s="545">
        <f t="shared" si="32"/>
        <v>0</v>
      </c>
      <c r="AG20" s="545">
        <f t="shared" si="33"/>
        <v>0</v>
      </c>
      <c r="AH20" s="545">
        <f t="shared" si="33"/>
        <v>0</v>
      </c>
      <c r="AI20" s="545">
        <f t="shared" si="34"/>
        <v>0</v>
      </c>
      <c r="AJ20" s="546">
        <f t="shared" si="35"/>
        <v>0</v>
      </c>
    </row>
    <row r="21" spans="1:36">
      <c r="A21" s="18">
        <v>20.03</v>
      </c>
      <c r="B21" s="19" t="s">
        <v>65</v>
      </c>
      <c r="C21" s="537">
        <f>'PMOC BY Risk Profile Values'!C21</f>
        <v>0</v>
      </c>
      <c r="D21" s="543">
        <v>0</v>
      </c>
      <c r="E21" s="543">
        <v>0</v>
      </c>
      <c r="F21" s="543">
        <v>0</v>
      </c>
      <c r="G21" s="541">
        <f t="shared" si="23"/>
        <v>0</v>
      </c>
      <c r="H21" s="542">
        <f t="shared" si="24"/>
        <v>0</v>
      </c>
      <c r="I21" s="563"/>
      <c r="J21" s="537">
        <f>'PMOC BY Risk Profile Values'!E21</f>
        <v>0</v>
      </c>
      <c r="K21" s="543">
        <v>0</v>
      </c>
      <c r="L21" s="543">
        <v>0</v>
      </c>
      <c r="M21" s="543">
        <v>0</v>
      </c>
      <c r="N21" s="541">
        <f t="shared" si="25"/>
        <v>0</v>
      </c>
      <c r="O21" s="542">
        <f t="shared" si="26"/>
        <v>0</v>
      </c>
      <c r="P21" s="563"/>
      <c r="Q21" s="537">
        <f>'PMOC BY Risk Profile Values'!G21</f>
        <v>0</v>
      </c>
      <c r="R21" s="543">
        <v>0</v>
      </c>
      <c r="S21" s="543">
        <v>0</v>
      </c>
      <c r="T21" s="543">
        <v>0</v>
      </c>
      <c r="U21" s="541">
        <f t="shared" si="27"/>
        <v>0</v>
      </c>
      <c r="V21" s="542">
        <f t="shared" si="28"/>
        <v>0</v>
      </c>
      <c r="W21" s="563"/>
      <c r="X21" s="537">
        <f>'PMOC BY Risk Profile Values'!I21</f>
        <v>0</v>
      </c>
      <c r="Y21" s="543">
        <v>0</v>
      </c>
      <c r="Z21" s="543">
        <v>0</v>
      </c>
      <c r="AA21" s="543">
        <v>0</v>
      </c>
      <c r="AB21" s="541">
        <f t="shared" si="29"/>
        <v>0</v>
      </c>
      <c r="AC21" s="542">
        <f t="shared" si="30"/>
        <v>0</v>
      </c>
      <c r="AD21" s="563"/>
      <c r="AE21" s="544">
        <f t="shared" si="31"/>
        <v>0</v>
      </c>
      <c r="AF21" s="545">
        <f t="shared" si="32"/>
        <v>0</v>
      </c>
      <c r="AG21" s="545">
        <f t="shared" si="33"/>
        <v>0</v>
      </c>
      <c r="AH21" s="545">
        <f t="shared" si="33"/>
        <v>0</v>
      </c>
      <c r="AI21" s="545">
        <f t="shared" si="34"/>
        <v>0</v>
      </c>
      <c r="AJ21" s="546">
        <f t="shared" si="35"/>
        <v>0</v>
      </c>
    </row>
    <row r="22" spans="1:36">
      <c r="A22" s="18">
        <v>20.04</v>
      </c>
      <c r="B22" s="19" t="s">
        <v>66</v>
      </c>
      <c r="C22" s="537">
        <f>'PMOC BY Risk Profile Values'!C22</f>
        <v>0</v>
      </c>
      <c r="D22" s="543">
        <v>0</v>
      </c>
      <c r="E22" s="543">
        <v>0</v>
      </c>
      <c r="F22" s="543">
        <v>0</v>
      </c>
      <c r="G22" s="541">
        <f t="shared" si="23"/>
        <v>0</v>
      </c>
      <c r="H22" s="542">
        <f t="shared" si="24"/>
        <v>0</v>
      </c>
      <c r="I22" s="563"/>
      <c r="J22" s="537">
        <f>'PMOC BY Risk Profile Values'!E22</f>
        <v>0</v>
      </c>
      <c r="K22" s="543">
        <v>0</v>
      </c>
      <c r="L22" s="543">
        <v>0</v>
      </c>
      <c r="M22" s="543">
        <v>0</v>
      </c>
      <c r="N22" s="541">
        <f t="shared" si="25"/>
        <v>0</v>
      </c>
      <c r="O22" s="542">
        <f t="shared" si="26"/>
        <v>0</v>
      </c>
      <c r="P22" s="563"/>
      <c r="Q22" s="537">
        <f>'PMOC BY Risk Profile Values'!G22</f>
        <v>0</v>
      </c>
      <c r="R22" s="543">
        <v>0</v>
      </c>
      <c r="S22" s="543">
        <v>0</v>
      </c>
      <c r="T22" s="543">
        <v>0</v>
      </c>
      <c r="U22" s="541">
        <f t="shared" si="27"/>
        <v>0</v>
      </c>
      <c r="V22" s="542">
        <f t="shared" si="28"/>
        <v>0</v>
      </c>
      <c r="W22" s="563"/>
      <c r="X22" s="537">
        <f>'PMOC BY Risk Profile Values'!I22</f>
        <v>0</v>
      </c>
      <c r="Y22" s="543">
        <v>0</v>
      </c>
      <c r="Z22" s="543">
        <v>0</v>
      </c>
      <c r="AA22" s="543">
        <v>0</v>
      </c>
      <c r="AB22" s="541">
        <f t="shared" si="29"/>
        <v>0</v>
      </c>
      <c r="AC22" s="542">
        <f t="shared" si="30"/>
        <v>0</v>
      </c>
      <c r="AD22" s="563"/>
      <c r="AE22" s="544">
        <f t="shared" si="31"/>
        <v>0</v>
      </c>
      <c r="AF22" s="545">
        <f t="shared" si="32"/>
        <v>0</v>
      </c>
      <c r="AG22" s="545">
        <f t="shared" si="33"/>
        <v>0</v>
      </c>
      <c r="AH22" s="545">
        <f t="shared" si="33"/>
        <v>0</v>
      </c>
      <c r="AI22" s="545">
        <f t="shared" si="34"/>
        <v>0</v>
      </c>
      <c r="AJ22" s="546">
        <f t="shared" si="35"/>
        <v>0</v>
      </c>
    </row>
    <row r="23" spans="1:36">
      <c r="A23" s="18">
        <v>20.05</v>
      </c>
      <c r="B23" s="19" t="s">
        <v>67</v>
      </c>
      <c r="C23" s="537">
        <f>'PMOC BY Risk Profile Values'!C23</f>
        <v>0</v>
      </c>
      <c r="D23" s="543">
        <v>0</v>
      </c>
      <c r="E23" s="543">
        <v>0</v>
      </c>
      <c r="F23" s="543">
        <v>0</v>
      </c>
      <c r="G23" s="541">
        <f t="shared" si="23"/>
        <v>0</v>
      </c>
      <c r="H23" s="542">
        <f t="shared" si="24"/>
        <v>0</v>
      </c>
      <c r="I23" s="563"/>
      <c r="J23" s="537">
        <f>'PMOC BY Risk Profile Values'!E23</f>
        <v>0</v>
      </c>
      <c r="K23" s="543">
        <v>0</v>
      </c>
      <c r="L23" s="543">
        <v>0</v>
      </c>
      <c r="M23" s="543">
        <v>0</v>
      </c>
      <c r="N23" s="541">
        <f t="shared" si="25"/>
        <v>0</v>
      </c>
      <c r="O23" s="542">
        <f t="shared" si="26"/>
        <v>0</v>
      </c>
      <c r="P23" s="563"/>
      <c r="Q23" s="537">
        <f>'PMOC BY Risk Profile Values'!G23</f>
        <v>0</v>
      </c>
      <c r="R23" s="543">
        <v>0</v>
      </c>
      <c r="S23" s="543">
        <v>0</v>
      </c>
      <c r="T23" s="543">
        <v>0</v>
      </c>
      <c r="U23" s="541">
        <f t="shared" si="27"/>
        <v>0</v>
      </c>
      <c r="V23" s="542">
        <f t="shared" si="28"/>
        <v>0</v>
      </c>
      <c r="W23" s="563"/>
      <c r="X23" s="537">
        <f>'PMOC BY Risk Profile Values'!I23</f>
        <v>0</v>
      </c>
      <c r="Y23" s="543">
        <v>0</v>
      </c>
      <c r="Z23" s="543">
        <v>0</v>
      </c>
      <c r="AA23" s="543">
        <v>0</v>
      </c>
      <c r="AB23" s="541">
        <f t="shared" si="29"/>
        <v>0</v>
      </c>
      <c r="AC23" s="542">
        <f t="shared" si="30"/>
        <v>0</v>
      </c>
      <c r="AD23" s="563"/>
      <c r="AE23" s="544">
        <f t="shared" si="31"/>
        <v>0</v>
      </c>
      <c r="AF23" s="545">
        <f t="shared" si="32"/>
        <v>0</v>
      </c>
      <c r="AG23" s="545">
        <f t="shared" si="33"/>
        <v>0</v>
      </c>
      <c r="AH23" s="545">
        <f t="shared" si="33"/>
        <v>0</v>
      </c>
      <c r="AI23" s="545">
        <f t="shared" si="34"/>
        <v>0</v>
      </c>
      <c r="AJ23" s="546">
        <f t="shared" si="35"/>
        <v>0</v>
      </c>
    </row>
    <row r="24" spans="1:36">
      <c r="A24" s="18">
        <v>20.059999999999999</v>
      </c>
      <c r="B24" s="19" t="s">
        <v>68</v>
      </c>
      <c r="C24" s="537">
        <f>'PMOC BY Risk Profile Values'!C24</f>
        <v>0</v>
      </c>
      <c r="D24" s="543">
        <v>0</v>
      </c>
      <c r="E24" s="543">
        <v>0</v>
      </c>
      <c r="F24" s="543">
        <v>0</v>
      </c>
      <c r="G24" s="541">
        <f t="shared" si="23"/>
        <v>0</v>
      </c>
      <c r="H24" s="542">
        <f t="shared" si="24"/>
        <v>0</v>
      </c>
      <c r="I24" s="563"/>
      <c r="J24" s="537">
        <f>'PMOC BY Risk Profile Values'!E24</f>
        <v>0</v>
      </c>
      <c r="K24" s="543">
        <v>0</v>
      </c>
      <c r="L24" s="543">
        <v>0</v>
      </c>
      <c r="M24" s="543">
        <v>0</v>
      </c>
      <c r="N24" s="541">
        <f t="shared" si="25"/>
        <v>0</v>
      </c>
      <c r="O24" s="542">
        <f t="shared" si="26"/>
        <v>0</v>
      </c>
      <c r="P24" s="563"/>
      <c r="Q24" s="537">
        <f>'PMOC BY Risk Profile Values'!G24</f>
        <v>0</v>
      </c>
      <c r="R24" s="543">
        <v>0</v>
      </c>
      <c r="S24" s="543">
        <v>0</v>
      </c>
      <c r="T24" s="543">
        <v>0</v>
      </c>
      <c r="U24" s="541">
        <f t="shared" si="27"/>
        <v>0</v>
      </c>
      <c r="V24" s="542">
        <f t="shared" si="28"/>
        <v>0</v>
      </c>
      <c r="W24" s="563"/>
      <c r="X24" s="537">
        <f>'PMOC BY Risk Profile Values'!I24</f>
        <v>0</v>
      </c>
      <c r="Y24" s="543">
        <v>0</v>
      </c>
      <c r="Z24" s="543">
        <v>0</v>
      </c>
      <c r="AA24" s="543">
        <v>0</v>
      </c>
      <c r="AB24" s="541">
        <f t="shared" si="29"/>
        <v>0</v>
      </c>
      <c r="AC24" s="542">
        <f t="shared" si="30"/>
        <v>0</v>
      </c>
      <c r="AD24" s="563"/>
      <c r="AE24" s="544">
        <f t="shared" si="31"/>
        <v>0</v>
      </c>
      <c r="AF24" s="545">
        <f t="shared" si="32"/>
        <v>0</v>
      </c>
      <c r="AG24" s="545">
        <f t="shared" si="33"/>
        <v>0</v>
      </c>
      <c r="AH24" s="545">
        <f t="shared" si="33"/>
        <v>0</v>
      </c>
      <c r="AI24" s="545">
        <f t="shared" si="34"/>
        <v>0</v>
      </c>
      <c r="AJ24" s="546">
        <f t="shared" si="35"/>
        <v>0</v>
      </c>
    </row>
    <row r="25" spans="1:36">
      <c r="A25" s="18">
        <v>20.07</v>
      </c>
      <c r="B25" s="19" t="s">
        <v>69</v>
      </c>
      <c r="C25" s="537">
        <f>'PMOC BY Risk Profile Values'!C25</f>
        <v>0</v>
      </c>
      <c r="D25" s="543">
        <v>0</v>
      </c>
      <c r="E25" s="543">
        <v>0</v>
      </c>
      <c r="F25" s="543">
        <v>0</v>
      </c>
      <c r="G25" s="541">
        <f t="shared" si="23"/>
        <v>0</v>
      </c>
      <c r="H25" s="542">
        <f t="shared" si="24"/>
        <v>0</v>
      </c>
      <c r="I25" s="563"/>
      <c r="J25" s="537">
        <f>'PMOC BY Risk Profile Values'!E25</f>
        <v>0</v>
      </c>
      <c r="K25" s="543">
        <v>0</v>
      </c>
      <c r="L25" s="543">
        <v>0</v>
      </c>
      <c r="M25" s="543">
        <v>0</v>
      </c>
      <c r="N25" s="541">
        <f t="shared" si="25"/>
        <v>0</v>
      </c>
      <c r="O25" s="542">
        <f t="shared" si="26"/>
        <v>0</v>
      </c>
      <c r="P25" s="563"/>
      <c r="Q25" s="537">
        <f>'PMOC BY Risk Profile Values'!G25</f>
        <v>0</v>
      </c>
      <c r="R25" s="543">
        <v>0</v>
      </c>
      <c r="S25" s="543">
        <v>0</v>
      </c>
      <c r="T25" s="543">
        <v>0</v>
      </c>
      <c r="U25" s="541">
        <f t="shared" si="27"/>
        <v>0</v>
      </c>
      <c r="V25" s="542">
        <f t="shared" si="28"/>
        <v>0</v>
      </c>
      <c r="W25" s="563"/>
      <c r="X25" s="537">
        <f>'PMOC BY Risk Profile Values'!I25</f>
        <v>0</v>
      </c>
      <c r="Y25" s="543">
        <v>0</v>
      </c>
      <c r="Z25" s="543">
        <v>0</v>
      </c>
      <c r="AA25" s="543">
        <v>0</v>
      </c>
      <c r="AB25" s="541">
        <f t="shared" si="29"/>
        <v>0</v>
      </c>
      <c r="AC25" s="542">
        <f t="shared" si="30"/>
        <v>0</v>
      </c>
      <c r="AD25" s="563"/>
      <c r="AE25" s="544">
        <f t="shared" si="31"/>
        <v>0</v>
      </c>
      <c r="AF25" s="545">
        <f t="shared" si="32"/>
        <v>0</v>
      </c>
      <c r="AG25" s="545">
        <f t="shared" si="33"/>
        <v>0</v>
      </c>
      <c r="AH25" s="545">
        <f t="shared" si="33"/>
        <v>0</v>
      </c>
      <c r="AI25" s="545">
        <f t="shared" si="34"/>
        <v>0</v>
      </c>
      <c r="AJ25" s="546">
        <f t="shared" si="35"/>
        <v>0</v>
      </c>
    </row>
    <row r="26" spans="1:36" ht="15">
      <c r="A26" s="14" t="s">
        <v>168</v>
      </c>
      <c r="B26" s="15"/>
      <c r="C26" s="538">
        <f>SUM(C27:C31)</f>
        <v>0</v>
      </c>
      <c r="D26" s="539">
        <f t="shared" ref="D26:H26" si="36">SUM(D27:D31)</f>
        <v>0</v>
      </c>
      <c r="E26" s="539">
        <f t="shared" si="36"/>
        <v>0</v>
      </c>
      <c r="F26" s="539">
        <f t="shared" si="36"/>
        <v>0</v>
      </c>
      <c r="G26" s="539">
        <f t="shared" si="36"/>
        <v>0</v>
      </c>
      <c r="H26" s="539">
        <f t="shared" si="36"/>
        <v>0</v>
      </c>
      <c r="I26" s="563"/>
      <c r="J26" s="538">
        <f>SUM(J27:J31)</f>
        <v>0</v>
      </c>
      <c r="K26" s="539">
        <f>SUM(K27:K31)</f>
        <v>0</v>
      </c>
      <c r="L26" s="539">
        <f t="shared" ref="L26:N26" si="37">SUM(L27:L31)</f>
        <v>0</v>
      </c>
      <c r="M26" s="539">
        <f t="shared" si="37"/>
        <v>0</v>
      </c>
      <c r="N26" s="539">
        <f t="shared" si="37"/>
        <v>0</v>
      </c>
      <c r="O26" s="539">
        <f>SUM(O27:O31)</f>
        <v>0</v>
      </c>
      <c r="P26" s="563"/>
      <c r="Q26" s="538">
        <f>SUM(Q27:Q31)</f>
        <v>0</v>
      </c>
      <c r="R26" s="539">
        <f>SUM(R27:R31)</f>
        <v>0</v>
      </c>
      <c r="S26" s="539">
        <f t="shared" ref="S26:U26" si="38">SUM(S27:S31)</f>
        <v>0</v>
      </c>
      <c r="T26" s="539">
        <f t="shared" si="38"/>
        <v>0</v>
      </c>
      <c r="U26" s="539">
        <f t="shared" si="38"/>
        <v>0</v>
      </c>
      <c r="V26" s="539">
        <f>SUM(V27:V31)</f>
        <v>0</v>
      </c>
      <c r="W26" s="563"/>
      <c r="X26" s="538">
        <f>SUM(X27:X31)</f>
        <v>0</v>
      </c>
      <c r="Y26" s="539">
        <f>SUM(Y27:Y31)</f>
        <v>0</v>
      </c>
      <c r="Z26" s="539">
        <f t="shared" ref="Z26:AB26" si="39">SUM(Z27:Z31)</f>
        <v>0</v>
      </c>
      <c r="AA26" s="539">
        <f t="shared" si="39"/>
        <v>0</v>
      </c>
      <c r="AB26" s="539">
        <f t="shared" si="39"/>
        <v>0</v>
      </c>
      <c r="AC26" s="539">
        <f>SUM(AC27:AC31)</f>
        <v>0</v>
      </c>
      <c r="AD26" s="563"/>
      <c r="AE26" s="538">
        <f>SUM(AE27:AE31)</f>
        <v>0</v>
      </c>
      <c r="AF26" s="539">
        <f>SUM(AF27:AF31)</f>
        <v>0</v>
      </c>
      <c r="AG26" s="539">
        <f t="shared" ref="AG26:AH26" si="40">SUM(AG27:AG31)</f>
        <v>0</v>
      </c>
      <c r="AH26" s="539">
        <f t="shared" si="40"/>
        <v>0</v>
      </c>
      <c r="AI26" s="539">
        <f>SUM(AI27:AI31)</f>
        <v>0</v>
      </c>
      <c r="AJ26" s="540">
        <f>SUM(AJ27:AJ31)</f>
        <v>0</v>
      </c>
    </row>
    <row r="27" spans="1:36">
      <c r="A27" s="18">
        <v>30.01</v>
      </c>
      <c r="B27" s="19" t="s">
        <v>28</v>
      </c>
      <c r="C27" s="537">
        <f>'PMOC BY Risk Profile Values'!C27</f>
        <v>0</v>
      </c>
      <c r="D27" s="543">
        <v>0</v>
      </c>
      <c r="E27" s="543">
        <v>0</v>
      </c>
      <c r="F27" s="543">
        <v>0</v>
      </c>
      <c r="G27" s="541">
        <f t="shared" ref="G27:G31" si="41">SUM(D27:E27,F27)</f>
        <v>0</v>
      </c>
      <c r="H27" s="542">
        <f t="shared" si="24"/>
        <v>0</v>
      </c>
      <c r="I27" s="563"/>
      <c r="J27" s="537">
        <f>'PMOC BY Risk Profile Values'!E27</f>
        <v>0</v>
      </c>
      <c r="K27" s="543">
        <v>0</v>
      </c>
      <c r="L27" s="543">
        <v>0</v>
      </c>
      <c r="M27" s="543">
        <v>0</v>
      </c>
      <c r="N27" s="541">
        <f t="shared" ref="N27:N31" si="42">SUM(K27:L27,M27)</f>
        <v>0</v>
      </c>
      <c r="O27" s="542">
        <f t="shared" si="26"/>
        <v>0</v>
      </c>
      <c r="P27" s="563"/>
      <c r="Q27" s="537">
        <f>'PMOC BY Risk Profile Values'!G27</f>
        <v>0</v>
      </c>
      <c r="R27" s="543">
        <v>0</v>
      </c>
      <c r="S27" s="543">
        <v>0</v>
      </c>
      <c r="T27" s="543">
        <v>0</v>
      </c>
      <c r="U27" s="541">
        <f t="shared" ref="U27:U31" si="43">SUM(R27:S27,T27)</f>
        <v>0</v>
      </c>
      <c r="V27" s="542">
        <f t="shared" si="28"/>
        <v>0</v>
      </c>
      <c r="W27" s="563"/>
      <c r="X27" s="537">
        <f>'PMOC BY Risk Profile Values'!I27</f>
        <v>0</v>
      </c>
      <c r="Y27" s="543">
        <v>0</v>
      </c>
      <c r="Z27" s="543">
        <v>0</v>
      </c>
      <c r="AA27" s="543">
        <v>0</v>
      </c>
      <c r="AB27" s="541">
        <f t="shared" ref="AB27:AB31" si="44">SUM(Y27:Z27,AA27)</f>
        <v>0</v>
      </c>
      <c r="AC27" s="542">
        <f t="shared" si="30"/>
        <v>0</v>
      </c>
      <c r="AD27" s="563"/>
      <c r="AE27" s="544">
        <f t="shared" ref="AE27:AE31" si="45">SUM(C27,J27,Q27,X27)</f>
        <v>0</v>
      </c>
      <c r="AF27" s="545">
        <f t="shared" ref="AF27:AF31" si="46">SUM(D27,K27,R27,Y27)</f>
        <v>0</v>
      </c>
      <c r="AG27" s="545">
        <f t="shared" ref="AG27:AH31" si="47">SUM(E27,L27,S27,Z27)</f>
        <v>0</v>
      </c>
      <c r="AH27" s="545">
        <f t="shared" si="47"/>
        <v>0</v>
      </c>
      <c r="AI27" s="545">
        <f t="shared" ref="AI27:AI31" si="48">SUM(G27,N27,U27,AB27)</f>
        <v>0</v>
      </c>
      <c r="AJ27" s="546">
        <f t="shared" ref="AJ27:AJ31" si="49">SUM(H27,O27,V27,AC27)</f>
        <v>0</v>
      </c>
    </row>
    <row r="28" spans="1:36">
      <c r="A28" s="18">
        <v>30.02</v>
      </c>
      <c r="B28" s="20" t="s">
        <v>29</v>
      </c>
      <c r="C28" s="537">
        <f>'PMOC BY Risk Profile Values'!C28</f>
        <v>0</v>
      </c>
      <c r="D28" s="543">
        <v>0</v>
      </c>
      <c r="E28" s="543">
        <v>0</v>
      </c>
      <c r="F28" s="543">
        <v>0</v>
      </c>
      <c r="G28" s="541">
        <f t="shared" si="41"/>
        <v>0</v>
      </c>
      <c r="H28" s="542">
        <f t="shared" si="24"/>
        <v>0</v>
      </c>
      <c r="I28" s="563"/>
      <c r="J28" s="537">
        <f>'PMOC BY Risk Profile Values'!E28</f>
        <v>0</v>
      </c>
      <c r="K28" s="543">
        <v>0</v>
      </c>
      <c r="L28" s="543">
        <v>0</v>
      </c>
      <c r="M28" s="543">
        <v>0</v>
      </c>
      <c r="N28" s="541">
        <f t="shared" si="42"/>
        <v>0</v>
      </c>
      <c r="O28" s="542">
        <f t="shared" si="26"/>
        <v>0</v>
      </c>
      <c r="P28" s="563"/>
      <c r="Q28" s="537">
        <f>'PMOC BY Risk Profile Values'!G28</f>
        <v>0</v>
      </c>
      <c r="R28" s="543">
        <v>0</v>
      </c>
      <c r="S28" s="543">
        <v>0</v>
      </c>
      <c r="T28" s="543">
        <v>0</v>
      </c>
      <c r="U28" s="541">
        <f t="shared" si="43"/>
        <v>0</v>
      </c>
      <c r="V28" s="542">
        <f t="shared" si="28"/>
        <v>0</v>
      </c>
      <c r="W28" s="563"/>
      <c r="X28" s="537">
        <f>'PMOC BY Risk Profile Values'!I28</f>
        <v>0</v>
      </c>
      <c r="Y28" s="543">
        <v>0</v>
      </c>
      <c r="Z28" s="543">
        <v>0</v>
      </c>
      <c r="AA28" s="543">
        <v>0</v>
      </c>
      <c r="AB28" s="541">
        <f t="shared" si="44"/>
        <v>0</v>
      </c>
      <c r="AC28" s="542">
        <f t="shared" si="30"/>
        <v>0</v>
      </c>
      <c r="AD28" s="563"/>
      <c r="AE28" s="544">
        <f t="shared" si="45"/>
        <v>0</v>
      </c>
      <c r="AF28" s="545">
        <f t="shared" si="46"/>
        <v>0</v>
      </c>
      <c r="AG28" s="545">
        <f t="shared" si="47"/>
        <v>0</v>
      </c>
      <c r="AH28" s="545">
        <f t="shared" si="47"/>
        <v>0</v>
      </c>
      <c r="AI28" s="545">
        <f t="shared" si="48"/>
        <v>0</v>
      </c>
      <c r="AJ28" s="546">
        <f t="shared" si="49"/>
        <v>0</v>
      </c>
    </row>
    <row r="29" spans="1:36">
      <c r="A29" s="18">
        <v>30.03</v>
      </c>
      <c r="B29" s="20" t="s">
        <v>30</v>
      </c>
      <c r="C29" s="537">
        <f>'PMOC BY Risk Profile Values'!C29</f>
        <v>0</v>
      </c>
      <c r="D29" s="543">
        <v>0</v>
      </c>
      <c r="E29" s="543">
        <v>0</v>
      </c>
      <c r="F29" s="543">
        <v>0</v>
      </c>
      <c r="G29" s="541">
        <f t="shared" si="41"/>
        <v>0</v>
      </c>
      <c r="H29" s="542">
        <f t="shared" si="24"/>
        <v>0</v>
      </c>
      <c r="I29" s="563"/>
      <c r="J29" s="537">
        <f>'PMOC BY Risk Profile Values'!E29</f>
        <v>0</v>
      </c>
      <c r="K29" s="543">
        <v>0</v>
      </c>
      <c r="L29" s="543">
        <v>0</v>
      </c>
      <c r="M29" s="543">
        <v>0</v>
      </c>
      <c r="N29" s="541">
        <f t="shared" si="42"/>
        <v>0</v>
      </c>
      <c r="O29" s="542">
        <f t="shared" si="26"/>
        <v>0</v>
      </c>
      <c r="P29" s="563"/>
      <c r="Q29" s="537">
        <f>'PMOC BY Risk Profile Values'!G29</f>
        <v>0</v>
      </c>
      <c r="R29" s="543">
        <v>0</v>
      </c>
      <c r="S29" s="543">
        <v>0</v>
      </c>
      <c r="T29" s="543">
        <v>0</v>
      </c>
      <c r="U29" s="541">
        <f t="shared" si="43"/>
        <v>0</v>
      </c>
      <c r="V29" s="542">
        <f t="shared" si="28"/>
        <v>0</v>
      </c>
      <c r="W29" s="563"/>
      <c r="X29" s="537">
        <f>'PMOC BY Risk Profile Values'!I29</f>
        <v>0</v>
      </c>
      <c r="Y29" s="543">
        <v>0</v>
      </c>
      <c r="Z29" s="543">
        <v>0</v>
      </c>
      <c r="AA29" s="543">
        <v>0</v>
      </c>
      <c r="AB29" s="541">
        <f t="shared" si="44"/>
        <v>0</v>
      </c>
      <c r="AC29" s="542">
        <f t="shared" si="30"/>
        <v>0</v>
      </c>
      <c r="AD29" s="563"/>
      <c r="AE29" s="544">
        <f t="shared" si="45"/>
        <v>0</v>
      </c>
      <c r="AF29" s="545">
        <f t="shared" si="46"/>
        <v>0</v>
      </c>
      <c r="AG29" s="545">
        <f t="shared" si="47"/>
        <v>0</v>
      </c>
      <c r="AH29" s="545">
        <f t="shared" si="47"/>
        <v>0</v>
      </c>
      <c r="AI29" s="545">
        <f t="shared" si="48"/>
        <v>0</v>
      </c>
      <c r="AJ29" s="546">
        <f t="shared" si="49"/>
        <v>0</v>
      </c>
    </row>
    <row r="30" spans="1:36">
      <c r="A30" s="18">
        <v>30.04</v>
      </c>
      <c r="B30" s="20" t="s">
        <v>31</v>
      </c>
      <c r="C30" s="537">
        <f>'PMOC BY Risk Profile Values'!C30</f>
        <v>0</v>
      </c>
      <c r="D30" s="543">
        <v>0</v>
      </c>
      <c r="E30" s="543">
        <v>0</v>
      </c>
      <c r="F30" s="543">
        <v>0</v>
      </c>
      <c r="G30" s="541">
        <f t="shared" si="41"/>
        <v>0</v>
      </c>
      <c r="H30" s="542">
        <f t="shared" si="24"/>
        <v>0</v>
      </c>
      <c r="I30" s="563"/>
      <c r="J30" s="537">
        <f>'PMOC BY Risk Profile Values'!E30</f>
        <v>0</v>
      </c>
      <c r="K30" s="543">
        <v>0</v>
      </c>
      <c r="L30" s="543">
        <v>0</v>
      </c>
      <c r="M30" s="543">
        <v>0</v>
      </c>
      <c r="N30" s="541">
        <f t="shared" si="42"/>
        <v>0</v>
      </c>
      <c r="O30" s="542">
        <f t="shared" si="26"/>
        <v>0</v>
      </c>
      <c r="P30" s="563"/>
      <c r="Q30" s="537">
        <f>'PMOC BY Risk Profile Values'!G30</f>
        <v>0</v>
      </c>
      <c r="R30" s="543">
        <v>0</v>
      </c>
      <c r="S30" s="543">
        <v>0</v>
      </c>
      <c r="T30" s="543">
        <v>0</v>
      </c>
      <c r="U30" s="541">
        <f t="shared" si="43"/>
        <v>0</v>
      </c>
      <c r="V30" s="542">
        <f t="shared" si="28"/>
        <v>0</v>
      </c>
      <c r="W30" s="563"/>
      <c r="X30" s="537">
        <f>'PMOC BY Risk Profile Values'!I30</f>
        <v>0</v>
      </c>
      <c r="Y30" s="543">
        <v>0</v>
      </c>
      <c r="Z30" s="543">
        <v>0</v>
      </c>
      <c r="AA30" s="543">
        <v>0</v>
      </c>
      <c r="AB30" s="541">
        <f t="shared" si="44"/>
        <v>0</v>
      </c>
      <c r="AC30" s="542">
        <f t="shared" si="30"/>
        <v>0</v>
      </c>
      <c r="AD30" s="563"/>
      <c r="AE30" s="544">
        <f t="shared" si="45"/>
        <v>0</v>
      </c>
      <c r="AF30" s="545">
        <f t="shared" si="46"/>
        <v>0</v>
      </c>
      <c r="AG30" s="545">
        <f t="shared" si="47"/>
        <v>0</v>
      </c>
      <c r="AH30" s="545">
        <f t="shared" si="47"/>
        <v>0</v>
      </c>
      <c r="AI30" s="545">
        <f t="shared" si="48"/>
        <v>0</v>
      </c>
      <c r="AJ30" s="546">
        <f t="shared" si="49"/>
        <v>0</v>
      </c>
    </row>
    <row r="31" spans="1:36">
      <c r="A31" s="18">
        <v>30.05</v>
      </c>
      <c r="B31" s="20" t="s">
        <v>32</v>
      </c>
      <c r="C31" s="537">
        <f>'PMOC BY Risk Profile Values'!C31</f>
        <v>0</v>
      </c>
      <c r="D31" s="543">
        <v>0</v>
      </c>
      <c r="E31" s="543">
        <v>0</v>
      </c>
      <c r="F31" s="543">
        <v>0</v>
      </c>
      <c r="G31" s="541">
        <f t="shared" si="41"/>
        <v>0</v>
      </c>
      <c r="H31" s="542">
        <f t="shared" si="24"/>
        <v>0</v>
      </c>
      <c r="I31" s="563"/>
      <c r="J31" s="537">
        <f>'PMOC BY Risk Profile Values'!E31</f>
        <v>0</v>
      </c>
      <c r="K31" s="543">
        <v>0</v>
      </c>
      <c r="L31" s="543">
        <v>0</v>
      </c>
      <c r="M31" s="543">
        <v>0</v>
      </c>
      <c r="N31" s="541">
        <f t="shared" si="42"/>
        <v>0</v>
      </c>
      <c r="O31" s="542">
        <f t="shared" si="26"/>
        <v>0</v>
      </c>
      <c r="P31" s="563"/>
      <c r="Q31" s="537">
        <f>'PMOC BY Risk Profile Values'!G31</f>
        <v>0</v>
      </c>
      <c r="R31" s="543">
        <v>0</v>
      </c>
      <c r="S31" s="543">
        <v>0</v>
      </c>
      <c r="T31" s="543">
        <v>0</v>
      </c>
      <c r="U31" s="541">
        <f t="shared" si="43"/>
        <v>0</v>
      </c>
      <c r="V31" s="542">
        <f t="shared" si="28"/>
        <v>0</v>
      </c>
      <c r="W31" s="563"/>
      <c r="X31" s="537">
        <f>'PMOC BY Risk Profile Values'!I31</f>
        <v>0</v>
      </c>
      <c r="Y31" s="543">
        <v>0</v>
      </c>
      <c r="Z31" s="543">
        <v>0</v>
      </c>
      <c r="AA31" s="543">
        <v>0</v>
      </c>
      <c r="AB31" s="541">
        <f t="shared" si="44"/>
        <v>0</v>
      </c>
      <c r="AC31" s="542">
        <f t="shared" si="30"/>
        <v>0</v>
      </c>
      <c r="AD31" s="563"/>
      <c r="AE31" s="544">
        <f t="shared" si="45"/>
        <v>0</v>
      </c>
      <c r="AF31" s="545">
        <f t="shared" si="46"/>
        <v>0</v>
      </c>
      <c r="AG31" s="545">
        <f t="shared" si="47"/>
        <v>0</v>
      </c>
      <c r="AH31" s="545">
        <f t="shared" si="47"/>
        <v>0</v>
      </c>
      <c r="AI31" s="545">
        <f t="shared" si="48"/>
        <v>0</v>
      </c>
      <c r="AJ31" s="546">
        <f t="shared" si="49"/>
        <v>0</v>
      </c>
    </row>
    <row r="32" spans="1:36" ht="15">
      <c r="A32" s="14" t="s">
        <v>169</v>
      </c>
      <c r="B32" s="21"/>
      <c r="C32" s="538">
        <f>SUM(C33:C40)</f>
        <v>0</v>
      </c>
      <c r="D32" s="539">
        <f t="shared" ref="D32:H32" si="50">SUM(D33:D40)</f>
        <v>0</v>
      </c>
      <c r="E32" s="539">
        <f t="shared" si="50"/>
        <v>0</v>
      </c>
      <c r="F32" s="539">
        <f t="shared" si="50"/>
        <v>0</v>
      </c>
      <c r="G32" s="539">
        <f t="shared" si="50"/>
        <v>0</v>
      </c>
      <c r="H32" s="539">
        <f t="shared" si="50"/>
        <v>0</v>
      </c>
      <c r="I32" s="563"/>
      <c r="J32" s="538">
        <f>SUM(J33:J40)</f>
        <v>0</v>
      </c>
      <c r="K32" s="539">
        <f>SUM(K33:K40)</f>
        <v>0</v>
      </c>
      <c r="L32" s="539">
        <f t="shared" ref="L32:N32" si="51">SUM(L33:L40)</f>
        <v>0</v>
      </c>
      <c r="M32" s="539">
        <f t="shared" si="51"/>
        <v>0</v>
      </c>
      <c r="N32" s="539">
        <f t="shared" si="51"/>
        <v>0</v>
      </c>
      <c r="O32" s="539">
        <f>SUM(O33:O40)</f>
        <v>0</v>
      </c>
      <c r="P32" s="563"/>
      <c r="Q32" s="538">
        <f>SUM(Q33:Q40)</f>
        <v>0</v>
      </c>
      <c r="R32" s="539">
        <f>SUM(R33:R40)</f>
        <v>0</v>
      </c>
      <c r="S32" s="539">
        <f t="shared" ref="S32:U32" si="52">SUM(S33:S40)</f>
        <v>0</v>
      </c>
      <c r="T32" s="539">
        <f t="shared" si="52"/>
        <v>0</v>
      </c>
      <c r="U32" s="539">
        <f t="shared" si="52"/>
        <v>0</v>
      </c>
      <c r="V32" s="539">
        <f>SUM(V33:V40)</f>
        <v>0</v>
      </c>
      <c r="W32" s="563"/>
      <c r="X32" s="538">
        <f>SUM(X33:X40)</f>
        <v>0</v>
      </c>
      <c r="Y32" s="539">
        <f>SUM(Y33:Y40)</f>
        <v>0</v>
      </c>
      <c r="Z32" s="539">
        <f t="shared" ref="Z32:AB32" si="53">SUM(Z33:Z40)</f>
        <v>0</v>
      </c>
      <c r="AA32" s="539">
        <f t="shared" si="53"/>
        <v>0</v>
      </c>
      <c r="AB32" s="539">
        <f t="shared" si="53"/>
        <v>0</v>
      </c>
      <c r="AC32" s="539">
        <f>SUM(AC33:AC40)</f>
        <v>0</v>
      </c>
      <c r="AD32" s="563"/>
      <c r="AE32" s="538">
        <f>SUM(AE33:AE40)</f>
        <v>0</v>
      </c>
      <c r="AF32" s="539">
        <f>SUM(AF33:AF40)</f>
        <v>0</v>
      </c>
      <c r="AG32" s="539">
        <f t="shared" ref="AG32:AH32" si="54">SUM(AG33:AG40)</f>
        <v>0</v>
      </c>
      <c r="AH32" s="539">
        <f t="shared" si="54"/>
        <v>0</v>
      </c>
      <c r="AI32" s="539">
        <f>SUM(AI33:AI40)</f>
        <v>0</v>
      </c>
      <c r="AJ32" s="540">
        <f>SUM(AJ33:AJ40)</f>
        <v>0</v>
      </c>
    </row>
    <row r="33" spans="1:36">
      <c r="A33" s="18">
        <v>40.01</v>
      </c>
      <c r="B33" s="19" t="s">
        <v>33</v>
      </c>
      <c r="C33" s="537">
        <f>'PMOC BY Risk Profile Values'!C33</f>
        <v>0</v>
      </c>
      <c r="D33" s="543">
        <v>0</v>
      </c>
      <c r="E33" s="543">
        <v>0</v>
      </c>
      <c r="F33" s="543">
        <v>0</v>
      </c>
      <c r="G33" s="541">
        <f t="shared" ref="G33:G40" si="55">SUM(D33:E33,F33)</f>
        <v>0</v>
      </c>
      <c r="H33" s="542">
        <f t="shared" ref="H33:H40" si="56">SUM(C33,G33)</f>
        <v>0</v>
      </c>
      <c r="I33" s="563"/>
      <c r="J33" s="537">
        <f>'PMOC BY Risk Profile Values'!E33</f>
        <v>0</v>
      </c>
      <c r="K33" s="543">
        <v>0</v>
      </c>
      <c r="L33" s="543">
        <v>0</v>
      </c>
      <c r="M33" s="543">
        <v>0</v>
      </c>
      <c r="N33" s="541">
        <f t="shared" ref="N33:N40" si="57">SUM(K33:L33,M33)</f>
        <v>0</v>
      </c>
      <c r="O33" s="542">
        <f t="shared" ref="O33:O40" si="58">SUM(J33,N33)</f>
        <v>0</v>
      </c>
      <c r="P33" s="563"/>
      <c r="Q33" s="537">
        <f>'PMOC BY Risk Profile Values'!G33</f>
        <v>0</v>
      </c>
      <c r="R33" s="543">
        <v>0</v>
      </c>
      <c r="S33" s="543">
        <v>0</v>
      </c>
      <c r="T33" s="543">
        <v>0</v>
      </c>
      <c r="U33" s="541">
        <f t="shared" ref="U33:U40" si="59">SUM(R33:S33,T33)</f>
        <v>0</v>
      </c>
      <c r="V33" s="542">
        <f t="shared" ref="V33:V40" si="60">SUM(Q33,U33)</f>
        <v>0</v>
      </c>
      <c r="W33" s="563"/>
      <c r="X33" s="537">
        <f>'PMOC BY Risk Profile Values'!I33</f>
        <v>0</v>
      </c>
      <c r="Y33" s="543">
        <v>0</v>
      </c>
      <c r="Z33" s="543">
        <v>0</v>
      </c>
      <c r="AA33" s="543">
        <v>0</v>
      </c>
      <c r="AB33" s="541">
        <f t="shared" ref="AB33:AB40" si="61">SUM(Y33:Z33,AA33)</f>
        <v>0</v>
      </c>
      <c r="AC33" s="542">
        <f t="shared" ref="AC33:AC40" si="62">SUM(X33,AB33)</f>
        <v>0</v>
      </c>
      <c r="AD33" s="563"/>
      <c r="AE33" s="544">
        <f t="shared" ref="AE33:AE40" si="63">SUM(C33,J33,Q33,X33)</f>
        <v>0</v>
      </c>
      <c r="AF33" s="545">
        <f t="shared" ref="AF33:AF40" si="64">SUM(D33,K33,R33,Y33)</f>
        <v>0</v>
      </c>
      <c r="AG33" s="545">
        <f t="shared" ref="AG33:AH40" si="65">SUM(E33,L33,S33,Z33)</f>
        <v>0</v>
      </c>
      <c r="AH33" s="545">
        <f t="shared" si="65"/>
        <v>0</v>
      </c>
      <c r="AI33" s="545">
        <f t="shared" ref="AI33:AI40" si="66">SUM(G33,N33,U33,AB33)</f>
        <v>0</v>
      </c>
      <c r="AJ33" s="546">
        <f t="shared" ref="AJ33:AJ40" si="67">SUM(H33,O33,V33,AC33)</f>
        <v>0</v>
      </c>
    </row>
    <row r="34" spans="1:36">
      <c r="A34" s="18">
        <v>40.020000000000003</v>
      </c>
      <c r="B34" s="19" t="s">
        <v>34</v>
      </c>
      <c r="C34" s="537">
        <f>'PMOC BY Risk Profile Values'!C34</f>
        <v>0</v>
      </c>
      <c r="D34" s="543">
        <v>0</v>
      </c>
      <c r="E34" s="543">
        <v>0</v>
      </c>
      <c r="F34" s="543">
        <v>0</v>
      </c>
      <c r="G34" s="541">
        <f t="shared" si="55"/>
        <v>0</v>
      </c>
      <c r="H34" s="542">
        <f t="shared" si="56"/>
        <v>0</v>
      </c>
      <c r="I34" s="563"/>
      <c r="J34" s="537">
        <f>'PMOC BY Risk Profile Values'!E34</f>
        <v>0</v>
      </c>
      <c r="K34" s="543">
        <v>0</v>
      </c>
      <c r="L34" s="543">
        <v>0</v>
      </c>
      <c r="M34" s="543">
        <v>0</v>
      </c>
      <c r="N34" s="541">
        <f t="shared" si="57"/>
        <v>0</v>
      </c>
      <c r="O34" s="542">
        <f t="shared" si="58"/>
        <v>0</v>
      </c>
      <c r="P34" s="563"/>
      <c r="Q34" s="537">
        <f>'PMOC BY Risk Profile Values'!G34</f>
        <v>0</v>
      </c>
      <c r="R34" s="543">
        <v>0</v>
      </c>
      <c r="S34" s="543">
        <v>0</v>
      </c>
      <c r="T34" s="543">
        <v>0</v>
      </c>
      <c r="U34" s="541">
        <f t="shared" si="59"/>
        <v>0</v>
      </c>
      <c r="V34" s="542">
        <f t="shared" si="60"/>
        <v>0</v>
      </c>
      <c r="W34" s="563"/>
      <c r="X34" s="537">
        <f>'PMOC BY Risk Profile Values'!I34</f>
        <v>0</v>
      </c>
      <c r="Y34" s="543">
        <v>0</v>
      </c>
      <c r="Z34" s="543">
        <v>0</v>
      </c>
      <c r="AA34" s="543">
        <v>0</v>
      </c>
      <c r="AB34" s="541">
        <f t="shared" si="61"/>
        <v>0</v>
      </c>
      <c r="AC34" s="542">
        <f t="shared" si="62"/>
        <v>0</v>
      </c>
      <c r="AD34" s="563"/>
      <c r="AE34" s="544">
        <f t="shared" si="63"/>
        <v>0</v>
      </c>
      <c r="AF34" s="545">
        <f t="shared" si="64"/>
        <v>0</v>
      </c>
      <c r="AG34" s="545">
        <f t="shared" si="65"/>
        <v>0</v>
      </c>
      <c r="AH34" s="545">
        <f t="shared" si="65"/>
        <v>0</v>
      </c>
      <c r="AI34" s="545">
        <f t="shared" si="66"/>
        <v>0</v>
      </c>
      <c r="AJ34" s="546">
        <f t="shared" si="67"/>
        <v>0</v>
      </c>
    </row>
    <row r="35" spans="1:36">
      <c r="A35" s="18">
        <v>40.03</v>
      </c>
      <c r="B35" s="19" t="s">
        <v>35</v>
      </c>
      <c r="C35" s="537">
        <f>'PMOC BY Risk Profile Values'!C35</f>
        <v>0</v>
      </c>
      <c r="D35" s="543">
        <v>0</v>
      </c>
      <c r="E35" s="543">
        <v>0</v>
      </c>
      <c r="F35" s="543">
        <v>0</v>
      </c>
      <c r="G35" s="541">
        <f t="shared" si="55"/>
        <v>0</v>
      </c>
      <c r="H35" s="542">
        <f t="shared" si="56"/>
        <v>0</v>
      </c>
      <c r="I35" s="563"/>
      <c r="J35" s="537">
        <f>'PMOC BY Risk Profile Values'!E35</f>
        <v>0</v>
      </c>
      <c r="K35" s="543">
        <v>0</v>
      </c>
      <c r="L35" s="543">
        <v>0</v>
      </c>
      <c r="M35" s="543">
        <v>0</v>
      </c>
      <c r="N35" s="541">
        <f t="shared" si="57"/>
        <v>0</v>
      </c>
      <c r="O35" s="542">
        <f t="shared" si="58"/>
        <v>0</v>
      </c>
      <c r="P35" s="563"/>
      <c r="Q35" s="537">
        <f>'PMOC BY Risk Profile Values'!G35</f>
        <v>0</v>
      </c>
      <c r="R35" s="543">
        <v>0</v>
      </c>
      <c r="S35" s="543">
        <v>0</v>
      </c>
      <c r="T35" s="543">
        <v>0</v>
      </c>
      <c r="U35" s="541">
        <f t="shared" si="59"/>
        <v>0</v>
      </c>
      <c r="V35" s="542">
        <f t="shared" si="60"/>
        <v>0</v>
      </c>
      <c r="W35" s="563"/>
      <c r="X35" s="537">
        <f>'PMOC BY Risk Profile Values'!I35</f>
        <v>0</v>
      </c>
      <c r="Y35" s="543">
        <v>0</v>
      </c>
      <c r="Z35" s="543">
        <v>0</v>
      </c>
      <c r="AA35" s="543">
        <v>0</v>
      </c>
      <c r="AB35" s="541">
        <f t="shared" si="61"/>
        <v>0</v>
      </c>
      <c r="AC35" s="542">
        <f t="shared" si="62"/>
        <v>0</v>
      </c>
      <c r="AD35" s="563"/>
      <c r="AE35" s="544">
        <f t="shared" si="63"/>
        <v>0</v>
      </c>
      <c r="AF35" s="545">
        <f t="shared" si="64"/>
        <v>0</v>
      </c>
      <c r="AG35" s="545">
        <f t="shared" si="65"/>
        <v>0</v>
      </c>
      <c r="AH35" s="545">
        <f t="shared" si="65"/>
        <v>0</v>
      </c>
      <c r="AI35" s="545">
        <f t="shared" si="66"/>
        <v>0</v>
      </c>
      <c r="AJ35" s="546">
        <f t="shared" si="67"/>
        <v>0</v>
      </c>
    </row>
    <row r="36" spans="1:36">
      <c r="A36" s="18">
        <v>40.04</v>
      </c>
      <c r="B36" s="19" t="s">
        <v>36</v>
      </c>
      <c r="C36" s="537">
        <f>'PMOC BY Risk Profile Values'!C36</f>
        <v>0</v>
      </c>
      <c r="D36" s="543">
        <v>0</v>
      </c>
      <c r="E36" s="543">
        <v>0</v>
      </c>
      <c r="F36" s="543">
        <v>0</v>
      </c>
      <c r="G36" s="541">
        <f t="shared" si="55"/>
        <v>0</v>
      </c>
      <c r="H36" s="542">
        <f t="shared" si="56"/>
        <v>0</v>
      </c>
      <c r="I36" s="563"/>
      <c r="J36" s="537">
        <f>'PMOC BY Risk Profile Values'!E36</f>
        <v>0</v>
      </c>
      <c r="K36" s="543">
        <v>0</v>
      </c>
      <c r="L36" s="543">
        <v>0</v>
      </c>
      <c r="M36" s="543">
        <v>0</v>
      </c>
      <c r="N36" s="541">
        <f t="shared" si="57"/>
        <v>0</v>
      </c>
      <c r="O36" s="542">
        <f t="shared" si="58"/>
        <v>0</v>
      </c>
      <c r="P36" s="563"/>
      <c r="Q36" s="537">
        <f>'PMOC BY Risk Profile Values'!G36</f>
        <v>0</v>
      </c>
      <c r="R36" s="543">
        <v>0</v>
      </c>
      <c r="S36" s="543">
        <v>0</v>
      </c>
      <c r="T36" s="543">
        <v>0</v>
      </c>
      <c r="U36" s="541">
        <f t="shared" si="59"/>
        <v>0</v>
      </c>
      <c r="V36" s="542">
        <f t="shared" si="60"/>
        <v>0</v>
      </c>
      <c r="W36" s="563"/>
      <c r="X36" s="537">
        <f>'PMOC BY Risk Profile Values'!I36</f>
        <v>0</v>
      </c>
      <c r="Y36" s="543">
        <v>0</v>
      </c>
      <c r="Z36" s="543">
        <v>0</v>
      </c>
      <c r="AA36" s="543">
        <v>0</v>
      </c>
      <c r="AB36" s="541">
        <f t="shared" si="61"/>
        <v>0</v>
      </c>
      <c r="AC36" s="542">
        <f t="shared" si="62"/>
        <v>0</v>
      </c>
      <c r="AD36" s="563"/>
      <c r="AE36" s="544">
        <f t="shared" si="63"/>
        <v>0</v>
      </c>
      <c r="AF36" s="545">
        <f t="shared" si="64"/>
        <v>0</v>
      </c>
      <c r="AG36" s="545">
        <f t="shared" si="65"/>
        <v>0</v>
      </c>
      <c r="AH36" s="545">
        <f t="shared" si="65"/>
        <v>0</v>
      </c>
      <c r="AI36" s="545">
        <f t="shared" si="66"/>
        <v>0</v>
      </c>
      <c r="AJ36" s="546">
        <f t="shared" si="67"/>
        <v>0</v>
      </c>
    </row>
    <row r="37" spans="1:36">
      <c r="A37" s="18">
        <v>40.049999999999997</v>
      </c>
      <c r="B37" s="19" t="s">
        <v>37</v>
      </c>
      <c r="C37" s="537">
        <f>'PMOC BY Risk Profile Values'!C37</f>
        <v>0</v>
      </c>
      <c r="D37" s="543">
        <v>0</v>
      </c>
      <c r="E37" s="543">
        <v>0</v>
      </c>
      <c r="F37" s="543">
        <v>0</v>
      </c>
      <c r="G37" s="541">
        <f t="shared" si="55"/>
        <v>0</v>
      </c>
      <c r="H37" s="542">
        <f t="shared" si="56"/>
        <v>0</v>
      </c>
      <c r="I37" s="563"/>
      <c r="J37" s="537">
        <f>'PMOC BY Risk Profile Values'!E37</f>
        <v>0</v>
      </c>
      <c r="K37" s="543">
        <v>0</v>
      </c>
      <c r="L37" s="543">
        <v>0</v>
      </c>
      <c r="M37" s="543">
        <v>0</v>
      </c>
      <c r="N37" s="541">
        <f t="shared" si="57"/>
        <v>0</v>
      </c>
      <c r="O37" s="542">
        <f t="shared" si="58"/>
        <v>0</v>
      </c>
      <c r="P37" s="563"/>
      <c r="Q37" s="537">
        <f>'PMOC BY Risk Profile Values'!G37</f>
        <v>0</v>
      </c>
      <c r="R37" s="543">
        <v>0</v>
      </c>
      <c r="S37" s="543">
        <v>0</v>
      </c>
      <c r="T37" s="543">
        <v>0</v>
      </c>
      <c r="U37" s="541">
        <f t="shared" si="59"/>
        <v>0</v>
      </c>
      <c r="V37" s="542">
        <f t="shared" si="60"/>
        <v>0</v>
      </c>
      <c r="W37" s="563"/>
      <c r="X37" s="537">
        <f>'PMOC BY Risk Profile Values'!I37</f>
        <v>0</v>
      </c>
      <c r="Y37" s="543">
        <v>0</v>
      </c>
      <c r="Z37" s="543">
        <v>0</v>
      </c>
      <c r="AA37" s="543">
        <v>0</v>
      </c>
      <c r="AB37" s="541">
        <f t="shared" si="61"/>
        <v>0</v>
      </c>
      <c r="AC37" s="542">
        <f t="shared" si="62"/>
        <v>0</v>
      </c>
      <c r="AD37" s="563"/>
      <c r="AE37" s="544">
        <f t="shared" si="63"/>
        <v>0</v>
      </c>
      <c r="AF37" s="545">
        <f t="shared" si="64"/>
        <v>0</v>
      </c>
      <c r="AG37" s="545">
        <f t="shared" si="65"/>
        <v>0</v>
      </c>
      <c r="AH37" s="545">
        <f t="shared" si="65"/>
        <v>0</v>
      </c>
      <c r="AI37" s="545">
        <f t="shared" si="66"/>
        <v>0</v>
      </c>
      <c r="AJ37" s="546">
        <f t="shared" si="67"/>
        <v>0</v>
      </c>
    </row>
    <row r="38" spans="1:36">
      <c r="A38" s="18">
        <v>40.06</v>
      </c>
      <c r="B38" s="22" t="s">
        <v>38</v>
      </c>
      <c r="C38" s="537">
        <f>'PMOC BY Risk Profile Values'!C38</f>
        <v>0</v>
      </c>
      <c r="D38" s="543">
        <v>0</v>
      </c>
      <c r="E38" s="543">
        <v>0</v>
      </c>
      <c r="F38" s="543">
        <v>0</v>
      </c>
      <c r="G38" s="541">
        <f t="shared" si="55"/>
        <v>0</v>
      </c>
      <c r="H38" s="542">
        <f t="shared" si="56"/>
        <v>0</v>
      </c>
      <c r="I38" s="563"/>
      <c r="J38" s="537">
        <f>'PMOC BY Risk Profile Values'!E38</f>
        <v>0</v>
      </c>
      <c r="K38" s="543">
        <v>0</v>
      </c>
      <c r="L38" s="543">
        <v>0</v>
      </c>
      <c r="M38" s="543">
        <v>0</v>
      </c>
      <c r="N38" s="541">
        <f t="shared" si="57"/>
        <v>0</v>
      </c>
      <c r="O38" s="542">
        <f t="shared" si="58"/>
        <v>0</v>
      </c>
      <c r="P38" s="563"/>
      <c r="Q38" s="537">
        <f>'PMOC BY Risk Profile Values'!G38</f>
        <v>0</v>
      </c>
      <c r="R38" s="543">
        <v>0</v>
      </c>
      <c r="S38" s="543">
        <v>0</v>
      </c>
      <c r="T38" s="543">
        <v>0</v>
      </c>
      <c r="U38" s="541">
        <f t="shared" si="59"/>
        <v>0</v>
      </c>
      <c r="V38" s="542">
        <f t="shared" si="60"/>
        <v>0</v>
      </c>
      <c r="W38" s="563"/>
      <c r="X38" s="537">
        <f>'PMOC BY Risk Profile Values'!I38</f>
        <v>0</v>
      </c>
      <c r="Y38" s="543">
        <v>0</v>
      </c>
      <c r="Z38" s="543">
        <v>0</v>
      </c>
      <c r="AA38" s="543">
        <v>0</v>
      </c>
      <c r="AB38" s="541">
        <f t="shared" si="61"/>
        <v>0</v>
      </c>
      <c r="AC38" s="542">
        <f t="shared" si="62"/>
        <v>0</v>
      </c>
      <c r="AD38" s="563"/>
      <c r="AE38" s="544">
        <f t="shared" si="63"/>
        <v>0</v>
      </c>
      <c r="AF38" s="545">
        <f t="shared" si="64"/>
        <v>0</v>
      </c>
      <c r="AG38" s="545">
        <f t="shared" si="65"/>
        <v>0</v>
      </c>
      <c r="AH38" s="545">
        <f t="shared" si="65"/>
        <v>0</v>
      </c>
      <c r="AI38" s="545">
        <f t="shared" si="66"/>
        <v>0</v>
      </c>
      <c r="AJ38" s="546">
        <f t="shared" si="67"/>
        <v>0</v>
      </c>
    </row>
    <row r="39" spans="1:36">
      <c r="A39" s="18">
        <v>40.07</v>
      </c>
      <c r="B39" s="22" t="s">
        <v>39</v>
      </c>
      <c r="C39" s="537">
        <f>'PMOC BY Risk Profile Values'!C39</f>
        <v>0</v>
      </c>
      <c r="D39" s="543">
        <v>0</v>
      </c>
      <c r="E39" s="543">
        <v>0</v>
      </c>
      <c r="F39" s="543">
        <v>0</v>
      </c>
      <c r="G39" s="541">
        <f t="shared" si="55"/>
        <v>0</v>
      </c>
      <c r="H39" s="542">
        <f t="shared" si="56"/>
        <v>0</v>
      </c>
      <c r="I39" s="563"/>
      <c r="J39" s="537">
        <f>'PMOC BY Risk Profile Values'!E39</f>
        <v>0</v>
      </c>
      <c r="K39" s="543">
        <v>0</v>
      </c>
      <c r="L39" s="543">
        <v>0</v>
      </c>
      <c r="M39" s="543">
        <v>0</v>
      </c>
      <c r="N39" s="541">
        <f t="shared" si="57"/>
        <v>0</v>
      </c>
      <c r="O39" s="542">
        <f t="shared" si="58"/>
        <v>0</v>
      </c>
      <c r="P39" s="563"/>
      <c r="Q39" s="537">
        <f>'PMOC BY Risk Profile Values'!G39</f>
        <v>0</v>
      </c>
      <c r="R39" s="543">
        <v>0</v>
      </c>
      <c r="S39" s="543">
        <v>0</v>
      </c>
      <c r="T39" s="543">
        <v>0</v>
      </c>
      <c r="U39" s="541">
        <f t="shared" si="59"/>
        <v>0</v>
      </c>
      <c r="V39" s="542">
        <f t="shared" si="60"/>
        <v>0</v>
      </c>
      <c r="W39" s="563"/>
      <c r="X39" s="537">
        <f>'PMOC BY Risk Profile Values'!I39</f>
        <v>0</v>
      </c>
      <c r="Y39" s="543">
        <v>0</v>
      </c>
      <c r="Z39" s="543">
        <v>0</v>
      </c>
      <c r="AA39" s="543">
        <v>0</v>
      </c>
      <c r="AB39" s="541">
        <f t="shared" si="61"/>
        <v>0</v>
      </c>
      <c r="AC39" s="542">
        <f t="shared" si="62"/>
        <v>0</v>
      </c>
      <c r="AD39" s="563"/>
      <c r="AE39" s="544">
        <f t="shared" si="63"/>
        <v>0</v>
      </c>
      <c r="AF39" s="545">
        <f t="shared" si="64"/>
        <v>0</v>
      </c>
      <c r="AG39" s="545">
        <f t="shared" si="65"/>
        <v>0</v>
      </c>
      <c r="AH39" s="545">
        <f t="shared" si="65"/>
        <v>0</v>
      </c>
      <c r="AI39" s="545">
        <f t="shared" si="66"/>
        <v>0</v>
      </c>
      <c r="AJ39" s="546">
        <f t="shared" si="67"/>
        <v>0</v>
      </c>
    </row>
    <row r="40" spans="1:36">
      <c r="A40" s="18">
        <v>40.08</v>
      </c>
      <c r="B40" s="19" t="s">
        <v>40</v>
      </c>
      <c r="C40" s="537">
        <f>'PMOC BY Risk Profile Values'!C40</f>
        <v>0</v>
      </c>
      <c r="D40" s="543">
        <v>0</v>
      </c>
      <c r="E40" s="543">
        <v>0</v>
      </c>
      <c r="F40" s="543">
        <v>0</v>
      </c>
      <c r="G40" s="541">
        <f t="shared" si="55"/>
        <v>0</v>
      </c>
      <c r="H40" s="542">
        <f t="shared" si="56"/>
        <v>0</v>
      </c>
      <c r="I40" s="563"/>
      <c r="J40" s="537">
        <f>'PMOC BY Risk Profile Values'!E40</f>
        <v>0</v>
      </c>
      <c r="K40" s="543">
        <v>0</v>
      </c>
      <c r="L40" s="543">
        <v>0</v>
      </c>
      <c r="M40" s="543">
        <v>0</v>
      </c>
      <c r="N40" s="541">
        <f t="shared" si="57"/>
        <v>0</v>
      </c>
      <c r="O40" s="542">
        <f t="shared" si="58"/>
        <v>0</v>
      </c>
      <c r="P40" s="563"/>
      <c r="Q40" s="537">
        <f>'PMOC BY Risk Profile Values'!G40</f>
        <v>0</v>
      </c>
      <c r="R40" s="543">
        <v>0</v>
      </c>
      <c r="S40" s="543">
        <v>0</v>
      </c>
      <c r="T40" s="543">
        <v>0</v>
      </c>
      <c r="U40" s="541">
        <f t="shared" si="59"/>
        <v>0</v>
      </c>
      <c r="V40" s="542">
        <f t="shared" si="60"/>
        <v>0</v>
      </c>
      <c r="W40" s="563"/>
      <c r="X40" s="537">
        <f>'PMOC BY Risk Profile Values'!I40</f>
        <v>0</v>
      </c>
      <c r="Y40" s="543">
        <v>0</v>
      </c>
      <c r="Z40" s="543">
        <v>0</v>
      </c>
      <c r="AA40" s="543">
        <v>0</v>
      </c>
      <c r="AB40" s="541">
        <f t="shared" si="61"/>
        <v>0</v>
      </c>
      <c r="AC40" s="542">
        <f t="shared" si="62"/>
        <v>0</v>
      </c>
      <c r="AD40" s="563"/>
      <c r="AE40" s="544">
        <f t="shared" si="63"/>
        <v>0</v>
      </c>
      <c r="AF40" s="545">
        <f t="shared" si="64"/>
        <v>0</v>
      </c>
      <c r="AG40" s="545">
        <f t="shared" si="65"/>
        <v>0</v>
      </c>
      <c r="AH40" s="545">
        <f t="shared" si="65"/>
        <v>0</v>
      </c>
      <c r="AI40" s="545">
        <f t="shared" si="66"/>
        <v>0</v>
      </c>
      <c r="AJ40" s="546">
        <f t="shared" si="67"/>
        <v>0</v>
      </c>
    </row>
    <row r="41" spans="1:36" ht="15">
      <c r="A41" s="14" t="s">
        <v>170</v>
      </c>
      <c r="B41" s="15"/>
      <c r="C41" s="538">
        <f>SUM(C42:C48)</f>
        <v>0</v>
      </c>
      <c r="D41" s="539">
        <f t="shared" ref="D41:H41" si="68">SUM(D42:D48)</f>
        <v>0</v>
      </c>
      <c r="E41" s="539">
        <f t="shared" si="68"/>
        <v>0</v>
      </c>
      <c r="F41" s="539">
        <f t="shared" si="68"/>
        <v>0</v>
      </c>
      <c r="G41" s="539">
        <f t="shared" si="68"/>
        <v>0</v>
      </c>
      <c r="H41" s="539">
        <f t="shared" si="68"/>
        <v>0</v>
      </c>
      <c r="I41" s="563"/>
      <c r="J41" s="538">
        <f>SUM(J42:J48)</f>
        <v>0</v>
      </c>
      <c r="K41" s="539">
        <f>SUM(K42:K48)</f>
        <v>0</v>
      </c>
      <c r="L41" s="539">
        <f t="shared" ref="L41:N41" si="69">SUM(L42:L48)</f>
        <v>0</v>
      </c>
      <c r="M41" s="539">
        <f t="shared" si="69"/>
        <v>0</v>
      </c>
      <c r="N41" s="539">
        <f t="shared" si="69"/>
        <v>0</v>
      </c>
      <c r="O41" s="539">
        <f>SUM(O42:O48)</f>
        <v>0</v>
      </c>
      <c r="P41" s="563"/>
      <c r="Q41" s="538">
        <f>SUM(Q42:Q48)</f>
        <v>0</v>
      </c>
      <c r="R41" s="539">
        <f>SUM(R42:R48)</f>
        <v>0</v>
      </c>
      <c r="S41" s="539">
        <f t="shared" ref="S41:U41" si="70">SUM(S42:S48)</f>
        <v>0</v>
      </c>
      <c r="T41" s="539">
        <f t="shared" si="70"/>
        <v>0</v>
      </c>
      <c r="U41" s="539">
        <f t="shared" si="70"/>
        <v>0</v>
      </c>
      <c r="V41" s="539">
        <f>SUM(V42:V48)</f>
        <v>0</v>
      </c>
      <c r="W41" s="563"/>
      <c r="X41" s="538">
        <f>SUM(X42:X48)</f>
        <v>0</v>
      </c>
      <c r="Y41" s="539">
        <f>SUM(Y42:Y48)</f>
        <v>0</v>
      </c>
      <c r="Z41" s="539">
        <f t="shared" ref="Z41:AB41" si="71">SUM(Z42:Z48)</f>
        <v>0</v>
      </c>
      <c r="AA41" s="539">
        <f t="shared" si="71"/>
        <v>0</v>
      </c>
      <c r="AB41" s="539">
        <f t="shared" si="71"/>
        <v>0</v>
      </c>
      <c r="AC41" s="539">
        <f>SUM(AC42:AC48)</f>
        <v>0</v>
      </c>
      <c r="AD41" s="563"/>
      <c r="AE41" s="538">
        <f>SUM(AE42:AE48)</f>
        <v>0</v>
      </c>
      <c r="AF41" s="539">
        <f>SUM(AF42:AF48)</f>
        <v>0</v>
      </c>
      <c r="AG41" s="539">
        <f t="shared" ref="AG41:AH41" si="72">SUM(AG42:AG48)</f>
        <v>0</v>
      </c>
      <c r="AH41" s="539">
        <f t="shared" si="72"/>
        <v>0</v>
      </c>
      <c r="AI41" s="539">
        <f>SUM(AI42:AI48)</f>
        <v>0</v>
      </c>
      <c r="AJ41" s="540">
        <f>SUM(AJ42:AJ48)</f>
        <v>0</v>
      </c>
    </row>
    <row r="42" spans="1:36">
      <c r="A42" s="18">
        <v>50.01</v>
      </c>
      <c r="B42" s="19" t="s">
        <v>41</v>
      </c>
      <c r="C42" s="537">
        <f>'PMOC BY Risk Profile Values'!C42</f>
        <v>0</v>
      </c>
      <c r="D42" s="543">
        <v>0</v>
      </c>
      <c r="E42" s="543">
        <v>0</v>
      </c>
      <c r="F42" s="543">
        <v>0</v>
      </c>
      <c r="G42" s="541">
        <f t="shared" ref="G42:G48" si="73">SUM(D42:E42,F42)</f>
        <v>0</v>
      </c>
      <c r="H42" s="542">
        <f t="shared" ref="H42:H48" si="74">SUM(C42,G42)</f>
        <v>0</v>
      </c>
      <c r="I42" s="563"/>
      <c r="J42" s="537">
        <f>'PMOC BY Risk Profile Values'!E42</f>
        <v>0</v>
      </c>
      <c r="K42" s="543">
        <v>0</v>
      </c>
      <c r="L42" s="543">
        <v>0</v>
      </c>
      <c r="M42" s="543">
        <v>0</v>
      </c>
      <c r="N42" s="541">
        <f t="shared" ref="N42:N48" si="75">SUM(K42:L42,M42)</f>
        <v>0</v>
      </c>
      <c r="O42" s="542">
        <f t="shared" ref="O42:O48" si="76">SUM(J42,N42)</f>
        <v>0</v>
      </c>
      <c r="P42" s="563"/>
      <c r="Q42" s="537">
        <f>'PMOC BY Risk Profile Values'!G42</f>
        <v>0</v>
      </c>
      <c r="R42" s="543">
        <v>0</v>
      </c>
      <c r="S42" s="543">
        <v>0</v>
      </c>
      <c r="T42" s="543">
        <v>0</v>
      </c>
      <c r="U42" s="541">
        <f t="shared" ref="U42:U48" si="77">SUM(R42:S42,T42)</f>
        <v>0</v>
      </c>
      <c r="V42" s="542">
        <f t="shared" ref="V42:V48" si="78">SUM(Q42,U42)</f>
        <v>0</v>
      </c>
      <c r="W42" s="563"/>
      <c r="X42" s="537">
        <f>'PMOC BY Risk Profile Values'!I42</f>
        <v>0</v>
      </c>
      <c r="Y42" s="543">
        <v>0</v>
      </c>
      <c r="Z42" s="543">
        <v>0</v>
      </c>
      <c r="AA42" s="543">
        <v>0</v>
      </c>
      <c r="AB42" s="541">
        <f t="shared" ref="AB42:AB48" si="79">SUM(Y42:Z42,AA42)</f>
        <v>0</v>
      </c>
      <c r="AC42" s="542">
        <f t="shared" ref="AC42:AC48" si="80">SUM(X42,AB42)</f>
        <v>0</v>
      </c>
      <c r="AD42" s="563"/>
      <c r="AE42" s="544">
        <f t="shared" ref="AE42:AE48" si="81">SUM(C42,J42,Q42,X42)</f>
        <v>0</v>
      </c>
      <c r="AF42" s="545">
        <f t="shared" ref="AF42:AF48" si="82">SUM(D42,K42,R42,Y42)</f>
        <v>0</v>
      </c>
      <c r="AG42" s="545">
        <f t="shared" ref="AG42:AH48" si="83">SUM(E42,L42,S42,Z42)</f>
        <v>0</v>
      </c>
      <c r="AH42" s="545">
        <f t="shared" si="83"/>
        <v>0</v>
      </c>
      <c r="AI42" s="545">
        <f t="shared" ref="AI42:AI48" si="84">SUM(G42,N42,U42,AB42)</f>
        <v>0</v>
      </c>
      <c r="AJ42" s="546">
        <f t="shared" ref="AJ42:AJ48" si="85">SUM(H42,O42,V42,AC42)</f>
        <v>0</v>
      </c>
    </row>
    <row r="43" spans="1:36">
      <c r="A43" s="18">
        <v>50.02</v>
      </c>
      <c r="B43" s="19" t="s">
        <v>42</v>
      </c>
      <c r="C43" s="537">
        <f>'PMOC BY Risk Profile Values'!C43</f>
        <v>0</v>
      </c>
      <c r="D43" s="543">
        <v>0</v>
      </c>
      <c r="E43" s="543">
        <v>0</v>
      </c>
      <c r="F43" s="543">
        <v>0</v>
      </c>
      <c r="G43" s="541">
        <f t="shared" si="73"/>
        <v>0</v>
      </c>
      <c r="H43" s="542">
        <f t="shared" si="74"/>
        <v>0</v>
      </c>
      <c r="I43" s="563"/>
      <c r="J43" s="537">
        <f>'PMOC BY Risk Profile Values'!E43</f>
        <v>0</v>
      </c>
      <c r="K43" s="543">
        <v>0</v>
      </c>
      <c r="L43" s="543">
        <v>0</v>
      </c>
      <c r="M43" s="543">
        <v>0</v>
      </c>
      <c r="N43" s="541">
        <f t="shared" si="75"/>
        <v>0</v>
      </c>
      <c r="O43" s="542">
        <f t="shared" si="76"/>
        <v>0</v>
      </c>
      <c r="P43" s="563"/>
      <c r="Q43" s="537">
        <f>'PMOC BY Risk Profile Values'!G43</f>
        <v>0</v>
      </c>
      <c r="R43" s="543">
        <v>0</v>
      </c>
      <c r="S43" s="543">
        <v>0</v>
      </c>
      <c r="T43" s="543">
        <v>0</v>
      </c>
      <c r="U43" s="541">
        <f t="shared" si="77"/>
        <v>0</v>
      </c>
      <c r="V43" s="542">
        <f t="shared" si="78"/>
        <v>0</v>
      </c>
      <c r="W43" s="563"/>
      <c r="X43" s="537">
        <f>'PMOC BY Risk Profile Values'!I43</f>
        <v>0</v>
      </c>
      <c r="Y43" s="543">
        <v>0</v>
      </c>
      <c r="Z43" s="543">
        <v>0</v>
      </c>
      <c r="AA43" s="543">
        <v>0</v>
      </c>
      <c r="AB43" s="541">
        <f t="shared" si="79"/>
        <v>0</v>
      </c>
      <c r="AC43" s="542">
        <f t="shared" si="80"/>
        <v>0</v>
      </c>
      <c r="AD43" s="563"/>
      <c r="AE43" s="544">
        <f t="shared" si="81"/>
        <v>0</v>
      </c>
      <c r="AF43" s="545">
        <f t="shared" si="82"/>
        <v>0</v>
      </c>
      <c r="AG43" s="545">
        <f t="shared" si="83"/>
        <v>0</v>
      </c>
      <c r="AH43" s="545">
        <f t="shared" si="83"/>
        <v>0</v>
      </c>
      <c r="AI43" s="545">
        <f t="shared" si="84"/>
        <v>0</v>
      </c>
      <c r="AJ43" s="546">
        <f t="shared" si="85"/>
        <v>0</v>
      </c>
    </row>
    <row r="44" spans="1:36">
      <c r="A44" s="18">
        <v>50.03</v>
      </c>
      <c r="B44" s="19" t="s">
        <v>43</v>
      </c>
      <c r="C44" s="537">
        <f>'PMOC BY Risk Profile Values'!C44</f>
        <v>0</v>
      </c>
      <c r="D44" s="543">
        <v>0</v>
      </c>
      <c r="E44" s="543">
        <v>0</v>
      </c>
      <c r="F44" s="543">
        <v>0</v>
      </c>
      <c r="G44" s="541">
        <f t="shared" si="73"/>
        <v>0</v>
      </c>
      <c r="H44" s="542">
        <f t="shared" si="74"/>
        <v>0</v>
      </c>
      <c r="I44" s="563"/>
      <c r="J44" s="537">
        <f>'PMOC BY Risk Profile Values'!E44</f>
        <v>0</v>
      </c>
      <c r="K44" s="543">
        <v>0</v>
      </c>
      <c r="L44" s="543">
        <v>0</v>
      </c>
      <c r="M44" s="543">
        <v>0</v>
      </c>
      <c r="N44" s="541">
        <f t="shared" si="75"/>
        <v>0</v>
      </c>
      <c r="O44" s="542">
        <f t="shared" si="76"/>
        <v>0</v>
      </c>
      <c r="P44" s="563"/>
      <c r="Q44" s="537">
        <f>'PMOC BY Risk Profile Values'!G44</f>
        <v>0</v>
      </c>
      <c r="R44" s="543">
        <v>0</v>
      </c>
      <c r="S44" s="543">
        <v>0</v>
      </c>
      <c r="T44" s="543">
        <v>0</v>
      </c>
      <c r="U44" s="541">
        <f t="shared" si="77"/>
        <v>0</v>
      </c>
      <c r="V44" s="542">
        <f t="shared" si="78"/>
        <v>0</v>
      </c>
      <c r="W44" s="563"/>
      <c r="X44" s="537">
        <f>'PMOC BY Risk Profile Values'!I44</f>
        <v>0</v>
      </c>
      <c r="Y44" s="543">
        <v>0</v>
      </c>
      <c r="Z44" s="543">
        <v>0</v>
      </c>
      <c r="AA44" s="543">
        <v>0</v>
      </c>
      <c r="AB44" s="541">
        <f t="shared" si="79"/>
        <v>0</v>
      </c>
      <c r="AC44" s="542">
        <f t="shared" si="80"/>
        <v>0</v>
      </c>
      <c r="AD44" s="563"/>
      <c r="AE44" s="544">
        <f t="shared" si="81"/>
        <v>0</v>
      </c>
      <c r="AF44" s="545">
        <f t="shared" si="82"/>
        <v>0</v>
      </c>
      <c r="AG44" s="545">
        <f t="shared" si="83"/>
        <v>0</v>
      </c>
      <c r="AH44" s="545">
        <f t="shared" si="83"/>
        <v>0</v>
      </c>
      <c r="AI44" s="545">
        <f t="shared" si="84"/>
        <v>0</v>
      </c>
      <c r="AJ44" s="546">
        <f t="shared" si="85"/>
        <v>0</v>
      </c>
    </row>
    <row r="45" spans="1:36">
      <c r="A45" s="18">
        <v>50.04</v>
      </c>
      <c r="B45" s="19" t="s">
        <v>44</v>
      </c>
      <c r="C45" s="537">
        <f>'PMOC BY Risk Profile Values'!C45</f>
        <v>0</v>
      </c>
      <c r="D45" s="543">
        <v>0</v>
      </c>
      <c r="E45" s="543">
        <v>0</v>
      </c>
      <c r="F45" s="543">
        <v>0</v>
      </c>
      <c r="G45" s="541">
        <f t="shared" si="73"/>
        <v>0</v>
      </c>
      <c r="H45" s="542">
        <f t="shared" si="74"/>
        <v>0</v>
      </c>
      <c r="I45" s="563"/>
      <c r="J45" s="537">
        <f>'PMOC BY Risk Profile Values'!E45</f>
        <v>0</v>
      </c>
      <c r="K45" s="543">
        <v>0</v>
      </c>
      <c r="L45" s="543">
        <v>0</v>
      </c>
      <c r="M45" s="543">
        <v>0</v>
      </c>
      <c r="N45" s="541">
        <f t="shared" si="75"/>
        <v>0</v>
      </c>
      <c r="O45" s="542">
        <f t="shared" si="76"/>
        <v>0</v>
      </c>
      <c r="P45" s="563"/>
      <c r="Q45" s="537">
        <f>'PMOC BY Risk Profile Values'!G45</f>
        <v>0</v>
      </c>
      <c r="R45" s="543">
        <v>0</v>
      </c>
      <c r="S45" s="543">
        <v>0</v>
      </c>
      <c r="T45" s="543">
        <v>0</v>
      </c>
      <c r="U45" s="541">
        <f t="shared" si="77"/>
        <v>0</v>
      </c>
      <c r="V45" s="542">
        <f t="shared" si="78"/>
        <v>0</v>
      </c>
      <c r="W45" s="563"/>
      <c r="X45" s="537">
        <f>'PMOC BY Risk Profile Values'!I45</f>
        <v>0</v>
      </c>
      <c r="Y45" s="543">
        <v>0</v>
      </c>
      <c r="Z45" s="543">
        <v>0</v>
      </c>
      <c r="AA45" s="543">
        <v>0</v>
      </c>
      <c r="AB45" s="541">
        <f t="shared" si="79"/>
        <v>0</v>
      </c>
      <c r="AC45" s="542">
        <f t="shared" si="80"/>
        <v>0</v>
      </c>
      <c r="AD45" s="563"/>
      <c r="AE45" s="544">
        <f t="shared" si="81"/>
        <v>0</v>
      </c>
      <c r="AF45" s="545">
        <f t="shared" si="82"/>
        <v>0</v>
      </c>
      <c r="AG45" s="545">
        <f t="shared" si="83"/>
        <v>0</v>
      </c>
      <c r="AH45" s="545">
        <f t="shared" si="83"/>
        <v>0</v>
      </c>
      <c r="AI45" s="545">
        <f t="shared" si="84"/>
        <v>0</v>
      </c>
      <c r="AJ45" s="546">
        <f t="shared" si="85"/>
        <v>0</v>
      </c>
    </row>
    <row r="46" spans="1:36">
      <c r="A46" s="18">
        <v>50.05</v>
      </c>
      <c r="B46" s="19" t="s">
        <v>45</v>
      </c>
      <c r="C46" s="537">
        <f>'PMOC BY Risk Profile Values'!C46</f>
        <v>0</v>
      </c>
      <c r="D46" s="543">
        <v>0</v>
      </c>
      <c r="E46" s="543">
        <v>0</v>
      </c>
      <c r="F46" s="543">
        <v>0</v>
      </c>
      <c r="G46" s="541">
        <f t="shared" si="73"/>
        <v>0</v>
      </c>
      <c r="H46" s="542">
        <f t="shared" si="74"/>
        <v>0</v>
      </c>
      <c r="I46" s="563"/>
      <c r="J46" s="537">
        <f>'PMOC BY Risk Profile Values'!E46</f>
        <v>0</v>
      </c>
      <c r="K46" s="543">
        <v>0</v>
      </c>
      <c r="L46" s="543">
        <v>0</v>
      </c>
      <c r="M46" s="543">
        <v>0</v>
      </c>
      <c r="N46" s="541">
        <f t="shared" si="75"/>
        <v>0</v>
      </c>
      <c r="O46" s="542">
        <f t="shared" si="76"/>
        <v>0</v>
      </c>
      <c r="P46" s="563"/>
      <c r="Q46" s="537">
        <f>'PMOC BY Risk Profile Values'!G46</f>
        <v>0</v>
      </c>
      <c r="R46" s="543">
        <v>0</v>
      </c>
      <c r="S46" s="543">
        <v>0</v>
      </c>
      <c r="T46" s="543">
        <v>0</v>
      </c>
      <c r="U46" s="541">
        <f t="shared" si="77"/>
        <v>0</v>
      </c>
      <c r="V46" s="542">
        <f t="shared" si="78"/>
        <v>0</v>
      </c>
      <c r="W46" s="563"/>
      <c r="X46" s="537">
        <f>'PMOC BY Risk Profile Values'!I46</f>
        <v>0</v>
      </c>
      <c r="Y46" s="543">
        <v>0</v>
      </c>
      <c r="Z46" s="543">
        <v>0</v>
      </c>
      <c r="AA46" s="543">
        <v>0</v>
      </c>
      <c r="AB46" s="541">
        <f t="shared" si="79"/>
        <v>0</v>
      </c>
      <c r="AC46" s="542">
        <f t="shared" si="80"/>
        <v>0</v>
      </c>
      <c r="AD46" s="563"/>
      <c r="AE46" s="544">
        <f t="shared" si="81"/>
        <v>0</v>
      </c>
      <c r="AF46" s="545">
        <f t="shared" si="82"/>
        <v>0</v>
      </c>
      <c r="AG46" s="545">
        <f t="shared" si="83"/>
        <v>0</v>
      </c>
      <c r="AH46" s="545">
        <f t="shared" si="83"/>
        <v>0</v>
      </c>
      <c r="AI46" s="545">
        <f t="shared" si="84"/>
        <v>0</v>
      </c>
      <c r="AJ46" s="546">
        <f t="shared" si="85"/>
        <v>0</v>
      </c>
    </row>
    <row r="47" spans="1:36">
      <c r="A47" s="18">
        <v>50.06</v>
      </c>
      <c r="B47" s="19" t="s">
        <v>46</v>
      </c>
      <c r="C47" s="537">
        <f>'PMOC BY Risk Profile Values'!C47</f>
        <v>0</v>
      </c>
      <c r="D47" s="543">
        <v>0</v>
      </c>
      <c r="E47" s="543">
        <v>0</v>
      </c>
      <c r="F47" s="543">
        <v>0</v>
      </c>
      <c r="G47" s="541">
        <f t="shared" si="73"/>
        <v>0</v>
      </c>
      <c r="H47" s="542">
        <f t="shared" si="74"/>
        <v>0</v>
      </c>
      <c r="I47" s="563"/>
      <c r="J47" s="537">
        <f>'PMOC BY Risk Profile Values'!E47</f>
        <v>0</v>
      </c>
      <c r="K47" s="543">
        <v>0</v>
      </c>
      <c r="L47" s="543">
        <v>0</v>
      </c>
      <c r="M47" s="543">
        <v>0</v>
      </c>
      <c r="N47" s="541">
        <f t="shared" si="75"/>
        <v>0</v>
      </c>
      <c r="O47" s="542">
        <f t="shared" si="76"/>
        <v>0</v>
      </c>
      <c r="P47" s="563"/>
      <c r="Q47" s="537">
        <f>'PMOC BY Risk Profile Values'!G47</f>
        <v>0</v>
      </c>
      <c r="R47" s="543">
        <v>0</v>
      </c>
      <c r="S47" s="543">
        <v>0</v>
      </c>
      <c r="T47" s="543">
        <v>0</v>
      </c>
      <c r="U47" s="541">
        <f t="shared" si="77"/>
        <v>0</v>
      </c>
      <c r="V47" s="542">
        <f t="shared" si="78"/>
        <v>0</v>
      </c>
      <c r="W47" s="563"/>
      <c r="X47" s="537">
        <f>'PMOC BY Risk Profile Values'!I47</f>
        <v>0</v>
      </c>
      <c r="Y47" s="543">
        <v>0</v>
      </c>
      <c r="Z47" s="543">
        <v>0</v>
      </c>
      <c r="AA47" s="543">
        <v>0</v>
      </c>
      <c r="AB47" s="541">
        <f t="shared" si="79"/>
        <v>0</v>
      </c>
      <c r="AC47" s="542">
        <f t="shared" si="80"/>
        <v>0</v>
      </c>
      <c r="AD47" s="563"/>
      <c r="AE47" s="544">
        <f t="shared" si="81"/>
        <v>0</v>
      </c>
      <c r="AF47" s="545">
        <f t="shared" si="82"/>
        <v>0</v>
      </c>
      <c r="AG47" s="545">
        <f t="shared" si="83"/>
        <v>0</v>
      </c>
      <c r="AH47" s="545">
        <f t="shared" si="83"/>
        <v>0</v>
      </c>
      <c r="AI47" s="545">
        <f t="shared" si="84"/>
        <v>0</v>
      </c>
      <c r="AJ47" s="546">
        <f t="shared" si="85"/>
        <v>0</v>
      </c>
    </row>
    <row r="48" spans="1:36" ht="13.5" thickBot="1">
      <c r="A48" s="18">
        <v>50.07</v>
      </c>
      <c r="B48" s="19" t="s">
        <v>47</v>
      </c>
      <c r="C48" s="547">
        <f>'PMOC BY Risk Profile Values'!C48</f>
        <v>0</v>
      </c>
      <c r="D48" s="550">
        <v>0</v>
      </c>
      <c r="E48" s="550">
        <v>0</v>
      </c>
      <c r="F48" s="550">
        <v>0</v>
      </c>
      <c r="G48" s="548">
        <f t="shared" si="73"/>
        <v>0</v>
      </c>
      <c r="H48" s="549">
        <f t="shared" si="74"/>
        <v>0</v>
      </c>
      <c r="I48" s="563"/>
      <c r="J48" s="537">
        <f>'PMOC BY Risk Profile Values'!E48</f>
        <v>0</v>
      </c>
      <c r="K48" s="550">
        <v>0</v>
      </c>
      <c r="L48" s="550">
        <v>0</v>
      </c>
      <c r="M48" s="550">
        <v>0</v>
      </c>
      <c r="N48" s="548">
        <f t="shared" si="75"/>
        <v>0</v>
      </c>
      <c r="O48" s="549">
        <f t="shared" si="76"/>
        <v>0</v>
      </c>
      <c r="P48" s="563"/>
      <c r="Q48" s="547">
        <f>'PMOC BY Risk Profile Values'!G48</f>
        <v>0</v>
      </c>
      <c r="R48" s="550">
        <v>0</v>
      </c>
      <c r="S48" s="550">
        <v>0</v>
      </c>
      <c r="T48" s="550">
        <v>0</v>
      </c>
      <c r="U48" s="548">
        <f t="shared" si="77"/>
        <v>0</v>
      </c>
      <c r="V48" s="549">
        <f t="shared" si="78"/>
        <v>0</v>
      </c>
      <c r="W48" s="563"/>
      <c r="X48" s="547">
        <f>'PMOC BY Risk Profile Values'!I48</f>
        <v>0</v>
      </c>
      <c r="Y48" s="550">
        <v>0</v>
      </c>
      <c r="Z48" s="550">
        <v>0</v>
      </c>
      <c r="AA48" s="550">
        <v>0</v>
      </c>
      <c r="AB48" s="548">
        <f t="shared" si="79"/>
        <v>0</v>
      </c>
      <c r="AC48" s="549">
        <f t="shared" si="80"/>
        <v>0</v>
      </c>
      <c r="AD48" s="563"/>
      <c r="AE48" s="551">
        <f t="shared" si="81"/>
        <v>0</v>
      </c>
      <c r="AF48" s="552">
        <f t="shared" si="82"/>
        <v>0</v>
      </c>
      <c r="AG48" s="552">
        <f t="shared" si="83"/>
        <v>0</v>
      </c>
      <c r="AH48" s="552">
        <f t="shared" si="83"/>
        <v>0</v>
      </c>
      <c r="AI48" s="552">
        <f t="shared" si="84"/>
        <v>0</v>
      </c>
      <c r="AJ48" s="553">
        <f t="shared" si="85"/>
        <v>0</v>
      </c>
    </row>
    <row r="49" spans="1:36" ht="15.75" thickBot="1">
      <c r="A49" s="1024" t="s">
        <v>171</v>
      </c>
      <c r="B49" s="1069"/>
      <c r="C49" s="554">
        <f>SUM(C4,C18,C26,C32,C41)</f>
        <v>0</v>
      </c>
      <c r="D49" s="554">
        <f t="shared" ref="D49:H49" si="86">SUM(D4,D18,D26,D32,D41)</f>
        <v>0</v>
      </c>
      <c r="E49" s="554">
        <f t="shared" si="86"/>
        <v>0</v>
      </c>
      <c r="F49" s="554">
        <f t="shared" si="86"/>
        <v>0</v>
      </c>
      <c r="G49" s="554">
        <f t="shared" si="86"/>
        <v>0</v>
      </c>
      <c r="H49" s="554">
        <f t="shared" si="86"/>
        <v>0</v>
      </c>
      <c r="I49" s="563"/>
      <c r="J49" s="554">
        <f>SUM(J4,J18,J26,J32,J41)</f>
        <v>0</v>
      </c>
      <c r="K49" s="554">
        <f>SUM(K4,K18,K26,K32,K41)</f>
        <v>0</v>
      </c>
      <c r="L49" s="554">
        <f t="shared" ref="L49:N49" si="87">SUM(L4,L18,L26,L32,L41)</f>
        <v>0</v>
      </c>
      <c r="M49" s="554">
        <f t="shared" si="87"/>
        <v>0</v>
      </c>
      <c r="N49" s="554">
        <f t="shared" si="87"/>
        <v>0</v>
      </c>
      <c r="O49" s="554">
        <f>SUM(O4,O18,O26,O32,O41)</f>
        <v>0</v>
      </c>
      <c r="P49" s="563"/>
      <c r="Q49" s="554">
        <f>SUM(Q4,Q18,Q26,Q32,Q41)</f>
        <v>0</v>
      </c>
      <c r="R49" s="554">
        <f>SUM(R4,R18,R26,R32,R41)</f>
        <v>0</v>
      </c>
      <c r="S49" s="554">
        <f t="shared" ref="S49:U49" si="88">SUM(S4,S18,S26,S32,S41)</f>
        <v>0</v>
      </c>
      <c r="T49" s="554">
        <f t="shared" si="88"/>
        <v>0</v>
      </c>
      <c r="U49" s="554">
        <f t="shared" si="88"/>
        <v>0</v>
      </c>
      <c r="V49" s="554">
        <f>SUM(V4,V18,V26,V32,V41)</f>
        <v>0</v>
      </c>
      <c r="W49" s="563"/>
      <c r="X49" s="554">
        <f>SUM(X4,X18,X26,X32,X41)</f>
        <v>0</v>
      </c>
      <c r="Y49" s="554">
        <f>SUM(Y4,Y18,Y26,Y32,Y41)</f>
        <v>0</v>
      </c>
      <c r="Z49" s="554">
        <f t="shared" ref="Z49:AB49" si="89">SUM(Z4,Z18,Z26,Z32,Z41)</f>
        <v>0</v>
      </c>
      <c r="AA49" s="554">
        <f t="shared" si="89"/>
        <v>0</v>
      </c>
      <c r="AB49" s="554">
        <f t="shared" si="89"/>
        <v>0</v>
      </c>
      <c r="AC49" s="554">
        <f>SUM(AC4,AC18,AC26,AC32,AC41)</f>
        <v>0</v>
      </c>
      <c r="AD49" s="563"/>
      <c r="AE49" s="554">
        <f>SUM(AE4,AE18,AE26,AE32,AE41)</f>
        <v>0</v>
      </c>
      <c r="AF49" s="555">
        <f>SUM(AF4,AF18,AF26,AF32,AF41)</f>
        <v>0</v>
      </c>
      <c r="AG49" s="555">
        <f t="shared" ref="AG49:AH49" si="90">SUM(AG4,AG18,AG26,AG32,AG41)</f>
        <v>0</v>
      </c>
      <c r="AH49" s="555">
        <f t="shared" si="90"/>
        <v>0</v>
      </c>
      <c r="AI49" s="555">
        <f>SUM(AI4,AI18,AI26,AI32,AI41)</f>
        <v>0</v>
      </c>
      <c r="AJ49" s="556">
        <f>SUM(AJ4,AJ18,AJ26,AJ32,AJ41)</f>
        <v>0</v>
      </c>
    </row>
    <row r="50" spans="1:36" ht="15.75" thickTop="1">
      <c r="A50" s="14" t="s">
        <v>172</v>
      </c>
      <c r="B50" s="21"/>
      <c r="C50" s="557">
        <f>SUM(C51:C52)</f>
        <v>0</v>
      </c>
      <c r="D50" s="558">
        <f t="shared" ref="D50:H50" si="91">SUM(D51:D52)</f>
        <v>0</v>
      </c>
      <c r="E50" s="558">
        <f t="shared" si="91"/>
        <v>0</v>
      </c>
      <c r="F50" s="558">
        <f t="shared" si="91"/>
        <v>0</v>
      </c>
      <c r="G50" s="558">
        <f t="shared" si="91"/>
        <v>0</v>
      </c>
      <c r="H50" s="558">
        <f t="shared" si="91"/>
        <v>0</v>
      </c>
      <c r="I50" s="563"/>
      <c r="J50" s="557">
        <f>SUM(J51:J52)</f>
        <v>0</v>
      </c>
      <c r="K50" s="558">
        <f>SUM(K51:K52)</f>
        <v>0</v>
      </c>
      <c r="L50" s="558">
        <f t="shared" ref="L50:N50" si="92">SUM(L51:L52)</f>
        <v>0</v>
      </c>
      <c r="M50" s="558">
        <f t="shared" si="92"/>
        <v>0</v>
      </c>
      <c r="N50" s="558">
        <f t="shared" si="92"/>
        <v>0</v>
      </c>
      <c r="O50" s="558">
        <f>SUM(O51:O52)</f>
        <v>0</v>
      </c>
      <c r="P50" s="563"/>
      <c r="Q50" s="557">
        <f>SUM(Q51:Q52)</f>
        <v>0</v>
      </c>
      <c r="R50" s="558">
        <f>SUM(R51:R52)</f>
        <v>0</v>
      </c>
      <c r="S50" s="558">
        <f t="shared" ref="S50:U50" si="93">SUM(S51:S52)</f>
        <v>0</v>
      </c>
      <c r="T50" s="558">
        <f t="shared" si="93"/>
        <v>0</v>
      </c>
      <c r="U50" s="558">
        <f t="shared" si="93"/>
        <v>0</v>
      </c>
      <c r="V50" s="558">
        <f>SUM(V51:V52)</f>
        <v>0</v>
      </c>
      <c r="W50" s="563"/>
      <c r="X50" s="557">
        <f>SUM(X51:X52)</f>
        <v>0</v>
      </c>
      <c r="Y50" s="558">
        <f>SUM(Y51:Y52)</f>
        <v>0</v>
      </c>
      <c r="Z50" s="558">
        <f t="shared" ref="Z50:AB50" si="94">SUM(Z51:Z52)</f>
        <v>0</v>
      </c>
      <c r="AA50" s="558">
        <f t="shared" si="94"/>
        <v>0</v>
      </c>
      <c r="AB50" s="558">
        <f t="shared" si="94"/>
        <v>0</v>
      </c>
      <c r="AC50" s="558">
        <f>SUM(AC51:AC52)</f>
        <v>0</v>
      </c>
      <c r="AD50" s="563"/>
      <c r="AE50" s="557">
        <f>SUM(AE51:AE52)</f>
        <v>0</v>
      </c>
      <c r="AF50" s="558">
        <f>SUM(AF51:AF52)</f>
        <v>0</v>
      </c>
      <c r="AG50" s="558">
        <f t="shared" ref="AG50:AH50" si="95">SUM(AG51:AG52)</f>
        <v>0</v>
      </c>
      <c r="AH50" s="558">
        <f t="shared" si="95"/>
        <v>0</v>
      </c>
      <c r="AI50" s="558">
        <f>SUM(AI51:AI52)</f>
        <v>0</v>
      </c>
      <c r="AJ50" s="559">
        <f>SUM(AJ51:AJ52)</f>
        <v>0</v>
      </c>
    </row>
    <row r="51" spans="1:36">
      <c r="A51" s="18">
        <v>60.01</v>
      </c>
      <c r="B51" s="19" t="s">
        <v>48</v>
      </c>
      <c r="C51" s="537">
        <f>'PMOC BY Risk Profile Values'!C51</f>
        <v>0</v>
      </c>
      <c r="D51" s="543">
        <v>0</v>
      </c>
      <c r="E51" s="543">
        <v>0</v>
      </c>
      <c r="F51" s="543">
        <v>0</v>
      </c>
      <c r="G51" s="541">
        <f t="shared" ref="G51:G52" si="96">SUM(D51:E51,F51)</f>
        <v>0</v>
      </c>
      <c r="H51" s="542">
        <f t="shared" ref="H51:H52" si="97">SUM(C51,G51)</f>
        <v>0</v>
      </c>
      <c r="I51" s="563"/>
      <c r="J51" s="537">
        <f>'PMOC BY Risk Profile Values'!E51</f>
        <v>0</v>
      </c>
      <c r="K51" s="543">
        <v>0</v>
      </c>
      <c r="L51" s="543">
        <v>0</v>
      </c>
      <c r="M51" s="543">
        <v>0</v>
      </c>
      <c r="N51" s="541">
        <f t="shared" ref="N51:N52" si="98">SUM(K51:L51,M51)</f>
        <v>0</v>
      </c>
      <c r="O51" s="542">
        <f t="shared" ref="O51:O52" si="99">SUM(J51,N51)</f>
        <v>0</v>
      </c>
      <c r="P51" s="563"/>
      <c r="Q51" s="537">
        <f>'PMOC BY Risk Profile Values'!G51</f>
        <v>0</v>
      </c>
      <c r="R51" s="543">
        <v>0</v>
      </c>
      <c r="S51" s="543">
        <v>0</v>
      </c>
      <c r="T51" s="543">
        <v>0</v>
      </c>
      <c r="U51" s="541">
        <f t="shared" ref="U51:U52" si="100">SUM(R51:S51,T51)</f>
        <v>0</v>
      </c>
      <c r="V51" s="542">
        <f t="shared" ref="V51:V52" si="101">SUM(Q51,U51)</f>
        <v>0</v>
      </c>
      <c r="W51" s="563"/>
      <c r="X51" s="537">
        <f>'PMOC BY Risk Profile Values'!I51</f>
        <v>0</v>
      </c>
      <c r="Y51" s="543">
        <v>0</v>
      </c>
      <c r="Z51" s="543">
        <v>0</v>
      </c>
      <c r="AA51" s="543">
        <v>0</v>
      </c>
      <c r="AB51" s="541">
        <f t="shared" ref="AB51:AB52" si="102">SUM(Y51:Z51,AA51)</f>
        <v>0</v>
      </c>
      <c r="AC51" s="542">
        <f t="shared" ref="AC51:AC52" si="103">SUM(X51,AB51)</f>
        <v>0</v>
      </c>
      <c r="AD51" s="563"/>
      <c r="AE51" s="544">
        <f t="shared" ref="AE51:AE52" si="104">SUM(C51,J51,Q51,X51)</f>
        <v>0</v>
      </c>
      <c r="AF51" s="545">
        <f t="shared" ref="AF51:AF52" si="105">SUM(D51,K51,R51,Y51)</f>
        <v>0</v>
      </c>
      <c r="AG51" s="545">
        <f t="shared" ref="AG51:AH52" si="106">SUM(E51,L51,S51,Z51)</f>
        <v>0</v>
      </c>
      <c r="AH51" s="545">
        <f t="shared" si="106"/>
        <v>0</v>
      </c>
      <c r="AI51" s="545">
        <f t="shared" ref="AI51:AI52" si="107">SUM(G51,N51,U51,AB51)</f>
        <v>0</v>
      </c>
      <c r="AJ51" s="546">
        <f t="shared" ref="AJ51:AJ52" si="108">SUM(H51,O51,V51,AC51)</f>
        <v>0</v>
      </c>
    </row>
    <row r="52" spans="1:36">
      <c r="A52" s="18">
        <v>60.02</v>
      </c>
      <c r="B52" s="19" t="s">
        <v>49</v>
      </c>
      <c r="C52" s="537">
        <f>'PMOC BY Risk Profile Values'!C52</f>
        <v>0</v>
      </c>
      <c r="D52" s="543">
        <v>0</v>
      </c>
      <c r="E52" s="543">
        <v>0</v>
      </c>
      <c r="F52" s="543">
        <v>0</v>
      </c>
      <c r="G52" s="541">
        <f t="shared" si="96"/>
        <v>0</v>
      </c>
      <c r="H52" s="542">
        <f t="shared" si="97"/>
        <v>0</v>
      </c>
      <c r="I52" s="563"/>
      <c r="J52" s="537">
        <f>'PMOC BY Risk Profile Values'!E52</f>
        <v>0</v>
      </c>
      <c r="K52" s="543">
        <v>0</v>
      </c>
      <c r="L52" s="543">
        <v>0</v>
      </c>
      <c r="M52" s="543">
        <v>0</v>
      </c>
      <c r="N52" s="541">
        <f t="shared" si="98"/>
        <v>0</v>
      </c>
      <c r="O52" s="542">
        <f t="shared" si="99"/>
        <v>0</v>
      </c>
      <c r="P52" s="563"/>
      <c r="Q52" s="537">
        <f>'PMOC BY Risk Profile Values'!G52</f>
        <v>0</v>
      </c>
      <c r="R52" s="543">
        <v>0</v>
      </c>
      <c r="S52" s="543">
        <v>0</v>
      </c>
      <c r="T52" s="543">
        <v>0</v>
      </c>
      <c r="U52" s="541">
        <f t="shared" si="100"/>
        <v>0</v>
      </c>
      <c r="V52" s="542">
        <f t="shared" si="101"/>
        <v>0</v>
      </c>
      <c r="W52" s="563"/>
      <c r="X52" s="537">
        <f>'PMOC BY Risk Profile Values'!I52</f>
        <v>0</v>
      </c>
      <c r="Y52" s="543">
        <v>0</v>
      </c>
      <c r="Z52" s="543">
        <v>0</v>
      </c>
      <c r="AA52" s="543">
        <v>0</v>
      </c>
      <c r="AB52" s="541">
        <f t="shared" si="102"/>
        <v>0</v>
      </c>
      <c r="AC52" s="542">
        <f t="shared" si="103"/>
        <v>0</v>
      </c>
      <c r="AD52" s="563"/>
      <c r="AE52" s="544">
        <f t="shared" si="104"/>
        <v>0</v>
      </c>
      <c r="AF52" s="545">
        <f t="shared" si="105"/>
        <v>0</v>
      </c>
      <c r="AG52" s="545">
        <f t="shared" si="106"/>
        <v>0</v>
      </c>
      <c r="AH52" s="545">
        <f t="shared" si="106"/>
        <v>0</v>
      </c>
      <c r="AI52" s="545">
        <f t="shared" si="107"/>
        <v>0</v>
      </c>
      <c r="AJ52" s="546">
        <f t="shared" si="108"/>
        <v>0</v>
      </c>
    </row>
    <row r="53" spans="1:36" ht="15">
      <c r="A53" s="23" t="s">
        <v>173</v>
      </c>
      <c r="B53" s="15"/>
      <c r="C53" s="538">
        <f>SUM(C54:C60)</f>
        <v>0</v>
      </c>
      <c r="D53" s="539">
        <f t="shared" ref="D53:H53" si="109">SUM(D54:D60)</f>
        <v>0</v>
      </c>
      <c r="E53" s="539">
        <f t="shared" si="109"/>
        <v>0</v>
      </c>
      <c r="F53" s="539">
        <f t="shared" si="109"/>
        <v>0</v>
      </c>
      <c r="G53" s="539">
        <f t="shared" si="109"/>
        <v>0</v>
      </c>
      <c r="H53" s="539">
        <f t="shared" si="109"/>
        <v>0</v>
      </c>
      <c r="I53" s="563"/>
      <c r="J53" s="538">
        <f>SUM(J54:J60)</f>
        <v>0</v>
      </c>
      <c r="K53" s="539">
        <f>SUM(K54:K60)</f>
        <v>0</v>
      </c>
      <c r="L53" s="539">
        <f t="shared" ref="L53:N53" si="110">SUM(L54:L60)</f>
        <v>0</v>
      </c>
      <c r="M53" s="539">
        <f t="shared" si="110"/>
        <v>0</v>
      </c>
      <c r="N53" s="539">
        <f t="shared" si="110"/>
        <v>0</v>
      </c>
      <c r="O53" s="539">
        <f>SUM(O54:O60)</f>
        <v>0</v>
      </c>
      <c r="P53" s="563"/>
      <c r="Q53" s="538">
        <f>SUM(Q54:Q60)</f>
        <v>0</v>
      </c>
      <c r="R53" s="539">
        <f>SUM(R54:R60)</f>
        <v>0</v>
      </c>
      <c r="S53" s="539">
        <f t="shared" ref="S53:U53" si="111">SUM(S54:S60)</f>
        <v>0</v>
      </c>
      <c r="T53" s="539">
        <f t="shared" si="111"/>
        <v>0</v>
      </c>
      <c r="U53" s="539">
        <f t="shared" si="111"/>
        <v>0</v>
      </c>
      <c r="V53" s="539">
        <f>SUM(V54:V60)</f>
        <v>0</v>
      </c>
      <c r="W53" s="563"/>
      <c r="X53" s="538">
        <f>SUM(X54:X60)</f>
        <v>0</v>
      </c>
      <c r="Y53" s="539">
        <f>SUM(Y54:Y60)</f>
        <v>0</v>
      </c>
      <c r="Z53" s="539">
        <f t="shared" ref="Z53:AB53" si="112">SUM(Z54:Z60)</f>
        <v>0</v>
      </c>
      <c r="AA53" s="539">
        <f t="shared" si="112"/>
        <v>0</v>
      </c>
      <c r="AB53" s="539">
        <f t="shared" si="112"/>
        <v>0</v>
      </c>
      <c r="AC53" s="539">
        <f>SUM(AC54:AC60)</f>
        <v>0</v>
      </c>
      <c r="AD53" s="563"/>
      <c r="AE53" s="538">
        <f>SUM(AE54:AE60)</f>
        <v>0</v>
      </c>
      <c r="AF53" s="539">
        <f>SUM(AF54:AF60)</f>
        <v>0</v>
      </c>
      <c r="AG53" s="539">
        <f t="shared" ref="AG53:AH53" si="113">SUM(AG54:AG60)</f>
        <v>0</v>
      </c>
      <c r="AH53" s="539">
        <f t="shared" si="113"/>
        <v>0</v>
      </c>
      <c r="AI53" s="539">
        <f>SUM(AI54:AI60)</f>
        <v>0</v>
      </c>
      <c r="AJ53" s="540">
        <f>SUM(AJ54:AJ60)</f>
        <v>0</v>
      </c>
    </row>
    <row r="54" spans="1:36">
      <c r="A54" s="18">
        <v>70.010000000000005</v>
      </c>
      <c r="B54" s="19" t="s">
        <v>50</v>
      </c>
      <c r="C54" s="537">
        <f>'PMOC BY Risk Profile Values'!C54</f>
        <v>0</v>
      </c>
      <c r="D54" s="543">
        <v>0</v>
      </c>
      <c r="E54" s="543">
        <v>0</v>
      </c>
      <c r="F54" s="543">
        <v>0</v>
      </c>
      <c r="G54" s="541">
        <f t="shared" ref="G54:G60" si="114">SUM(D54:E54,F54)</f>
        <v>0</v>
      </c>
      <c r="H54" s="542">
        <f t="shared" ref="H54:H60" si="115">SUM(C54,G54)</f>
        <v>0</v>
      </c>
      <c r="I54" s="563"/>
      <c r="J54" s="537">
        <f>'PMOC BY Risk Profile Values'!E54</f>
        <v>0</v>
      </c>
      <c r="K54" s="543">
        <v>0</v>
      </c>
      <c r="L54" s="543">
        <v>0</v>
      </c>
      <c r="M54" s="543">
        <v>0</v>
      </c>
      <c r="N54" s="541">
        <f t="shared" ref="N54:N60" si="116">SUM(K54:L54,M54)</f>
        <v>0</v>
      </c>
      <c r="O54" s="542">
        <f t="shared" ref="O54:O60" si="117">SUM(J54,N54)</f>
        <v>0</v>
      </c>
      <c r="P54" s="563"/>
      <c r="Q54" s="537">
        <f>'PMOC BY Risk Profile Values'!G54</f>
        <v>0</v>
      </c>
      <c r="R54" s="543">
        <v>0</v>
      </c>
      <c r="S54" s="543">
        <v>0</v>
      </c>
      <c r="T54" s="543">
        <v>0</v>
      </c>
      <c r="U54" s="541">
        <f t="shared" ref="U54:U60" si="118">SUM(R54:S54,T54)</f>
        <v>0</v>
      </c>
      <c r="V54" s="542">
        <f t="shared" ref="V54:V60" si="119">SUM(Q54,U54)</f>
        <v>0</v>
      </c>
      <c r="W54" s="563"/>
      <c r="X54" s="537">
        <f>'PMOC BY Risk Profile Values'!I54</f>
        <v>0</v>
      </c>
      <c r="Y54" s="543">
        <v>0</v>
      </c>
      <c r="Z54" s="543">
        <v>0</v>
      </c>
      <c r="AA54" s="543">
        <v>0</v>
      </c>
      <c r="AB54" s="541">
        <f t="shared" ref="AB54:AB60" si="120">SUM(Y54:Z54,AA54)</f>
        <v>0</v>
      </c>
      <c r="AC54" s="542">
        <f t="shared" ref="AC54:AC60" si="121">SUM(X54,AB54)</f>
        <v>0</v>
      </c>
      <c r="AD54" s="563"/>
      <c r="AE54" s="544">
        <f t="shared" ref="AE54:AE60" si="122">SUM(C54,J54,Q54,X54)</f>
        <v>0</v>
      </c>
      <c r="AF54" s="545">
        <f t="shared" ref="AF54:AF60" si="123">SUM(D54,K54,R54,Y54)</f>
        <v>0</v>
      </c>
      <c r="AG54" s="545">
        <f t="shared" ref="AG54:AH60" si="124">SUM(E54,L54,S54,Z54)</f>
        <v>0</v>
      </c>
      <c r="AH54" s="545">
        <f t="shared" si="124"/>
        <v>0</v>
      </c>
      <c r="AI54" s="545">
        <f t="shared" ref="AI54:AI60" si="125">SUM(G54,N54,U54,AB54)</f>
        <v>0</v>
      </c>
      <c r="AJ54" s="546">
        <f t="shared" ref="AJ54:AJ60" si="126">SUM(H54,O54,V54,AC54)</f>
        <v>0</v>
      </c>
    </row>
    <row r="55" spans="1:36">
      <c r="A55" s="18">
        <v>70.02</v>
      </c>
      <c r="B55" s="19" t="s">
        <v>51</v>
      </c>
      <c r="C55" s="537">
        <f>'PMOC BY Risk Profile Values'!C55</f>
        <v>0</v>
      </c>
      <c r="D55" s="543">
        <v>0</v>
      </c>
      <c r="E55" s="543">
        <v>0</v>
      </c>
      <c r="F55" s="543">
        <v>0</v>
      </c>
      <c r="G55" s="541">
        <f t="shared" si="114"/>
        <v>0</v>
      </c>
      <c r="H55" s="542">
        <f t="shared" si="115"/>
        <v>0</v>
      </c>
      <c r="I55" s="563"/>
      <c r="J55" s="537">
        <f>'PMOC BY Risk Profile Values'!E55</f>
        <v>0</v>
      </c>
      <c r="K55" s="543">
        <v>0</v>
      </c>
      <c r="L55" s="543">
        <v>0</v>
      </c>
      <c r="M55" s="543">
        <v>0</v>
      </c>
      <c r="N55" s="541">
        <f t="shared" si="116"/>
        <v>0</v>
      </c>
      <c r="O55" s="542">
        <f t="shared" si="117"/>
        <v>0</v>
      </c>
      <c r="P55" s="563"/>
      <c r="Q55" s="537">
        <f>'PMOC BY Risk Profile Values'!G55</f>
        <v>0</v>
      </c>
      <c r="R55" s="543">
        <v>0</v>
      </c>
      <c r="S55" s="543">
        <v>0</v>
      </c>
      <c r="T55" s="543">
        <v>0</v>
      </c>
      <c r="U55" s="541">
        <f t="shared" si="118"/>
        <v>0</v>
      </c>
      <c r="V55" s="542">
        <f t="shared" si="119"/>
        <v>0</v>
      </c>
      <c r="W55" s="563"/>
      <c r="X55" s="537">
        <f>'PMOC BY Risk Profile Values'!I55</f>
        <v>0</v>
      </c>
      <c r="Y55" s="543">
        <v>0</v>
      </c>
      <c r="Z55" s="543">
        <v>0</v>
      </c>
      <c r="AA55" s="543">
        <v>0</v>
      </c>
      <c r="AB55" s="541">
        <f t="shared" si="120"/>
        <v>0</v>
      </c>
      <c r="AC55" s="542">
        <f t="shared" si="121"/>
        <v>0</v>
      </c>
      <c r="AD55" s="563"/>
      <c r="AE55" s="544">
        <f t="shared" si="122"/>
        <v>0</v>
      </c>
      <c r="AF55" s="545">
        <f t="shared" si="123"/>
        <v>0</v>
      </c>
      <c r="AG55" s="545">
        <f t="shared" si="124"/>
        <v>0</v>
      </c>
      <c r="AH55" s="545">
        <f t="shared" si="124"/>
        <v>0</v>
      </c>
      <c r="AI55" s="545">
        <f t="shared" si="125"/>
        <v>0</v>
      </c>
      <c r="AJ55" s="546">
        <f t="shared" si="126"/>
        <v>0</v>
      </c>
    </row>
    <row r="56" spans="1:36">
      <c r="A56" s="18">
        <v>70.03</v>
      </c>
      <c r="B56" s="19" t="s">
        <v>52</v>
      </c>
      <c r="C56" s="537">
        <f>'PMOC BY Risk Profile Values'!C56</f>
        <v>0</v>
      </c>
      <c r="D56" s="543">
        <v>0</v>
      </c>
      <c r="E56" s="543">
        <v>0</v>
      </c>
      <c r="F56" s="543">
        <v>0</v>
      </c>
      <c r="G56" s="541">
        <f t="shared" si="114"/>
        <v>0</v>
      </c>
      <c r="H56" s="542">
        <f t="shared" si="115"/>
        <v>0</v>
      </c>
      <c r="I56" s="563"/>
      <c r="J56" s="537">
        <f>'PMOC BY Risk Profile Values'!E56</f>
        <v>0</v>
      </c>
      <c r="K56" s="543">
        <v>0</v>
      </c>
      <c r="L56" s="543">
        <v>0</v>
      </c>
      <c r="M56" s="543">
        <v>0</v>
      </c>
      <c r="N56" s="541">
        <f t="shared" si="116"/>
        <v>0</v>
      </c>
      <c r="O56" s="542">
        <f t="shared" si="117"/>
        <v>0</v>
      </c>
      <c r="P56" s="563"/>
      <c r="Q56" s="537">
        <f>'PMOC BY Risk Profile Values'!G56</f>
        <v>0</v>
      </c>
      <c r="R56" s="543">
        <v>0</v>
      </c>
      <c r="S56" s="543">
        <v>0</v>
      </c>
      <c r="T56" s="543">
        <v>0</v>
      </c>
      <c r="U56" s="541">
        <f t="shared" si="118"/>
        <v>0</v>
      </c>
      <c r="V56" s="542">
        <f t="shared" si="119"/>
        <v>0</v>
      </c>
      <c r="W56" s="563"/>
      <c r="X56" s="537">
        <f>'PMOC BY Risk Profile Values'!I56</f>
        <v>0</v>
      </c>
      <c r="Y56" s="543">
        <v>0</v>
      </c>
      <c r="Z56" s="543">
        <v>0</v>
      </c>
      <c r="AA56" s="543">
        <v>0</v>
      </c>
      <c r="AB56" s="541">
        <f t="shared" si="120"/>
        <v>0</v>
      </c>
      <c r="AC56" s="542">
        <f t="shared" si="121"/>
        <v>0</v>
      </c>
      <c r="AD56" s="563"/>
      <c r="AE56" s="544">
        <f t="shared" si="122"/>
        <v>0</v>
      </c>
      <c r="AF56" s="545">
        <f t="shared" si="123"/>
        <v>0</v>
      </c>
      <c r="AG56" s="545">
        <f t="shared" si="124"/>
        <v>0</v>
      </c>
      <c r="AH56" s="545">
        <f t="shared" si="124"/>
        <v>0</v>
      </c>
      <c r="AI56" s="545">
        <f t="shared" si="125"/>
        <v>0</v>
      </c>
      <c r="AJ56" s="546">
        <f t="shared" si="126"/>
        <v>0</v>
      </c>
    </row>
    <row r="57" spans="1:36">
      <c r="A57" s="18">
        <v>70.040000000000006</v>
      </c>
      <c r="B57" s="19" t="s">
        <v>53</v>
      </c>
      <c r="C57" s="537">
        <f>'PMOC BY Risk Profile Values'!C57</f>
        <v>0</v>
      </c>
      <c r="D57" s="543">
        <v>0</v>
      </c>
      <c r="E57" s="543">
        <v>0</v>
      </c>
      <c r="F57" s="543">
        <v>0</v>
      </c>
      <c r="G57" s="541">
        <f t="shared" si="114"/>
        <v>0</v>
      </c>
      <c r="H57" s="542">
        <f t="shared" si="115"/>
        <v>0</v>
      </c>
      <c r="I57" s="563"/>
      <c r="J57" s="537">
        <f>'PMOC BY Risk Profile Values'!E57</f>
        <v>0</v>
      </c>
      <c r="K57" s="543">
        <v>0</v>
      </c>
      <c r="L57" s="543">
        <v>0</v>
      </c>
      <c r="M57" s="543">
        <v>0</v>
      </c>
      <c r="N57" s="541">
        <f t="shared" si="116"/>
        <v>0</v>
      </c>
      <c r="O57" s="542">
        <f t="shared" si="117"/>
        <v>0</v>
      </c>
      <c r="P57" s="563"/>
      <c r="Q57" s="537">
        <f>'PMOC BY Risk Profile Values'!G57</f>
        <v>0</v>
      </c>
      <c r="R57" s="543">
        <v>0</v>
      </c>
      <c r="S57" s="543">
        <v>0</v>
      </c>
      <c r="T57" s="543">
        <v>0</v>
      </c>
      <c r="U57" s="541">
        <f t="shared" si="118"/>
        <v>0</v>
      </c>
      <c r="V57" s="542">
        <f t="shared" si="119"/>
        <v>0</v>
      </c>
      <c r="W57" s="563"/>
      <c r="X57" s="537">
        <f>'PMOC BY Risk Profile Values'!I57</f>
        <v>0</v>
      </c>
      <c r="Y57" s="543">
        <v>0</v>
      </c>
      <c r="Z57" s="543">
        <v>0</v>
      </c>
      <c r="AA57" s="543">
        <v>0</v>
      </c>
      <c r="AB57" s="541">
        <f t="shared" si="120"/>
        <v>0</v>
      </c>
      <c r="AC57" s="542">
        <f t="shared" si="121"/>
        <v>0</v>
      </c>
      <c r="AD57" s="563"/>
      <c r="AE57" s="544">
        <f t="shared" si="122"/>
        <v>0</v>
      </c>
      <c r="AF57" s="545">
        <f t="shared" si="123"/>
        <v>0</v>
      </c>
      <c r="AG57" s="545">
        <f t="shared" si="124"/>
        <v>0</v>
      </c>
      <c r="AH57" s="545">
        <f t="shared" si="124"/>
        <v>0</v>
      </c>
      <c r="AI57" s="545">
        <f t="shared" si="125"/>
        <v>0</v>
      </c>
      <c r="AJ57" s="546">
        <f t="shared" si="126"/>
        <v>0</v>
      </c>
    </row>
    <row r="58" spans="1:36">
      <c r="A58" s="18">
        <v>70.05</v>
      </c>
      <c r="B58" s="19" t="s">
        <v>54</v>
      </c>
      <c r="C58" s="537">
        <f>'PMOC BY Risk Profile Values'!C58</f>
        <v>0</v>
      </c>
      <c r="D58" s="543">
        <v>0</v>
      </c>
      <c r="E58" s="543">
        <v>0</v>
      </c>
      <c r="F58" s="543">
        <v>0</v>
      </c>
      <c r="G58" s="541">
        <f t="shared" si="114"/>
        <v>0</v>
      </c>
      <c r="H58" s="542">
        <f t="shared" si="115"/>
        <v>0</v>
      </c>
      <c r="I58" s="563"/>
      <c r="J58" s="537">
        <f>'PMOC BY Risk Profile Values'!E58</f>
        <v>0</v>
      </c>
      <c r="K58" s="543">
        <v>0</v>
      </c>
      <c r="L58" s="543">
        <v>0</v>
      </c>
      <c r="M58" s="543">
        <v>0</v>
      </c>
      <c r="N58" s="541">
        <f t="shared" si="116"/>
        <v>0</v>
      </c>
      <c r="O58" s="542">
        <f t="shared" si="117"/>
        <v>0</v>
      </c>
      <c r="P58" s="563"/>
      <c r="Q58" s="537">
        <f>'PMOC BY Risk Profile Values'!G58</f>
        <v>0</v>
      </c>
      <c r="R58" s="543">
        <v>0</v>
      </c>
      <c r="S58" s="543">
        <v>0</v>
      </c>
      <c r="T58" s="543">
        <v>0</v>
      </c>
      <c r="U58" s="541">
        <f t="shared" si="118"/>
        <v>0</v>
      </c>
      <c r="V58" s="542">
        <f t="shared" si="119"/>
        <v>0</v>
      </c>
      <c r="W58" s="563"/>
      <c r="X58" s="537">
        <f>'PMOC BY Risk Profile Values'!I58</f>
        <v>0</v>
      </c>
      <c r="Y58" s="543">
        <v>0</v>
      </c>
      <c r="Z58" s="543">
        <v>0</v>
      </c>
      <c r="AA58" s="543">
        <v>0</v>
      </c>
      <c r="AB58" s="541">
        <f t="shared" si="120"/>
        <v>0</v>
      </c>
      <c r="AC58" s="542">
        <f t="shared" si="121"/>
        <v>0</v>
      </c>
      <c r="AD58" s="563"/>
      <c r="AE58" s="544">
        <f t="shared" si="122"/>
        <v>0</v>
      </c>
      <c r="AF58" s="545">
        <f t="shared" si="123"/>
        <v>0</v>
      </c>
      <c r="AG58" s="545">
        <f t="shared" si="124"/>
        <v>0</v>
      </c>
      <c r="AH58" s="545">
        <f t="shared" si="124"/>
        <v>0</v>
      </c>
      <c r="AI58" s="545">
        <f t="shared" si="125"/>
        <v>0</v>
      </c>
      <c r="AJ58" s="546">
        <f t="shared" si="126"/>
        <v>0</v>
      </c>
    </row>
    <row r="59" spans="1:36">
      <c r="A59" s="18">
        <v>70.06</v>
      </c>
      <c r="B59" s="19" t="s">
        <v>55</v>
      </c>
      <c r="C59" s="537">
        <f>'PMOC BY Risk Profile Values'!C59</f>
        <v>0</v>
      </c>
      <c r="D59" s="543">
        <v>0</v>
      </c>
      <c r="E59" s="543">
        <v>0</v>
      </c>
      <c r="F59" s="543">
        <v>0</v>
      </c>
      <c r="G59" s="541">
        <f t="shared" si="114"/>
        <v>0</v>
      </c>
      <c r="H59" s="542">
        <f t="shared" si="115"/>
        <v>0</v>
      </c>
      <c r="I59" s="563"/>
      <c r="J59" s="537">
        <f>'PMOC BY Risk Profile Values'!E59</f>
        <v>0</v>
      </c>
      <c r="K59" s="543">
        <v>0</v>
      </c>
      <c r="L59" s="543">
        <v>0</v>
      </c>
      <c r="M59" s="543">
        <v>0</v>
      </c>
      <c r="N59" s="541">
        <f t="shared" si="116"/>
        <v>0</v>
      </c>
      <c r="O59" s="542">
        <f t="shared" si="117"/>
        <v>0</v>
      </c>
      <c r="P59" s="563"/>
      <c r="Q59" s="537">
        <f>'PMOC BY Risk Profile Values'!G59</f>
        <v>0</v>
      </c>
      <c r="R59" s="543">
        <v>0</v>
      </c>
      <c r="S59" s="543">
        <v>0</v>
      </c>
      <c r="T59" s="543">
        <v>0</v>
      </c>
      <c r="U59" s="541">
        <f t="shared" si="118"/>
        <v>0</v>
      </c>
      <c r="V59" s="542">
        <f t="shared" si="119"/>
        <v>0</v>
      </c>
      <c r="W59" s="563"/>
      <c r="X59" s="537">
        <f>'PMOC BY Risk Profile Values'!I59</f>
        <v>0</v>
      </c>
      <c r="Y59" s="543">
        <v>0</v>
      </c>
      <c r="Z59" s="543">
        <v>0</v>
      </c>
      <c r="AA59" s="543">
        <v>0</v>
      </c>
      <c r="AB59" s="541">
        <f t="shared" si="120"/>
        <v>0</v>
      </c>
      <c r="AC59" s="542">
        <f t="shared" si="121"/>
        <v>0</v>
      </c>
      <c r="AD59" s="563"/>
      <c r="AE59" s="544">
        <f t="shared" si="122"/>
        <v>0</v>
      </c>
      <c r="AF59" s="545">
        <f t="shared" si="123"/>
        <v>0</v>
      </c>
      <c r="AG59" s="545">
        <f t="shared" si="124"/>
        <v>0</v>
      </c>
      <c r="AH59" s="545">
        <f t="shared" si="124"/>
        <v>0</v>
      </c>
      <c r="AI59" s="545">
        <f t="shared" si="125"/>
        <v>0</v>
      </c>
      <c r="AJ59" s="546">
        <f t="shared" si="126"/>
        <v>0</v>
      </c>
    </row>
    <row r="60" spans="1:36">
      <c r="A60" s="18">
        <v>70.069999999999993</v>
      </c>
      <c r="B60" s="19" t="s">
        <v>56</v>
      </c>
      <c r="C60" s="537">
        <f>'PMOC BY Risk Profile Values'!C60</f>
        <v>0</v>
      </c>
      <c r="D60" s="543">
        <v>0</v>
      </c>
      <c r="E60" s="543">
        <v>0</v>
      </c>
      <c r="F60" s="543">
        <v>0</v>
      </c>
      <c r="G60" s="541">
        <f t="shared" si="114"/>
        <v>0</v>
      </c>
      <c r="H60" s="542">
        <f t="shared" si="115"/>
        <v>0</v>
      </c>
      <c r="I60" s="563"/>
      <c r="J60" s="537">
        <f>'PMOC BY Risk Profile Values'!E60</f>
        <v>0</v>
      </c>
      <c r="K60" s="543">
        <v>0</v>
      </c>
      <c r="L60" s="543">
        <v>0</v>
      </c>
      <c r="M60" s="543">
        <v>0</v>
      </c>
      <c r="N60" s="541">
        <f t="shared" si="116"/>
        <v>0</v>
      </c>
      <c r="O60" s="542">
        <f t="shared" si="117"/>
        <v>0</v>
      </c>
      <c r="P60" s="563"/>
      <c r="Q60" s="537">
        <f>'PMOC BY Risk Profile Values'!G60</f>
        <v>0</v>
      </c>
      <c r="R60" s="543">
        <v>0</v>
      </c>
      <c r="S60" s="543">
        <v>0</v>
      </c>
      <c r="T60" s="543">
        <v>0</v>
      </c>
      <c r="U60" s="541">
        <f t="shared" si="118"/>
        <v>0</v>
      </c>
      <c r="V60" s="542">
        <f t="shared" si="119"/>
        <v>0</v>
      </c>
      <c r="W60" s="563"/>
      <c r="X60" s="537">
        <f>'PMOC BY Risk Profile Values'!I60</f>
        <v>0</v>
      </c>
      <c r="Y60" s="543">
        <v>0</v>
      </c>
      <c r="Z60" s="543">
        <v>0</v>
      </c>
      <c r="AA60" s="543">
        <v>0</v>
      </c>
      <c r="AB60" s="541">
        <f t="shared" si="120"/>
        <v>0</v>
      </c>
      <c r="AC60" s="542">
        <f t="shared" si="121"/>
        <v>0</v>
      </c>
      <c r="AD60" s="563"/>
      <c r="AE60" s="544">
        <f t="shared" si="122"/>
        <v>0</v>
      </c>
      <c r="AF60" s="545">
        <f t="shared" si="123"/>
        <v>0</v>
      </c>
      <c r="AG60" s="545">
        <f t="shared" si="124"/>
        <v>0</v>
      </c>
      <c r="AH60" s="545">
        <f t="shared" si="124"/>
        <v>0</v>
      </c>
      <c r="AI60" s="545">
        <f t="shared" si="125"/>
        <v>0</v>
      </c>
      <c r="AJ60" s="546">
        <f t="shared" si="126"/>
        <v>0</v>
      </c>
    </row>
    <row r="61" spans="1:36" ht="15">
      <c r="A61" s="23" t="s">
        <v>174</v>
      </c>
      <c r="B61" s="24"/>
      <c r="C61" s="538">
        <f>SUM(C62:C69)</f>
        <v>0</v>
      </c>
      <c r="D61" s="539">
        <f t="shared" ref="D61:H61" si="127">SUM(D62:D69)</f>
        <v>0</v>
      </c>
      <c r="E61" s="539">
        <f t="shared" si="127"/>
        <v>0</v>
      </c>
      <c r="F61" s="539">
        <f t="shared" si="127"/>
        <v>0</v>
      </c>
      <c r="G61" s="539">
        <f t="shared" si="127"/>
        <v>0</v>
      </c>
      <c r="H61" s="539">
        <f t="shared" si="127"/>
        <v>0</v>
      </c>
      <c r="I61" s="563"/>
      <c r="J61" s="538">
        <f>SUM(J62:J69)</f>
        <v>0</v>
      </c>
      <c r="K61" s="539">
        <f>SUM(K62:K69)</f>
        <v>0</v>
      </c>
      <c r="L61" s="539">
        <f t="shared" ref="L61:N61" si="128">SUM(L62:L69)</f>
        <v>0</v>
      </c>
      <c r="M61" s="539">
        <f t="shared" si="128"/>
        <v>0</v>
      </c>
      <c r="N61" s="539">
        <f t="shared" si="128"/>
        <v>0</v>
      </c>
      <c r="O61" s="539">
        <f>SUM(O62:O69)</f>
        <v>0</v>
      </c>
      <c r="P61" s="563"/>
      <c r="Q61" s="538">
        <f>SUM(Q62:Q69)</f>
        <v>0</v>
      </c>
      <c r="R61" s="539">
        <f>SUM(R62:R69)</f>
        <v>0</v>
      </c>
      <c r="S61" s="539">
        <f t="shared" ref="S61:U61" si="129">SUM(S62:S69)</f>
        <v>0</v>
      </c>
      <c r="T61" s="539">
        <f t="shared" si="129"/>
        <v>0</v>
      </c>
      <c r="U61" s="539">
        <f t="shared" si="129"/>
        <v>0</v>
      </c>
      <c r="V61" s="539">
        <f>SUM(V62:V69)</f>
        <v>0</v>
      </c>
      <c r="W61" s="563"/>
      <c r="X61" s="538">
        <f>SUM(X62:X69)</f>
        <v>0</v>
      </c>
      <c r="Y61" s="539">
        <f>SUM(Y62:Y69)</f>
        <v>0</v>
      </c>
      <c r="Z61" s="539">
        <f t="shared" ref="Z61:AB61" si="130">SUM(Z62:Z69)</f>
        <v>0</v>
      </c>
      <c r="AA61" s="539">
        <f t="shared" si="130"/>
        <v>0</v>
      </c>
      <c r="AB61" s="539">
        <f t="shared" si="130"/>
        <v>0</v>
      </c>
      <c r="AC61" s="539">
        <f>SUM(AC62:AC69)</f>
        <v>0</v>
      </c>
      <c r="AD61" s="563"/>
      <c r="AE61" s="538">
        <f>SUM(AE62:AE69)</f>
        <v>0</v>
      </c>
      <c r="AF61" s="539">
        <f>SUM(AF62:AF69)</f>
        <v>0</v>
      </c>
      <c r="AG61" s="539">
        <f t="shared" ref="AG61:AH61" si="131">SUM(AG62:AG69)</f>
        <v>0</v>
      </c>
      <c r="AH61" s="539">
        <f t="shared" si="131"/>
        <v>0</v>
      </c>
      <c r="AI61" s="539">
        <f>SUM(AI62:AI69)</f>
        <v>0</v>
      </c>
      <c r="AJ61" s="540">
        <f>SUM(AJ62:AJ69)</f>
        <v>0</v>
      </c>
    </row>
    <row r="62" spans="1:36">
      <c r="A62" s="25">
        <v>80.010000000000005</v>
      </c>
      <c r="B62" s="17" t="s">
        <v>143</v>
      </c>
      <c r="C62" s="537">
        <f>'PMOC BY Risk Profile Values'!C62</f>
        <v>0</v>
      </c>
      <c r="D62" s="543">
        <v>0</v>
      </c>
      <c r="E62" s="543">
        <v>0</v>
      </c>
      <c r="F62" s="543">
        <v>0</v>
      </c>
      <c r="G62" s="541">
        <f t="shared" ref="G62:G69" si="132">SUM(D62:E62,F62)</f>
        <v>0</v>
      </c>
      <c r="H62" s="542">
        <f t="shared" ref="H62:H69" si="133">SUM(C62,G62)</f>
        <v>0</v>
      </c>
      <c r="I62" s="563"/>
      <c r="J62" s="537">
        <f>'PMOC BY Risk Profile Values'!E62</f>
        <v>0</v>
      </c>
      <c r="K62" s="543">
        <v>0</v>
      </c>
      <c r="L62" s="543">
        <v>0</v>
      </c>
      <c r="M62" s="543">
        <v>0</v>
      </c>
      <c r="N62" s="541">
        <f t="shared" ref="N62:N69" si="134">SUM(K62:L62,M62)</f>
        <v>0</v>
      </c>
      <c r="O62" s="542">
        <f t="shared" ref="O62:O69" si="135">SUM(J62,N62)</f>
        <v>0</v>
      </c>
      <c r="P62" s="563"/>
      <c r="Q62" s="537">
        <f>'PMOC BY Risk Profile Values'!G62</f>
        <v>0</v>
      </c>
      <c r="R62" s="543">
        <v>0</v>
      </c>
      <c r="S62" s="543">
        <v>0</v>
      </c>
      <c r="T62" s="543">
        <v>0</v>
      </c>
      <c r="U62" s="541">
        <f t="shared" ref="U62:U69" si="136">SUM(R62:S62,T62)</f>
        <v>0</v>
      </c>
      <c r="V62" s="542">
        <f t="shared" ref="V62:V69" si="137">SUM(Q62,U62)</f>
        <v>0</v>
      </c>
      <c r="W62" s="563"/>
      <c r="X62" s="537">
        <f>'PMOC BY Risk Profile Values'!I62</f>
        <v>0</v>
      </c>
      <c r="Y62" s="543">
        <v>0</v>
      </c>
      <c r="Z62" s="543">
        <v>0</v>
      </c>
      <c r="AA62" s="543">
        <v>0</v>
      </c>
      <c r="AB62" s="541">
        <f t="shared" ref="AB62:AB69" si="138">SUM(Y62:Z62,AA62)</f>
        <v>0</v>
      </c>
      <c r="AC62" s="542">
        <f t="shared" ref="AC62:AC69" si="139">SUM(X62,AB62)</f>
        <v>0</v>
      </c>
      <c r="AD62" s="563"/>
      <c r="AE62" s="544">
        <f t="shared" ref="AE62:AE69" si="140">SUM(C62,J62,Q62,X62)</f>
        <v>0</v>
      </c>
      <c r="AF62" s="545">
        <f t="shared" ref="AF62:AF69" si="141">SUM(D62,K62,R62,Y62)</f>
        <v>0</v>
      </c>
      <c r="AG62" s="545">
        <f t="shared" ref="AG62:AH69" si="142">SUM(E62,L62,S62,Z62)</f>
        <v>0</v>
      </c>
      <c r="AH62" s="545">
        <f t="shared" si="142"/>
        <v>0</v>
      </c>
      <c r="AI62" s="545">
        <f t="shared" ref="AI62:AI69" si="143">SUM(G62,N62,U62,AB62)</f>
        <v>0</v>
      </c>
      <c r="AJ62" s="546">
        <f t="shared" ref="AJ62:AJ69" si="144">SUM(H62,O62,V62,AC62)</f>
        <v>0</v>
      </c>
    </row>
    <row r="63" spans="1:36">
      <c r="A63" s="25">
        <v>80.02</v>
      </c>
      <c r="B63" s="17" t="s">
        <v>175</v>
      </c>
      <c r="C63" s="537">
        <f>'PMOC BY Risk Profile Values'!C63</f>
        <v>0</v>
      </c>
      <c r="D63" s="543">
        <v>0</v>
      </c>
      <c r="E63" s="543">
        <v>0</v>
      </c>
      <c r="F63" s="543">
        <v>0</v>
      </c>
      <c r="G63" s="541">
        <f t="shared" si="132"/>
        <v>0</v>
      </c>
      <c r="H63" s="542">
        <f t="shared" si="133"/>
        <v>0</v>
      </c>
      <c r="I63" s="563"/>
      <c r="J63" s="537">
        <f>'PMOC BY Risk Profile Values'!E63</f>
        <v>0</v>
      </c>
      <c r="K63" s="543">
        <v>0</v>
      </c>
      <c r="L63" s="543">
        <v>0</v>
      </c>
      <c r="M63" s="543">
        <v>0</v>
      </c>
      <c r="N63" s="541">
        <f t="shared" si="134"/>
        <v>0</v>
      </c>
      <c r="O63" s="542">
        <f t="shared" si="135"/>
        <v>0</v>
      </c>
      <c r="P63" s="563"/>
      <c r="Q63" s="537">
        <f>'PMOC BY Risk Profile Values'!G63</f>
        <v>0</v>
      </c>
      <c r="R63" s="543">
        <v>0</v>
      </c>
      <c r="S63" s="543">
        <v>0</v>
      </c>
      <c r="T63" s="543">
        <v>0</v>
      </c>
      <c r="U63" s="541">
        <f t="shared" si="136"/>
        <v>0</v>
      </c>
      <c r="V63" s="542">
        <f t="shared" si="137"/>
        <v>0</v>
      </c>
      <c r="W63" s="563"/>
      <c r="X63" s="537">
        <f>'PMOC BY Risk Profile Values'!I63</f>
        <v>0</v>
      </c>
      <c r="Y63" s="543">
        <v>0</v>
      </c>
      <c r="Z63" s="543">
        <v>0</v>
      </c>
      <c r="AA63" s="543">
        <v>0</v>
      </c>
      <c r="AB63" s="541">
        <f t="shared" si="138"/>
        <v>0</v>
      </c>
      <c r="AC63" s="542">
        <f t="shared" si="139"/>
        <v>0</v>
      </c>
      <c r="AD63" s="563"/>
      <c r="AE63" s="544">
        <f t="shared" si="140"/>
        <v>0</v>
      </c>
      <c r="AF63" s="545">
        <f t="shared" si="141"/>
        <v>0</v>
      </c>
      <c r="AG63" s="545">
        <f t="shared" si="142"/>
        <v>0</v>
      </c>
      <c r="AH63" s="545">
        <f t="shared" si="142"/>
        <v>0</v>
      </c>
      <c r="AI63" s="545">
        <f t="shared" si="143"/>
        <v>0</v>
      </c>
      <c r="AJ63" s="546">
        <f t="shared" si="144"/>
        <v>0</v>
      </c>
    </row>
    <row r="64" spans="1:36">
      <c r="A64" s="25">
        <v>80.03</v>
      </c>
      <c r="B64" s="17" t="s">
        <v>57</v>
      </c>
      <c r="C64" s="537">
        <f>'PMOC BY Risk Profile Values'!C64</f>
        <v>0</v>
      </c>
      <c r="D64" s="543">
        <v>0</v>
      </c>
      <c r="E64" s="543">
        <v>0</v>
      </c>
      <c r="F64" s="543">
        <v>0</v>
      </c>
      <c r="G64" s="541">
        <f t="shared" si="132"/>
        <v>0</v>
      </c>
      <c r="H64" s="542">
        <f t="shared" si="133"/>
        <v>0</v>
      </c>
      <c r="I64" s="563"/>
      <c r="J64" s="537">
        <f>'PMOC BY Risk Profile Values'!E64</f>
        <v>0</v>
      </c>
      <c r="K64" s="543">
        <v>0</v>
      </c>
      <c r="L64" s="543">
        <v>0</v>
      </c>
      <c r="M64" s="543">
        <v>0</v>
      </c>
      <c r="N64" s="541">
        <f t="shared" si="134"/>
        <v>0</v>
      </c>
      <c r="O64" s="542">
        <f t="shared" si="135"/>
        <v>0</v>
      </c>
      <c r="P64" s="563"/>
      <c r="Q64" s="537">
        <f>'PMOC BY Risk Profile Values'!G64</f>
        <v>0</v>
      </c>
      <c r="R64" s="543">
        <v>0</v>
      </c>
      <c r="S64" s="543">
        <v>0</v>
      </c>
      <c r="T64" s="543">
        <v>0</v>
      </c>
      <c r="U64" s="541">
        <f t="shared" si="136"/>
        <v>0</v>
      </c>
      <c r="V64" s="542">
        <f t="shared" si="137"/>
        <v>0</v>
      </c>
      <c r="W64" s="563"/>
      <c r="X64" s="537">
        <f>'PMOC BY Risk Profile Values'!I64</f>
        <v>0</v>
      </c>
      <c r="Y64" s="543">
        <v>0</v>
      </c>
      <c r="Z64" s="543">
        <v>0</v>
      </c>
      <c r="AA64" s="543">
        <v>0</v>
      </c>
      <c r="AB64" s="541">
        <f t="shared" si="138"/>
        <v>0</v>
      </c>
      <c r="AC64" s="542">
        <f t="shared" si="139"/>
        <v>0</v>
      </c>
      <c r="AD64" s="563"/>
      <c r="AE64" s="544">
        <f t="shared" si="140"/>
        <v>0</v>
      </c>
      <c r="AF64" s="545">
        <f t="shared" si="141"/>
        <v>0</v>
      </c>
      <c r="AG64" s="545">
        <f t="shared" si="142"/>
        <v>0</v>
      </c>
      <c r="AH64" s="545">
        <f t="shared" si="142"/>
        <v>0</v>
      </c>
      <c r="AI64" s="545">
        <f t="shared" si="143"/>
        <v>0</v>
      </c>
      <c r="AJ64" s="546">
        <f t="shared" si="144"/>
        <v>0</v>
      </c>
    </row>
    <row r="65" spans="1:36">
      <c r="A65" s="25">
        <v>80.040000000000006</v>
      </c>
      <c r="B65" s="17" t="s">
        <v>58</v>
      </c>
      <c r="C65" s="537">
        <f>'PMOC BY Risk Profile Values'!C65</f>
        <v>0</v>
      </c>
      <c r="D65" s="543">
        <v>0</v>
      </c>
      <c r="E65" s="543">
        <v>0</v>
      </c>
      <c r="F65" s="543">
        <v>0</v>
      </c>
      <c r="G65" s="541">
        <f t="shared" si="132"/>
        <v>0</v>
      </c>
      <c r="H65" s="542">
        <f t="shared" si="133"/>
        <v>0</v>
      </c>
      <c r="I65" s="563"/>
      <c r="J65" s="537">
        <f>'PMOC BY Risk Profile Values'!E65</f>
        <v>0</v>
      </c>
      <c r="K65" s="543">
        <v>0</v>
      </c>
      <c r="L65" s="543">
        <v>0</v>
      </c>
      <c r="M65" s="543">
        <v>0</v>
      </c>
      <c r="N65" s="541">
        <f t="shared" si="134"/>
        <v>0</v>
      </c>
      <c r="O65" s="542">
        <f t="shared" si="135"/>
        <v>0</v>
      </c>
      <c r="P65" s="563"/>
      <c r="Q65" s="537">
        <f>'PMOC BY Risk Profile Values'!G65</f>
        <v>0</v>
      </c>
      <c r="R65" s="543">
        <v>0</v>
      </c>
      <c r="S65" s="543">
        <v>0</v>
      </c>
      <c r="T65" s="543">
        <v>0</v>
      </c>
      <c r="U65" s="541">
        <f t="shared" si="136"/>
        <v>0</v>
      </c>
      <c r="V65" s="542">
        <f t="shared" si="137"/>
        <v>0</v>
      </c>
      <c r="W65" s="563"/>
      <c r="X65" s="537">
        <f>'PMOC BY Risk Profile Values'!I65</f>
        <v>0</v>
      </c>
      <c r="Y65" s="543">
        <v>0</v>
      </c>
      <c r="Z65" s="543">
        <v>0</v>
      </c>
      <c r="AA65" s="543">
        <v>0</v>
      </c>
      <c r="AB65" s="541">
        <f t="shared" si="138"/>
        <v>0</v>
      </c>
      <c r="AC65" s="542">
        <f t="shared" si="139"/>
        <v>0</v>
      </c>
      <c r="AD65" s="563"/>
      <c r="AE65" s="544">
        <f t="shared" si="140"/>
        <v>0</v>
      </c>
      <c r="AF65" s="545">
        <f t="shared" si="141"/>
        <v>0</v>
      </c>
      <c r="AG65" s="545">
        <f t="shared" si="142"/>
        <v>0</v>
      </c>
      <c r="AH65" s="545">
        <f t="shared" si="142"/>
        <v>0</v>
      </c>
      <c r="AI65" s="545">
        <f t="shared" si="143"/>
        <v>0</v>
      </c>
      <c r="AJ65" s="546">
        <f t="shared" si="144"/>
        <v>0</v>
      </c>
    </row>
    <row r="66" spans="1:36">
      <c r="A66" s="25">
        <v>80.05</v>
      </c>
      <c r="B66" s="17" t="s">
        <v>59</v>
      </c>
      <c r="C66" s="537">
        <f>'PMOC BY Risk Profile Values'!C66</f>
        <v>0</v>
      </c>
      <c r="D66" s="543">
        <v>0</v>
      </c>
      <c r="E66" s="543">
        <v>0</v>
      </c>
      <c r="F66" s="543">
        <v>0</v>
      </c>
      <c r="G66" s="541">
        <f t="shared" si="132"/>
        <v>0</v>
      </c>
      <c r="H66" s="542">
        <f t="shared" si="133"/>
        <v>0</v>
      </c>
      <c r="I66" s="563"/>
      <c r="J66" s="537">
        <f>'PMOC BY Risk Profile Values'!E66</f>
        <v>0</v>
      </c>
      <c r="K66" s="543">
        <v>0</v>
      </c>
      <c r="L66" s="543">
        <v>0</v>
      </c>
      <c r="M66" s="543">
        <v>0</v>
      </c>
      <c r="N66" s="541">
        <f t="shared" si="134"/>
        <v>0</v>
      </c>
      <c r="O66" s="542">
        <f t="shared" si="135"/>
        <v>0</v>
      </c>
      <c r="P66" s="563"/>
      <c r="Q66" s="537">
        <f>'PMOC BY Risk Profile Values'!G66</f>
        <v>0</v>
      </c>
      <c r="R66" s="543">
        <v>0</v>
      </c>
      <c r="S66" s="543">
        <v>0</v>
      </c>
      <c r="T66" s="543">
        <v>0</v>
      </c>
      <c r="U66" s="541">
        <f t="shared" si="136"/>
        <v>0</v>
      </c>
      <c r="V66" s="542">
        <f t="shared" si="137"/>
        <v>0</v>
      </c>
      <c r="W66" s="563"/>
      <c r="X66" s="537">
        <f>'PMOC BY Risk Profile Values'!I66</f>
        <v>0</v>
      </c>
      <c r="Y66" s="543">
        <v>0</v>
      </c>
      <c r="Z66" s="543">
        <v>0</v>
      </c>
      <c r="AA66" s="543">
        <v>0</v>
      </c>
      <c r="AB66" s="541">
        <f t="shared" si="138"/>
        <v>0</v>
      </c>
      <c r="AC66" s="542">
        <f t="shared" si="139"/>
        <v>0</v>
      </c>
      <c r="AD66" s="563"/>
      <c r="AE66" s="544">
        <f t="shared" si="140"/>
        <v>0</v>
      </c>
      <c r="AF66" s="545">
        <f t="shared" si="141"/>
        <v>0</v>
      </c>
      <c r="AG66" s="545">
        <f t="shared" si="142"/>
        <v>0</v>
      </c>
      <c r="AH66" s="545">
        <f t="shared" si="142"/>
        <v>0</v>
      </c>
      <c r="AI66" s="545">
        <f t="shared" si="143"/>
        <v>0</v>
      </c>
      <c r="AJ66" s="546">
        <f t="shared" si="144"/>
        <v>0</v>
      </c>
    </row>
    <row r="67" spans="1:36">
      <c r="A67" s="25">
        <v>80.06</v>
      </c>
      <c r="B67" s="17" t="s">
        <v>60</v>
      </c>
      <c r="C67" s="537">
        <f>'PMOC BY Risk Profile Values'!C67</f>
        <v>0</v>
      </c>
      <c r="D67" s="543">
        <v>0</v>
      </c>
      <c r="E67" s="543">
        <v>0</v>
      </c>
      <c r="F67" s="543">
        <v>0</v>
      </c>
      <c r="G67" s="541">
        <f t="shared" si="132"/>
        <v>0</v>
      </c>
      <c r="H67" s="542">
        <f t="shared" si="133"/>
        <v>0</v>
      </c>
      <c r="I67" s="563"/>
      <c r="J67" s="537">
        <f>'PMOC BY Risk Profile Values'!E67</f>
        <v>0</v>
      </c>
      <c r="K67" s="543">
        <v>0</v>
      </c>
      <c r="L67" s="543">
        <v>0</v>
      </c>
      <c r="M67" s="543">
        <v>0</v>
      </c>
      <c r="N67" s="541">
        <f t="shared" si="134"/>
        <v>0</v>
      </c>
      <c r="O67" s="542">
        <f t="shared" si="135"/>
        <v>0</v>
      </c>
      <c r="P67" s="563"/>
      <c r="Q67" s="537">
        <f>'PMOC BY Risk Profile Values'!G67</f>
        <v>0</v>
      </c>
      <c r="R67" s="543">
        <v>0</v>
      </c>
      <c r="S67" s="543">
        <v>0</v>
      </c>
      <c r="T67" s="543">
        <v>0</v>
      </c>
      <c r="U67" s="541">
        <f t="shared" si="136"/>
        <v>0</v>
      </c>
      <c r="V67" s="542">
        <f t="shared" si="137"/>
        <v>0</v>
      </c>
      <c r="W67" s="563"/>
      <c r="X67" s="537">
        <f>'PMOC BY Risk Profile Values'!I67</f>
        <v>0</v>
      </c>
      <c r="Y67" s="543">
        <v>0</v>
      </c>
      <c r="Z67" s="543">
        <v>0</v>
      </c>
      <c r="AA67" s="543">
        <v>0</v>
      </c>
      <c r="AB67" s="541">
        <f t="shared" si="138"/>
        <v>0</v>
      </c>
      <c r="AC67" s="542">
        <f t="shared" si="139"/>
        <v>0</v>
      </c>
      <c r="AD67" s="563"/>
      <c r="AE67" s="544">
        <f t="shared" si="140"/>
        <v>0</v>
      </c>
      <c r="AF67" s="545">
        <f t="shared" si="141"/>
        <v>0</v>
      </c>
      <c r="AG67" s="545">
        <f t="shared" si="142"/>
        <v>0</v>
      </c>
      <c r="AH67" s="545">
        <f t="shared" si="142"/>
        <v>0</v>
      </c>
      <c r="AI67" s="545">
        <f t="shared" si="143"/>
        <v>0</v>
      </c>
      <c r="AJ67" s="546">
        <f t="shared" si="144"/>
        <v>0</v>
      </c>
    </row>
    <row r="68" spans="1:36">
      <c r="A68" s="25">
        <v>80.069999999999993</v>
      </c>
      <c r="B68" s="17" t="s">
        <v>61</v>
      </c>
      <c r="C68" s="537">
        <f>'PMOC BY Risk Profile Values'!C68</f>
        <v>0</v>
      </c>
      <c r="D68" s="543">
        <v>0</v>
      </c>
      <c r="E68" s="543">
        <v>0</v>
      </c>
      <c r="F68" s="543">
        <v>0</v>
      </c>
      <c r="G68" s="541">
        <f t="shared" si="132"/>
        <v>0</v>
      </c>
      <c r="H68" s="542">
        <f t="shared" si="133"/>
        <v>0</v>
      </c>
      <c r="I68" s="563"/>
      <c r="J68" s="537">
        <f>'PMOC BY Risk Profile Values'!E68</f>
        <v>0</v>
      </c>
      <c r="K68" s="543">
        <v>0</v>
      </c>
      <c r="L68" s="543">
        <v>0</v>
      </c>
      <c r="M68" s="543">
        <v>0</v>
      </c>
      <c r="N68" s="541">
        <f t="shared" si="134"/>
        <v>0</v>
      </c>
      <c r="O68" s="542">
        <f t="shared" si="135"/>
        <v>0</v>
      </c>
      <c r="P68" s="563"/>
      <c r="Q68" s="537">
        <f>'PMOC BY Risk Profile Values'!G68</f>
        <v>0</v>
      </c>
      <c r="R68" s="543">
        <v>0</v>
      </c>
      <c r="S68" s="543">
        <v>0</v>
      </c>
      <c r="T68" s="543">
        <v>0</v>
      </c>
      <c r="U68" s="541">
        <f t="shared" si="136"/>
        <v>0</v>
      </c>
      <c r="V68" s="542">
        <f t="shared" si="137"/>
        <v>0</v>
      </c>
      <c r="W68" s="563"/>
      <c r="X68" s="537">
        <f>'PMOC BY Risk Profile Values'!I68</f>
        <v>0</v>
      </c>
      <c r="Y68" s="543">
        <v>0</v>
      </c>
      <c r="Z68" s="543">
        <v>0</v>
      </c>
      <c r="AA68" s="543">
        <v>0</v>
      </c>
      <c r="AB68" s="541">
        <f t="shared" si="138"/>
        <v>0</v>
      </c>
      <c r="AC68" s="542">
        <f t="shared" si="139"/>
        <v>0</v>
      </c>
      <c r="AD68" s="563"/>
      <c r="AE68" s="544">
        <f t="shared" si="140"/>
        <v>0</v>
      </c>
      <c r="AF68" s="545">
        <f t="shared" si="141"/>
        <v>0</v>
      </c>
      <c r="AG68" s="545">
        <f t="shared" si="142"/>
        <v>0</v>
      </c>
      <c r="AH68" s="545">
        <f t="shared" si="142"/>
        <v>0</v>
      </c>
      <c r="AI68" s="545">
        <f t="shared" si="143"/>
        <v>0</v>
      </c>
      <c r="AJ68" s="546">
        <f t="shared" si="144"/>
        <v>0</v>
      </c>
    </row>
    <row r="69" spans="1:36" ht="13.5" thickBot="1">
      <c r="A69" s="25">
        <v>80.08</v>
      </c>
      <c r="B69" s="17" t="s">
        <v>62</v>
      </c>
      <c r="C69" s="537">
        <f>'PMOC BY Risk Profile Values'!C69</f>
        <v>0</v>
      </c>
      <c r="D69" s="550">
        <v>0</v>
      </c>
      <c r="E69" s="550">
        <v>0</v>
      </c>
      <c r="F69" s="550">
        <v>0</v>
      </c>
      <c r="G69" s="541">
        <f t="shared" si="132"/>
        <v>0</v>
      </c>
      <c r="H69" s="542">
        <f t="shared" si="133"/>
        <v>0</v>
      </c>
      <c r="I69" s="563"/>
      <c r="J69" s="537">
        <f>'PMOC BY Risk Profile Values'!E69</f>
        <v>0</v>
      </c>
      <c r="K69" s="550">
        <v>0</v>
      </c>
      <c r="L69" s="550">
        <v>0</v>
      </c>
      <c r="M69" s="550">
        <v>0</v>
      </c>
      <c r="N69" s="541">
        <f t="shared" si="134"/>
        <v>0</v>
      </c>
      <c r="O69" s="542">
        <f t="shared" si="135"/>
        <v>0</v>
      </c>
      <c r="P69" s="563"/>
      <c r="Q69" s="537">
        <f>'PMOC BY Risk Profile Values'!G69</f>
        <v>0</v>
      </c>
      <c r="R69" s="550">
        <v>0</v>
      </c>
      <c r="S69" s="550">
        <v>0</v>
      </c>
      <c r="T69" s="550">
        <v>0</v>
      </c>
      <c r="U69" s="541">
        <f t="shared" si="136"/>
        <v>0</v>
      </c>
      <c r="V69" s="542">
        <f t="shared" si="137"/>
        <v>0</v>
      </c>
      <c r="W69" s="563"/>
      <c r="X69" s="537">
        <f>'PMOC BY Risk Profile Values'!I69</f>
        <v>0</v>
      </c>
      <c r="Y69" s="550">
        <v>0</v>
      </c>
      <c r="Z69" s="550">
        <v>0</v>
      </c>
      <c r="AA69" s="550">
        <v>0</v>
      </c>
      <c r="AB69" s="541">
        <f t="shared" si="138"/>
        <v>0</v>
      </c>
      <c r="AC69" s="542">
        <f t="shared" si="139"/>
        <v>0</v>
      </c>
      <c r="AD69" s="563"/>
      <c r="AE69" s="544">
        <f t="shared" si="140"/>
        <v>0</v>
      </c>
      <c r="AF69" s="552">
        <f t="shared" si="141"/>
        <v>0</v>
      </c>
      <c r="AG69" s="552">
        <f t="shared" si="142"/>
        <v>0</v>
      </c>
      <c r="AH69" s="552">
        <f t="shared" si="142"/>
        <v>0</v>
      </c>
      <c r="AI69" s="545">
        <f t="shared" si="143"/>
        <v>0</v>
      </c>
      <c r="AJ69" s="546">
        <f t="shared" si="144"/>
        <v>0</v>
      </c>
    </row>
    <row r="70" spans="1:36" ht="15.75" thickBot="1">
      <c r="A70" s="1024" t="s">
        <v>176</v>
      </c>
      <c r="B70" s="1069"/>
      <c r="C70" s="560">
        <f>SUM(C49,C50,C53,C61)</f>
        <v>0</v>
      </c>
      <c r="D70" s="561">
        <f t="shared" ref="D70:H70" si="145">SUM(D49,D50,D53,D61)</f>
        <v>0</v>
      </c>
      <c r="E70" s="561">
        <f t="shared" si="145"/>
        <v>0</v>
      </c>
      <c r="F70" s="561">
        <f t="shared" si="145"/>
        <v>0</v>
      </c>
      <c r="G70" s="561">
        <f t="shared" si="145"/>
        <v>0</v>
      </c>
      <c r="H70" s="561">
        <f t="shared" si="145"/>
        <v>0</v>
      </c>
      <c r="I70" s="564"/>
      <c r="J70" s="560">
        <f>SUM(J49,J50,J53,J61)</f>
        <v>0</v>
      </c>
      <c r="K70" s="561">
        <f>SUM(K49,K50,K53,K61)</f>
        <v>0</v>
      </c>
      <c r="L70" s="561">
        <f t="shared" ref="L70:N70" si="146">SUM(L49,L50,L53,L61)</f>
        <v>0</v>
      </c>
      <c r="M70" s="561">
        <f t="shared" si="146"/>
        <v>0</v>
      </c>
      <c r="N70" s="561">
        <f t="shared" si="146"/>
        <v>0</v>
      </c>
      <c r="O70" s="561">
        <f>SUM(O49,O50,O53,O61)</f>
        <v>0</v>
      </c>
      <c r="P70" s="564"/>
      <c r="Q70" s="560">
        <f>SUM(Q49,Q50,Q53,Q61)</f>
        <v>0</v>
      </c>
      <c r="R70" s="561">
        <f>SUM(R49,R50,R53,R61)</f>
        <v>0</v>
      </c>
      <c r="S70" s="561">
        <f t="shared" ref="S70:U70" si="147">SUM(S49,S50,S53,S61)</f>
        <v>0</v>
      </c>
      <c r="T70" s="561">
        <f t="shared" si="147"/>
        <v>0</v>
      </c>
      <c r="U70" s="561">
        <f t="shared" si="147"/>
        <v>0</v>
      </c>
      <c r="V70" s="561">
        <f>SUM(V49,V50,V53,V61)</f>
        <v>0</v>
      </c>
      <c r="W70" s="564"/>
      <c r="X70" s="560">
        <f>SUM(X49,X50,X53,X61)</f>
        <v>0</v>
      </c>
      <c r="Y70" s="561">
        <f>SUM(Y49,Y50,Y53,Y61)</f>
        <v>0</v>
      </c>
      <c r="Z70" s="561">
        <f t="shared" ref="Z70:AB70" si="148">SUM(Z49,Z50,Z53,Z61)</f>
        <v>0</v>
      </c>
      <c r="AA70" s="561">
        <f t="shared" si="148"/>
        <v>0</v>
      </c>
      <c r="AB70" s="561">
        <f t="shared" si="148"/>
        <v>0</v>
      </c>
      <c r="AC70" s="561">
        <f>SUM(AC49,AC50,AC53,AC61)</f>
        <v>0</v>
      </c>
      <c r="AD70" s="564"/>
      <c r="AE70" s="560">
        <f>SUM(AE49,AE50,AE53,AE61)</f>
        <v>0</v>
      </c>
      <c r="AF70" s="561">
        <f>SUM(AF49,AF50,AF53,AF61)</f>
        <v>0</v>
      </c>
      <c r="AG70" s="561">
        <f t="shared" ref="AG70:AH70" si="149">SUM(AG49,AG50,AG53,AG61)</f>
        <v>0</v>
      </c>
      <c r="AH70" s="561">
        <f t="shared" si="149"/>
        <v>0</v>
      </c>
      <c r="AI70" s="561">
        <f>SUM(AI49,AI50,AI53,AI61)</f>
        <v>0</v>
      </c>
      <c r="AJ70" s="562">
        <f>SUM(AJ49,AJ50,AJ53,AJ61)</f>
        <v>0</v>
      </c>
    </row>
    <row r="71" spans="1:36" ht="13.5" thickTop="1">
      <c r="P71" s="259"/>
      <c r="W71" s="259"/>
    </row>
  </sheetData>
  <sheetProtection algorithmName="SHA-512" hashValue="ET0Hga+HVho/KSfVnl9qRrxrFvmZtPOXxpJs375zTaXBOqaqibCrLTtDYWnp51QqyU+VbFAZmm/MaScpVrsBlw==" saltValue="sRDmzE8PIAWR/4sJhQqVng==" spinCount="100000" sheet="1" scenarios="1" formatCells="0" formatColumns="0" formatRows="0"/>
  <mergeCells count="14">
    <mergeCell ref="A1:B1"/>
    <mergeCell ref="A49:B49"/>
    <mergeCell ref="C2:H2"/>
    <mergeCell ref="A70:B70"/>
    <mergeCell ref="X2:AC2"/>
    <mergeCell ref="AE2:AJ2"/>
    <mergeCell ref="J2:O2"/>
    <mergeCell ref="Q2:V2"/>
    <mergeCell ref="A3:B3"/>
    <mergeCell ref="A2:B2"/>
    <mergeCell ref="I2:I3"/>
    <mergeCell ref="P2:P3"/>
    <mergeCell ref="W2:W3"/>
    <mergeCell ref="AD2:AD3"/>
  </mergeCells>
  <pageMargins left="0.7" right="0.7" top="0.75" bottom="0.75" header="0.3" footer="0.3"/>
  <pageSetup orientation="portrait" horizontalDpi="0" verticalDpi="0"/>
  <ignoredErrors>
    <ignoredError sqref="C5:C69 J18 AC5:AF17 Q5:S18 X19:X25 X27:X31 X33:X40 X42:X48 X51:X52 X54:X60 AE19:AF25 AE27:AF31 AE33:AF40 AE42:AF48 AE51:AF52 AE54:AF60 AC62:AF69 V62:Z69 V5:Z17 Q20:S35 Q19 S19 Q37:S69 Q36 S36 J26 J32 J41 J49:J50 J53 J61" unlockedFormula="1"/>
    <ignoredError sqref="O18 O41 O53 O61" formula="1"/>
    <ignoredError sqref="V19:W25 AC19:AD25 W27:W31 AD27:AD31 V33:W40 AC33:AD37 V42:W48 AC42:AD48 V51:W52 AC51:AD52 V54:W60 AC54:AD60 V61:X61 V53:X53 V49:X50 V41:X41 V32:X32 V26 V18:X18 AI61:AJ61 AI53:AJ53 AI49:AJ50 AI41:AJ41 AI32:AJ32 AI26:AJ26 AI18:AJ18 Y18:Z18 AC18:AG18 AC26:AG26 AC32:AG32 AC41:AG41 AC49:AG50 AC53:AG53 AC61:AG61 Y20:Z61 Z19 X26 AC39:AD40 AC38" formula="1" unlockedFormula="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4C08-4D96-A441-A312-66243522BEA1}">
  <sheetPr codeName="Sheet15">
    <tabColor theme="6" tint="-0.249977111117893"/>
  </sheetPr>
  <dimension ref="A1:Y79"/>
  <sheetViews>
    <sheetView zoomScale="85" zoomScaleNormal="85" workbookViewId="0">
      <selection activeCell="D16" sqref="D16"/>
    </sheetView>
  </sheetViews>
  <sheetFormatPr defaultColWidth="11.42578125" defaultRowHeight="12.75"/>
  <cols>
    <col min="2" max="2" width="53" customWidth="1"/>
    <col min="22" max="22" width="12.85546875" bestFit="1" customWidth="1"/>
  </cols>
  <sheetData>
    <row r="1" spans="1:21" s="7" customFormat="1" ht="216.6" customHeight="1" thickBot="1">
      <c r="A1" s="1072" t="s">
        <v>545</v>
      </c>
      <c r="B1" s="1073"/>
      <c r="C1" s="1073"/>
      <c r="D1" s="1073"/>
      <c r="E1" s="1073"/>
      <c r="F1" s="1073"/>
      <c r="G1" s="1073"/>
      <c r="H1" s="1073"/>
      <c r="I1"/>
      <c r="J1"/>
      <c r="K1"/>
      <c r="L1"/>
      <c r="M1"/>
      <c r="N1"/>
      <c r="O1"/>
      <c r="P1"/>
      <c r="Q1"/>
      <c r="R1"/>
      <c r="S1"/>
      <c r="T1"/>
      <c r="U1"/>
    </row>
    <row r="2" spans="1:21" ht="42.75">
      <c r="A2" s="232"/>
      <c r="B2" s="28"/>
      <c r="C2" s="233" t="s">
        <v>315</v>
      </c>
    </row>
    <row r="3" spans="1:21" ht="14.25">
      <c r="A3" s="1036" t="s">
        <v>278</v>
      </c>
      <c r="B3" s="1037"/>
      <c r="C3" s="620">
        <f>'Sponsor SCC Inflation'!C3</f>
        <v>0</v>
      </c>
      <c r="D3" s="4"/>
      <c r="E3" s="4"/>
    </row>
    <row r="4" spans="1:21" ht="14.25">
      <c r="A4" s="1036" t="s">
        <v>277</v>
      </c>
      <c r="B4" s="1037"/>
      <c r="C4" s="620">
        <f>'Sponsor SCC Inflation'!C4</f>
        <v>0</v>
      </c>
      <c r="D4" s="4"/>
      <c r="E4" s="4"/>
    </row>
    <row r="5" spans="1:21" ht="14.25">
      <c r="A5" s="1036" t="s">
        <v>168</v>
      </c>
      <c r="B5" s="1037"/>
      <c r="C5" s="620">
        <f>'Sponsor SCC Inflation'!C5</f>
        <v>0</v>
      </c>
      <c r="D5" s="4"/>
      <c r="E5" s="4"/>
    </row>
    <row r="6" spans="1:21" ht="14.25">
      <c r="A6" s="1036" t="s">
        <v>169</v>
      </c>
      <c r="B6" s="1037"/>
      <c r="C6" s="620">
        <f>'Sponsor SCC Inflation'!C6</f>
        <v>0</v>
      </c>
      <c r="D6" s="4"/>
      <c r="E6" s="4"/>
    </row>
    <row r="7" spans="1:21" ht="14.25">
      <c r="A7" s="1036" t="s">
        <v>170</v>
      </c>
      <c r="B7" s="1037"/>
      <c r="C7" s="620">
        <f>'Sponsor SCC Inflation'!C7</f>
        <v>0</v>
      </c>
      <c r="D7" s="4"/>
      <c r="E7" s="4"/>
    </row>
    <row r="8" spans="1:21" ht="14.25">
      <c r="A8" s="1036" t="s">
        <v>172</v>
      </c>
      <c r="B8" s="1037"/>
      <c r="C8" s="620">
        <f>'Sponsor SCC Inflation'!C8</f>
        <v>0</v>
      </c>
      <c r="D8" s="4"/>
      <c r="E8" s="4"/>
    </row>
    <row r="9" spans="1:21" ht="14.25">
      <c r="A9" s="1036" t="s">
        <v>279</v>
      </c>
      <c r="B9" s="1037"/>
      <c r="C9" s="620">
        <f>'Sponsor SCC Inflation'!C9</f>
        <v>0</v>
      </c>
      <c r="D9" s="4"/>
      <c r="E9" s="4"/>
    </row>
    <row r="10" spans="1:21" ht="14.25">
      <c r="A10" s="1036" t="s">
        <v>280</v>
      </c>
      <c r="B10" s="1037"/>
      <c r="C10" s="620">
        <f>'Sponsor SCC Inflation'!C10</f>
        <v>0</v>
      </c>
      <c r="D10" s="4"/>
      <c r="E10" s="4"/>
    </row>
    <row r="11" spans="1:21" ht="14.25">
      <c r="A11" s="1036" t="s">
        <v>177</v>
      </c>
      <c r="B11" s="1037"/>
      <c r="C11" s="620">
        <f>'Sponsor SCC Inflation'!C11</f>
        <v>0</v>
      </c>
      <c r="D11" s="4"/>
      <c r="E11" s="4"/>
    </row>
    <row r="12" spans="1:21" ht="14.25">
      <c r="A12" s="31" t="s">
        <v>179</v>
      </c>
      <c r="B12" s="30"/>
      <c r="C12" s="620">
        <f>'Sponsor SCC Inflation'!C12</f>
        <v>0</v>
      </c>
      <c r="D12" s="4"/>
      <c r="E12" s="4"/>
    </row>
    <row r="13" spans="1:21" ht="15.75" thickBot="1">
      <c r="A13" s="1034" t="s">
        <v>180</v>
      </c>
      <c r="B13" s="1035"/>
      <c r="C13" s="525">
        <f>SUM(C3:C12)</f>
        <v>0</v>
      </c>
      <c r="D13" s="4"/>
      <c r="E13" s="4"/>
    </row>
    <row r="14" spans="1:21">
      <c r="C14" s="4"/>
      <c r="D14" s="4"/>
      <c r="E14" s="4"/>
    </row>
    <row r="15" spans="1:21" ht="42.75">
      <c r="A15" s="32" t="s">
        <v>190</v>
      </c>
      <c r="B15" s="29"/>
      <c r="C15" s="621" t="s">
        <v>316</v>
      </c>
      <c r="D15" s="622" t="s">
        <v>317</v>
      </c>
      <c r="E15" s="4"/>
    </row>
    <row r="16" spans="1:21" ht="14.25">
      <c r="A16" s="1036" t="s">
        <v>278</v>
      </c>
      <c r="B16" s="1037"/>
      <c r="C16" s="623">
        <f>'Sponsor SCC Inflation'!C16</f>
        <v>0</v>
      </c>
      <c r="D16" s="619">
        <v>0</v>
      </c>
    </row>
    <row r="17" spans="1:5" ht="14.25">
      <c r="A17" s="1036" t="s">
        <v>277</v>
      </c>
      <c r="B17" s="1037"/>
      <c r="C17" s="623">
        <f>'Sponsor SCC Inflation'!C17</f>
        <v>0</v>
      </c>
      <c r="D17" s="619">
        <v>0</v>
      </c>
    </row>
    <row r="18" spans="1:5" ht="14.25">
      <c r="A18" s="1036" t="s">
        <v>168</v>
      </c>
      <c r="B18" s="1037"/>
      <c r="C18" s="623">
        <f>'Sponsor SCC Inflation'!C18</f>
        <v>0</v>
      </c>
      <c r="D18" s="619">
        <v>0</v>
      </c>
    </row>
    <row r="19" spans="1:5" ht="14.25">
      <c r="A19" s="1036" t="s">
        <v>169</v>
      </c>
      <c r="B19" s="1037"/>
      <c r="C19" s="623">
        <f>'Sponsor SCC Inflation'!C19</f>
        <v>0</v>
      </c>
      <c r="D19" s="619">
        <v>0</v>
      </c>
    </row>
    <row r="20" spans="1:5" ht="14.25">
      <c r="A20" s="1036" t="s">
        <v>170</v>
      </c>
      <c r="B20" s="1037"/>
      <c r="C20" s="623">
        <f>'Sponsor SCC Inflation'!C20</f>
        <v>0</v>
      </c>
      <c r="D20" s="619">
        <v>0</v>
      </c>
    </row>
    <row r="21" spans="1:5" ht="14.25">
      <c r="A21" s="1036" t="s">
        <v>172</v>
      </c>
      <c r="B21" s="1037"/>
      <c r="C21" s="623">
        <f>'Sponsor SCC Inflation'!C21</f>
        <v>0</v>
      </c>
      <c r="D21" s="619">
        <v>0</v>
      </c>
    </row>
    <row r="22" spans="1:5" ht="14.25">
      <c r="A22" s="1036" t="s">
        <v>279</v>
      </c>
      <c r="B22" s="1037"/>
      <c r="C22" s="623">
        <f>'Sponsor SCC Inflation'!C22</f>
        <v>0</v>
      </c>
      <c r="D22" s="619">
        <v>0</v>
      </c>
    </row>
    <row r="23" spans="1:5" ht="14.25">
      <c r="A23" s="1036" t="s">
        <v>280</v>
      </c>
      <c r="B23" s="1037"/>
      <c r="C23" s="623">
        <f>'Sponsor SCC Inflation'!C23</f>
        <v>0</v>
      </c>
      <c r="D23" s="619">
        <v>0</v>
      </c>
      <c r="E23" s="4"/>
    </row>
    <row r="24" spans="1:5" ht="14.25">
      <c r="A24" s="1036" t="s">
        <v>177</v>
      </c>
      <c r="B24" s="1037"/>
      <c r="C24" s="623">
        <f>'Sponsor SCC Inflation'!C24</f>
        <v>0</v>
      </c>
      <c r="D24" s="619">
        <v>0</v>
      </c>
      <c r="E24" s="4"/>
    </row>
    <row r="25" spans="1:5" ht="14.25">
      <c r="A25" s="31" t="s">
        <v>179</v>
      </c>
      <c r="B25" s="30"/>
      <c r="C25" s="623">
        <f>'Sponsor SCC Inflation'!C25</f>
        <v>0</v>
      </c>
      <c r="D25" s="619">
        <v>0</v>
      </c>
      <c r="E25" s="4"/>
    </row>
    <row r="26" spans="1:5" ht="15.75" thickBot="1">
      <c r="A26" s="1034" t="s">
        <v>180</v>
      </c>
      <c r="B26" s="1035"/>
      <c r="C26" s="624">
        <f>SUM(C16:C25)</f>
        <v>0</v>
      </c>
      <c r="D26" s="525">
        <f t="shared" ref="D26" si="0">SUM(D16:D25)</f>
        <v>0</v>
      </c>
      <c r="E26" s="4"/>
    </row>
    <row r="27" spans="1:5" ht="13.5" thickBot="1">
      <c r="C27" s="4"/>
      <c r="D27" s="4"/>
      <c r="E27" s="4"/>
    </row>
    <row r="28" spans="1:5" ht="14.1" customHeight="1">
      <c r="A28" s="1070" t="s">
        <v>191</v>
      </c>
      <c r="B28" s="1071"/>
      <c r="C28" s="625" t="s">
        <v>152</v>
      </c>
      <c r="D28" s="625" t="s">
        <v>313</v>
      </c>
      <c r="E28" s="626" t="s">
        <v>314</v>
      </c>
    </row>
    <row r="29" spans="1:5" ht="15">
      <c r="A29" s="1036" t="s">
        <v>278</v>
      </c>
      <c r="B29" s="1037"/>
      <c r="C29" s="627">
        <f>'Sponsor SCC Inflation'!C29</f>
        <v>0</v>
      </c>
      <c r="D29" s="627">
        <f t="shared" ref="D29:D39" si="1">IF(C3,D16/C3,0)</f>
        <v>0</v>
      </c>
      <c r="E29" s="628">
        <f t="shared" ref="E29:E39" si="2">D29-C29</f>
        <v>0</v>
      </c>
    </row>
    <row r="30" spans="1:5" ht="15">
      <c r="A30" s="1036" t="s">
        <v>277</v>
      </c>
      <c r="B30" s="1037"/>
      <c r="C30" s="627">
        <f>'Sponsor SCC Inflation'!C30</f>
        <v>0</v>
      </c>
      <c r="D30" s="627">
        <f t="shared" si="1"/>
        <v>0</v>
      </c>
      <c r="E30" s="628">
        <f t="shared" si="2"/>
        <v>0</v>
      </c>
    </row>
    <row r="31" spans="1:5" ht="15">
      <c r="A31" s="1036" t="s">
        <v>168</v>
      </c>
      <c r="B31" s="1037"/>
      <c r="C31" s="627">
        <f>'Sponsor SCC Inflation'!C31</f>
        <v>0</v>
      </c>
      <c r="D31" s="627">
        <f t="shared" si="1"/>
        <v>0</v>
      </c>
      <c r="E31" s="628">
        <f t="shared" si="2"/>
        <v>0</v>
      </c>
    </row>
    <row r="32" spans="1:5" ht="15">
      <c r="A32" s="1036" t="s">
        <v>169</v>
      </c>
      <c r="B32" s="1037"/>
      <c r="C32" s="627">
        <f>'Sponsor SCC Inflation'!C32</f>
        <v>0</v>
      </c>
      <c r="D32" s="627">
        <f t="shared" si="1"/>
        <v>0</v>
      </c>
      <c r="E32" s="628">
        <f t="shared" si="2"/>
        <v>0</v>
      </c>
    </row>
    <row r="33" spans="1:5" ht="15">
      <c r="A33" s="1036" t="s">
        <v>170</v>
      </c>
      <c r="B33" s="1037"/>
      <c r="C33" s="627">
        <f>'Sponsor SCC Inflation'!C33</f>
        <v>0</v>
      </c>
      <c r="D33" s="627">
        <f t="shared" si="1"/>
        <v>0</v>
      </c>
      <c r="E33" s="628">
        <f t="shared" si="2"/>
        <v>0</v>
      </c>
    </row>
    <row r="34" spans="1:5" ht="15">
      <c r="A34" s="1036" t="s">
        <v>172</v>
      </c>
      <c r="B34" s="1037"/>
      <c r="C34" s="627">
        <f>'Sponsor SCC Inflation'!C34</f>
        <v>0</v>
      </c>
      <c r="D34" s="627">
        <f t="shared" si="1"/>
        <v>0</v>
      </c>
      <c r="E34" s="628">
        <f t="shared" si="2"/>
        <v>0</v>
      </c>
    </row>
    <row r="35" spans="1:5" ht="15">
      <c r="A35" s="1036" t="s">
        <v>279</v>
      </c>
      <c r="B35" s="1037"/>
      <c r="C35" s="627">
        <f>'Sponsor SCC Inflation'!C35</f>
        <v>0</v>
      </c>
      <c r="D35" s="627">
        <f t="shared" si="1"/>
        <v>0</v>
      </c>
      <c r="E35" s="628">
        <f t="shared" si="2"/>
        <v>0</v>
      </c>
    </row>
    <row r="36" spans="1:5" ht="15">
      <c r="A36" s="1036" t="s">
        <v>280</v>
      </c>
      <c r="B36" s="1037"/>
      <c r="C36" s="627">
        <f>'Sponsor SCC Inflation'!C36</f>
        <v>0</v>
      </c>
      <c r="D36" s="627">
        <f t="shared" si="1"/>
        <v>0</v>
      </c>
      <c r="E36" s="628">
        <f t="shared" si="2"/>
        <v>0</v>
      </c>
    </row>
    <row r="37" spans="1:5" ht="15">
      <c r="A37" s="1036" t="s">
        <v>177</v>
      </c>
      <c r="B37" s="1037"/>
      <c r="C37" s="627">
        <f>'Sponsor SCC Inflation'!C37</f>
        <v>0</v>
      </c>
      <c r="D37" s="627">
        <f t="shared" si="1"/>
        <v>0</v>
      </c>
      <c r="E37" s="628">
        <f t="shared" si="2"/>
        <v>0</v>
      </c>
    </row>
    <row r="38" spans="1:5" ht="15">
      <c r="A38" s="31" t="s">
        <v>179</v>
      </c>
      <c r="B38" s="30"/>
      <c r="C38" s="627">
        <f>'Sponsor SCC Inflation'!C38</f>
        <v>0</v>
      </c>
      <c r="D38" s="627">
        <f t="shared" si="1"/>
        <v>0</v>
      </c>
      <c r="E38" s="628">
        <f t="shared" si="2"/>
        <v>0</v>
      </c>
    </row>
    <row r="39" spans="1:5" ht="15.75" thickBot="1">
      <c r="A39" s="1034" t="s">
        <v>180</v>
      </c>
      <c r="B39" s="1035"/>
      <c r="C39" s="629">
        <f>'Sponsor SCC Inflation'!C39</f>
        <v>0</v>
      </c>
      <c r="D39" s="627">
        <f t="shared" si="1"/>
        <v>0</v>
      </c>
      <c r="E39" s="630">
        <f t="shared" si="2"/>
        <v>0</v>
      </c>
    </row>
    <row r="64" spans="25:25">
      <c r="Y64" s="4"/>
    </row>
    <row r="71" spans="1:5" ht="12.95" customHeight="1"/>
    <row r="73" spans="1:5" ht="12.95" customHeight="1"/>
    <row r="74" spans="1:5" ht="12.95" customHeight="1"/>
    <row r="75" spans="1:5" ht="12.95" customHeight="1">
      <c r="A75" s="6"/>
      <c r="B75" s="6"/>
      <c r="C75" s="6"/>
      <c r="D75" s="6"/>
      <c r="E75" s="6"/>
    </row>
    <row r="76" spans="1:5" ht="12.95" customHeight="1">
      <c r="A76" s="6"/>
      <c r="B76" s="6"/>
      <c r="C76" s="6"/>
      <c r="D76" s="6"/>
      <c r="E76" s="6"/>
    </row>
    <row r="77" spans="1:5" ht="12.95" customHeight="1">
      <c r="A77" s="6"/>
      <c r="B77" s="6"/>
      <c r="C77" s="6"/>
      <c r="D77" s="6"/>
      <c r="E77" s="6"/>
    </row>
    <row r="78" spans="1:5" ht="12.95" customHeight="1">
      <c r="A78" s="6"/>
      <c r="B78" s="6"/>
      <c r="C78" s="6"/>
      <c r="D78" s="6"/>
      <c r="E78" s="6"/>
    </row>
    <row r="79" spans="1:5">
      <c r="A79" s="6"/>
      <c r="B79" s="6"/>
      <c r="C79" s="6"/>
      <c r="D79" s="6"/>
      <c r="E79" s="6"/>
    </row>
  </sheetData>
  <sheetProtection algorithmName="SHA-512" hashValue="B2zDejNi+qZEYYe9vezmUxqieWDX6IjKNrAwqV1x4d6Of9WLYZB8Tm973s35BaXJSDeZJXf+0BgzjMyjT9x0Hw==" saltValue="tuuKGS5fKj9L1RZ9xwiZ+w==" spinCount="100000" sheet="1" formatCells="0" formatColumns="0" formatRows="0"/>
  <mergeCells count="32">
    <mergeCell ref="A1:H1"/>
    <mergeCell ref="A21:B21"/>
    <mergeCell ref="A8:B8"/>
    <mergeCell ref="A9:B9"/>
    <mergeCell ref="A10:B10"/>
    <mergeCell ref="A11:B11"/>
    <mergeCell ref="A13:B13"/>
    <mergeCell ref="A16:B16"/>
    <mergeCell ref="A17:B17"/>
    <mergeCell ref="A18:B18"/>
    <mergeCell ref="A19:B19"/>
    <mergeCell ref="A20:B20"/>
    <mergeCell ref="A7:B7"/>
    <mergeCell ref="A3:B3"/>
    <mergeCell ref="A4:B4"/>
    <mergeCell ref="A5:B5"/>
    <mergeCell ref="A22:B22"/>
    <mergeCell ref="A23:B23"/>
    <mergeCell ref="A24:B24"/>
    <mergeCell ref="A26:B26"/>
    <mergeCell ref="A6:B6"/>
    <mergeCell ref="A29:B29"/>
    <mergeCell ref="A36:B36"/>
    <mergeCell ref="A37:B37"/>
    <mergeCell ref="A39:B39"/>
    <mergeCell ref="A28:B28"/>
    <mergeCell ref="A30:B30"/>
    <mergeCell ref="A31:B31"/>
    <mergeCell ref="A32:B32"/>
    <mergeCell ref="A33:B33"/>
    <mergeCell ref="A34:B34"/>
    <mergeCell ref="A35:B35"/>
  </mergeCells>
  <pageMargins left="0.7" right="0.7" top="0.75" bottom="0.75" header="0.3" footer="0.3"/>
  <pageSetup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EB61-D4F3-2843-B220-3498FD1AFFE8}">
  <sheetPr codeName="Sheet16">
    <tabColor theme="6" tint="-0.249977111117893"/>
  </sheetPr>
  <dimension ref="A1:AP70"/>
  <sheetViews>
    <sheetView zoomScaleNormal="100" workbookViewId="0">
      <pane xSplit="4" ySplit="3" topLeftCell="E4" activePane="bottomRight" state="frozen"/>
      <selection pane="topRight" activeCell="E1" sqref="E1"/>
      <selection pane="bottomLeft" activeCell="A4" sqref="A4"/>
      <selection pane="bottomRight" sqref="A1:D1"/>
    </sheetView>
  </sheetViews>
  <sheetFormatPr defaultColWidth="11.42578125" defaultRowHeight="12.75"/>
  <cols>
    <col min="1" max="1" width="9.42578125" style="235" bestFit="1" customWidth="1"/>
    <col min="2" max="2" width="58.85546875" style="235" customWidth="1"/>
    <col min="3" max="3" width="11.42578125" style="235" customWidth="1"/>
    <col min="4" max="4" width="3" style="235" customWidth="1"/>
    <col min="5" max="11" width="10.85546875" style="235" customWidth="1"/>
    <col min="12" max="12" width="3" style="235" customWidth="1"/>
    <col min="13" max="19" width="10.85546875" style="235" customWidth="1"/>
    <col min="20" max="20" width="3" style="235" customWidth="1"/>
    <col min="21" max="27" width="10.85546875" style="235" customWidth="1"/>
    <col min="28" max="28" width="3" style="235" customWidth="1"/>
    <col min="29" max="35" width="10.85546875" style="235" customWidth="1"/>
    <col min="36" max="36" width="3" style="235" customWidth="1"/>
    <col min="37" max="39" width="10.85546875" style="235" customWidth="1"/>
    <col min="40" max="40" width="12" style="235" customWidth="1"/>
    <col min="41" max="42" width="10.85546875" style="235" customWidth="1"/>
    <col min="43" max="16384" width="11.42578125" style="235"/>
  </cols>
  <sheetData>
    <row r="1" spans="1:42" s="767" customFormat="1" ht="63.6" customHeight="1" thickBot="1">
      <c r="A1" s="1074" t="s">
        <v>547</v>
      </c>
      <c r="B1" s="1075"/>
      <c r="C1" s="1075"/>
      <c r="D1" s="107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5"/>
      <c r="AK1" s="765"/>
      <c r="AL1" s="765"/>
      <c r="AM1" s="765"/>
      <c r="AN1" s="765"/>
      <c r="AO1" s="765"/>
      <c r="AP1" s="766"/>
    </row>
    <row r="2" spans="1:42" s="245" customFormat="1" ht="24" customHeight="1" thickBot="1">
      <c r="A2" s="262"/>
      <c r="B2" s="263"/>
      <c r="C2" s="263"/>
      <c r="D2" s="251"/>
      <c r="E2" s="1082" t="s">
        <v>326</v>
      </c>
      <c r="F2" s="1083"/>
      <c r="G2" s="1083"/>
      <c r="H2" s="1083"/>
      <c r="I2" s="1083"/>
      <c r="J2" s="1083"/>
      <c r="K2" s="1084"/>
      <c r="L2" s="251"/>
      <c r="M2" s="1082" t="s">
        <v>327</v>
      </c>
      <c r="N2" s="1083" t="s">
        <v>201</v>
      </c>
      <c r="O2" s="1083"/>
      <c r="P2" s="1083"/>
      <c r="Q2" s="1083"/>
      <c r="R2" s="1083"/>
      <c r="S2" s="1084"/>
      <c r="T2" s="251"/>
      <c r="U2" s="1082" t="s">
        <v>328</v>
      </c>
      <c r="V2" s="1083" t="s">
        <v>202</v>
      </c>
      <c r="W2" s="1083"/>
      <c r="X2" s="1083"/>
      <c r="Y2" s="1083"/>
      <c r="Z2" s="1083"/>
      <c r="AA2" s="1084"/>
      <c r="AB2" s="251"/>
      <c r="AC2" s="1082" t="s">
        <v>329</v>
      </c>
      <c r="AD2" s="1083" t="s">
        <v>203</v>
      </c>
      <c r="AE2" s="1083"/>
      <c r="AF2" s="1083"/>
      <c r="AG2" s="1083"/>
      <c r="AH2" s="1083"/>
      <c r="AI2" s="1084"/>
      <c r="AJ2" s="251"/>
      <c r="AK2" s="1082" t="s">
        <v>213</v>
      </c>
      <c r="AL2" s="1083"/>
      <c r="AM2" s="1083"/>
      <c r="AN2" s="1083"/>
      <c r="AO2" s="1083"/>
      <c r="AP2" s="1084"/>
    </row>
    <row r="3" spans="1:42" ht="77.45" customHeight="1" thickBot="1">
      <c r="A3" s="264"/>
      <c r="B3" s="265"/>
      <c r="C3" s="266" t="s">
        <v>320</v>
      </c>
      <c r="D3" s="267"/>
      <c r="E3" s="270" t="s">
        <v>321</v>
      </c>
      <c r="F3" s="268" t="str">
        <f>'PMOC BY Adj'!$C3</f>
        <v>Sponsor SCC Values</v>
      </c>
      <c r="G3" s="268" t="str">
        <f>'PMOC BY Adj'!$D3</f>
        <v>Direct cost adjustments</v>
      </c>
      <c r="H3" s="268" t="str">
        <f>'PMOC BY Adj'!$E3</f>
        <v>Time-related direct cost adjustments
(not inflation)</v>
      </c>
      <c r="I3" s="268" t="str">
        <f>'PMOC BY Adj'!$F3</f>
        <v>Latent Contingency Deductions (negative)</v>
      </c>
      <c r="J3" s="268" t="str">
        <f>'PMOC BY Adj'!$G3</f>
        <v>Total adjustment</v>
      </c>
      <c r="K3" s="269" t="str">
        <f>'PMOC BY Adj'!$H3</f>
        <v>PMOC Adjusted Estimate</v>
      </c>
      <c r="L3" s="267"/>
      <c r="M3" s="270" t="s">
        <v>321</v>
      </c>
      <c r="N3" s="268" t="str">
        <f>'PMOC BY Adj'!$C3</f>
        <v>Sponsor SCC Values</v>
      </c>
      <c r="O3" s="268" t="str">
        <f>'PMOC BY Adj'!$D3</f>
        <v>Direct cost adjustments</v>
      </c>
      <c r="P3" s="268" t="str">
        <f>'PMOC BY Adj'!$E3</f>
        <v>Time-related direct cost adjustments
(not inflation)</v>
      </c>
      <c r="Q3" s="268" t="str">
        <f>'PMOC BY Adj'!$F3</f>
        <v>Latent Contingency Deductions (negative)</v>
      </c>
      <c r="R3" s="268" t="str">
        <f>'PMOC BY Adj'!$G3</f>
        <v>Total adjustment</v>
      </c>
      <c r="S3" s="269" t="str">
        <f>'PMOC BY Adj'!$H3</f>
        <v>PMOC Adjusted Estimate</v>
      </c>
      <c r="T3" s="267"/>
      <c r="U3" s="270" t="s">
        <v>321</v>
      </c>
      <c r="V3" s="268" t="str">
        <f>'PMOC BY Adj'!$C3</f>
        <v>Sponsor SCC Values</v>
      </c>
      <c r="W3" s="268" t="str">
        <f>'PMOC BY Adj'!$D3</f>
        <v>Direct cost adjustments</v>
      </c>
      <c r="X3" s="268" t="str">
        <f>'PMOC BY Adj'!$E3</f>
        <v>Time-related direct cost adjustments
(not inflation)</v>
      </c>
      <c r="Y3" s="268" t="str">
        <f>'PMOC BY Adj'!$F3</f>
        <v>Latent Contingency Deductions (negative)</v>
      </c>
      <c r="Z3" s="268" t="str">
        <f>'PMOC BY Adj'!$G3</f>
        <v>Total adjustment</v>
      </c>
      <c r="AA3" s="269" t="str">
        <f>'PMOC BY Adj'!$H3</f>
        <v>PMOC Adjusted Estimate</v>
      </c>
      <c r="AB3" s="267"/>
      <c r="AC3" s="270" t="s">
        <v>321</v>
      </c>
      <c r="AD3" s="268" t="str">
        <f>'PMOC BY Adj'!$C3</f>
        <v>Sponsor SCC Values</v>
      </c>
      <c r="AE3" s="268" t="str">
        <f>'PMOC BY Adj'!$D3</f>
        <v>Direct cost adjustments</v>
      </c>
      <c r="AF3" s="268" t="str">
        <f>'PMOC BY Adj'!$E3</f>
        <v>Time-related direct cost adjustments
(not inflation)</v>
      </c>
      <c r="AG3" s="268" t="str">
        <f>'PMOC BY Adj'!$F3</f>
        <v>Latent Contingency Deductions (negative)</v>
      </c>
      <c r="AH3" s="268" t="str">
        <f>'PMOC BY Adj'!$G3</f>
        <v>Total adjustment</v>
      </c>
      <c r="AI3" s="269" t="str">
        <f>'PMOC BY Adj'!$H3</f>
        <v>PMOC Adjusted Estimate</v>
      </c>
      <c r="AJ3" s="267"/>
      <c r="AK3" s="271" t="s">
        <v>212</v>
      </c>
      <c r="AL3" s="272" t="s">
        <v>198</v>
      </c>
      <c r="AM3" s="272" t="s">
        <v>199</v>
      </c>
      <c r="AN3" s="272" t="s">
        <v>215</v>
      </c>
      <c r="AO3" s="272" t="s">
        <v>200</v>
      </c>
      <c r="AP3" s="273" t="s">
        <v>230</v>
      </c>
    </row>
    <row r="4" spans="1:42" ht="15">
      <c r="A4" s="565" t="s">
        <v>165</v>
      </c>
      <c r="B4" s="566"/>
      <c r="C4" s="567">
        <f>'PMOC Globl Infl Adjst'!D29</f>
        <v>0</v>
      </c>
      <c r="D4" s="568"/>
      <c r="E4" s="569">
        <f>$C4</f>
        <v>0</v>
      </c>
      <c r="F4" s="570">
        <f>SUM(F5:F17)</f>
        <v>0</v>
      </c>
      <c r="G4" s="570">
        <f>SUM(G5:G17)</f>
        <v>0</v>
      </c>
      <c r="H4" s="570">
        <f t="shared" ref="H4:I4" si="0">SUM(H5:H17)</f>
        <v>0</v>
      </c>
      <c r="I4" s="570">
        <f t="shared" si="0"/>
        <v>0</v>
      </c>
      <c r="J4" s="571">
        <f>SUM(J5:J17)</f>
        <v>0</v>
      </c>
      <c r="K4" s="571">
        <f>SUM(K5:K17)</f>
        <v>0</v>
      </c>
      <c r="L4" s="568"/>
      <c r="M4" s="569">
        <f>$C4</f>
        <v>0</v>
      </c>
      <c r="N4" s="570">
        <f>SUM(N5:N17)</f>
        <v>0</v>
      </c>
      <c r="O4" s="570">
        <f>SUM(O5:O17)</f>
        <v>0</v>
      </c>
      <c r="P4" s="570">
        <f t="shared" ref="P4:Q4" si="1">SUM(P5:P17)</f>
        <v>0</v>
      </c>
      <c r="Q4" s="570">
        <f t="shared" si="1"/>
        <v>0</v>
      </c>
      <c r="R4" s="571">
        <f>SUM(R5:R17)</f>
        <v>0</v>
      </c>
      <c r="S4" s="571">
        <f>SUM(S5:S17)</f>
        <v>0</v>
      </c>
      <c r="T4" s="568"/>
      <c r="U4" s="569">
        <f>$C4</f>
        <v>0</v>
      </c>
      <c r="V4" s="570">
        <f>SUM(V5:V17)</f>
        <v>0</v>
      </c>
      <c r="W4" s="570">
        <f>SUM(W5:W17)</f>
        <v>0</v>
      </c>
      <c r="X4" s="570">
        <f t="shared" ref="X4:Y4" si="2">SUM(X5:X17)</f>
        <v>0</v>
      </c>
      <c r="Y4" s="570">
        <f t="shared" si="2"/>
        <v>0</v>
      </c>
      <c r="Z4" s="571">
        <f>SUM(Z5:Z17)</f>
        <v>0</v>
      </c>
      <c r="AA4" s="571">
        <f>SUM(AA5:AA17)</f>
        <v>0</v>
      </c>
      <c r="AB4" s="568"/>
      <c r="AC4" s="569">
        <f>$C4</f>
        <v>0</v>
      </c>
      <c r="AD4" s="570">
        <f>SUM(AD5:AD17)</f>
        <v>0</v>
      </c>
      <c r="AE4" s="570">
        <f>SUM(AE5:AE17)</f>
        <v>0</v>
      </c>
      <c r="AF4" s="570">
        <f t="shared" ref="AF4:AG4" si="3">SUM(AF5:AF17)</f>
        <v>0</v>
      </c>
      <c r="AG4" s="570">
        <f t="shared" si="3"/>
        <v>0</v>
      </c>
      <c r="AH4" s="571">
        <f>SUM(AH5:AH17)</f>
        <v>0</v>
      </c>
      <c r="AI4" s="571">
        <f>SUM(AI5:AI17)</f>
        <v>0</v>
      </c>
      <c r="AJ4" s="568"/>
      <c r="AK4" s="574">
        <f>SUM(AK5:AK17)</f>
        <v>0</v>
      </c>
      <c r="AL4" s="572">
        <f>SUM(AL5:AL17)</f>
        <v>0</v>
      </c>
      <c r="AM4" s="572">
        <f t="shared" ref="AM4:AN4" si="4">SUM(AM5:AM17)</f>
        <v>0</v>
      </c>
      <c r="AN4" s="572">
        <f t="shared" si="4"/>
        <v>0</v>
      </c>
      <c r="AO4" s="572">
        <f>SUM(AO5:AO17)</f>
        <v>0</v>
      </c>
      <c r="AP4" s="573">
        <f>SUM(AP5:AP17)</f>
        <v>0</v>
      </c>
    </row>
    <row r="5" spans="1:42">
      <c r="A5" s="575">
        <v>10.01</v>
      </c>
      <c r="B5" s="576" t="s">
        <v>15</v>
      </c>
      <c r="C5" s="577">
        <f t="shared" ref="C5:E17" si="5">C$4</f>
        <v>0</v>
      </c>
      <c r="D5" s="578"/>
      <c r="E5" s="577">
        <f t="shared" si="5"/>
        <v>0</v>
      </c>
      <c r="F5" s="579">
        <f>'PMOC BY Adj'!C5*$E5</f>
        <v>0</v>
      </c>
      <c r="G5" s="579">
        <f>'PMOC BY Adj'!D5*$E5</f>
        <v>0</v>
      </c>
      <c r="H5" s="579">
        <f>'PMOC BY Adj'!E5*$E5</f>
        <v>0</v>
      </c>
      <c r="I5" s="579">
        <f>'PMOC BY Adj'!F5*$E5</f>
        <v>0</v>
      </c>
      <c r="J5" s="580">
        <f>SUM(G5:I5)</f>
        <v>0</v>
      </c>
      <c r="K5" s="580">
        <f>SUM(F5,J5)</f>
        <v>0</v>
      </c>
      <c r="L5" s="578"/>
      <c r="M5" s="577">
        <f t="shared" ref="M5:M17" si="6">M$4</f>
        <v>0</v>
      </c>
      <c r="N5" s="579">
        <f>'PMOC BY Adj'!J5*$M5</f>
        <v>0</v>
      </c>
      <c r="O5" s="579">
        <f>'PMOC BY Adj'!K5*$M5</f>
        <v>0</v>
      </c>
      <c r="P5" s="579">
        <f>'PMOC BY Adj'!L5*$M5</f>
        <v>0</v>
      </c>
      <c r="Q5" s="579">
        <f>'PMOC BY Adj'!M5*$M5</f>
        <v>0</v>
      </c>
      <c r="R5" s="580">
        <f>SUM(O5:Q5)</f>
        <v>0</v>
      </c>
      <c r="S5" s="580">
        <f>SUM(N5,R5)</f>
        <v>0</v>
      </c>
      <c r="T5" s="578"/>
      <c r="U5" s="577">
        <f t="shared" ref="U5:U17" si="7">U$4</f>
        <v>0</v>
      </c>
      <c r="V5" s="579">
        <f>'PMOC BY Adj'!Q5*$U5</f>
        <v>0</v>
      </c>
      <c r="W5" s="579">
        <f>'PMOC BY Adj'!R5*$U5</f>
        <v>0</v>
      </c>
      <c r="X5" s="579">
        <f>'PMOC BY Adj'!S5*$U5</f>
        <v>0</v>
      </c>
      <c r="Y5" s="579">
        <f>'PMOC BY Adj'!T5*$U5</f>
        <v>0</v>
      </c>
      <c r="Z5" s="580">
        <f>SUM(W5:Y5)</f>
        <v>0</v>
      </c>
      <c r="AA5" s="580">
        <f>SUM(V5,Z5)</f>
        <v>0</v>
      </c>
      <c r="AB5" s="578"/>
      <c r="AC5" s="577">
        <f t="shared" ref="AC5:AC17" si="8">AC$4</f>
        <v>0</v>
      </c>
      <c r="AD5" s="579">
        <f>'PMOC BY Adj'!X5*$AC5</f>
        <v>0</v>
      </c>
      <c r="AE5" s="579">
        <f>'PMOC BY Adj'!Y5*$AC5</f>
        <v>0</v>
      </c>
      <c r="AF5" s="579">
        <f>'PMOC BY Adj'!Z5*$AC5</f>
        <v>0</v>
      </c>
      <c r="AG5" s="579">
        <f>'PMOC BY Adj'!AA5*$AC5</f>
        <v>0</v>
      </c>
      <c r="AH5" s="580">
        <f>SUM(AE5:AG5)</f>
        <v>0</v>
      </c>
      <c r="AI5" s="580">
        <f>SUM(AD5,AH5)</f>
        <v>0</v>
      </c>
      <c r="AJ5" s="578"/>
      <c r="AK5" s="581">
        <f t="shared" ref="AK5:AK17" si="9">SUM(F5,N5,V5,AD5)</f>
        <v>0</v>
      </c>
      <c r="AL5" s="541">
        <f t="shared" ref="AL5:AL17" si="10">SUM(G5,O5,W5,AE5)</f>
        <v>0</v>
      </c>
      <c r="AM5" s="541">
        <f t="shared" ref="AM5:AM17" si="11">SUM(H5,P5,X5,AF5)</f>
        <v>0</v>
      </c>
      <c r="AN5" s="541">
        <f t="shared" ref="AN5:AN17" si="12">SUM(I5,Q5,Y5,AG5)</f>
        <v>0</v>
      </c>
      <c r="AO5" s="541">
        <f t="shared" ref="AO5:AO17" si="13">SUM(J5,R5,Z5,AH5)</f>
        <v>0</v>
      </c>
      <c r="AP5" s="580">
        <f t="shared" ref="AP5:AP17" si="14">SUM(K5,S5,AA5,AI5)</f>
        <v>0</v>
      </c>
    </row>
    <row r="6" spans="1:42">
      <c r="A6" s="575">
        <v>10.02</v>
      </c>
      <c r="B6" s="576" t="s">
        <v>16</v>
      </c>
      <c r="C6" s="577">
        <f t="shared" si="5"/>
        <v>0</v>
      </c>
      <c r="D6" s="568"/>
      <c r="E6" s="577">
        <f t="shared" si="5"/>
        <v>0</v>
      </c>
      <c r="F6" s="579">
        <f>'PMOC BY Adj'!C6*$E6</f>
        <v>0</v>
      </c>
      <c r="G6" s="579">
        <f>'PMOC BY Adj'!D6*$E6</f>
        <v>0</v>
      </c>
      <c r="H6" s="579">
        <f>'PMOC BY Adj'!E6*$E6</f>
        <v>0</v>
      </c>
      <c r="I6" s="579">
        <f>'PMOC BY Adj'!F6*$E6</f>
        <v>0</v>
      </c>
      <c r="J6" s="580">
        <f t="shared" ref="J6:J17" si="15">SUM(G6:I6)</f>
        <v>0</v>
      </c>
      <c r="K6" s="580">
        <f t="shared" ref="K6:K17" si="16">SUM(F6,J6)</f>
        <v>0</v>
      </c>
      <c r="L6" s="568"/>
      <c r="M6" s="577">
        <f t="shared" si="6"/>
        <v>0</v>
      </c>
      <c r="N6" s="579">
        <f>'PMOC BY Adj'!J6*$M6</f>
        <v>0</v>
      </c>
      <c r="O6" s="579">
        <f>'PMOC BY Adj'!K6*$M6</f>
        <v>0</v>
      </c>
      <c r="P6" s="579">
        <f>'PMOC BY Adj'!L6*$M6</f>
        <v>0</v>
      </c>
      <c r="Q6" s="579">
        <f>'PMOC BY Adj'!M6*$M6</f>
        <v>0</v>
      </c>
      <c r="R6" s="580">
        <f t="shared" ref="R6:R17" si="17">SUM(O6:Q6)</f>
        <v>0</v>
      </c>
      <c r="S6" s="580">
        <f t="shared" ref="S6:S17" si="18">SUM(N6,R6)</f>
        <v>0</v>
      </c>
      <c r="T6" s="568"/>
      <c r="U6" s="577">
        <f t="shared" si="7"/>
        <v>0</v>
      </c>
      <c r="V6" s="579">
        <f>'PMOC BY Adj'!Q6*$U6</f>
        <v>0</v>
      </c>
      <c r="W6" s="579">
        <f>'PMOC BY Adj'!R6*$U6</f>
        <v>0</v>
      </c>
      <c r="X6" s="579">
        <f>'PMOC BY Adj'!S6*$U6</f>
        <v>0</v>
      </c>
      <c r="Y6" s="579">
        <f>'PMOC BY Adj'!T6*$U6</f>
        <v>0</v>
      </c>
      <c r="Z6" s="580">
        <f t="shared" ref="Z6:Z17" si="19">SUM(W6:Y6)</f>
        <v>0</v>
      </c>
      <c r="AA6" s="580">
        <f t="shared" ref="AA6:AA17" si="20">SUM(V6,Z6)</f>
        <v>0</v>
      </c>
      <c r="AB6" s="568"/>
      <c r="AC6" s="577">
        <f t="shared" si="8"/>
        <v>0</v>
      </c>
      <c r="AD6" s="579">
        <f>'PMOC BY Adj'!X6*$AC6</f>
        <v>0</v>
      </c>
      <c r="AE6" s="579">
        <f>'PMOC BY Adj'!Y6*$AC6</f>
        <v>0</v>
      </c>
      <c r="AF6" s="579">
        <f>'PMOC BY Adj'!Z6*$AC6</f>
        <v>0</v>
      </c>
      <c r="AG6" s="579">
        <f>'PMOC BY Adj'!AA6*$AC6</f>
        <v>0</v>
      </c>
      <c r="AH6" s="580">
        <f t="shared" ref="AH6:AH17" si="21">SUM(AE6:AG6)</f>
        <v>0</v>
      </c>
      <c r="AI6" s="580">
        <f t="shared" ref="AI6:AI17" si="22">SUM(AD6,AH6)</f>
        <v>0</v>
      </c>
      <c r="AJ6" s="568"/>
      <c r="AK6" s="581">
        <f t="shared" si="9"/>
        <v>0</v>
      </c>
      <c r="AL6" s="541">
        <f t="shared" si="10"/>
        <v>0</v>
      </c>
      <c r="AM6" s="541">
        <f t="shared" si="11"/>
        <v>0</v>
      </c>
      <c r="AN6" s="541">
        <f t="shared" si="12"/>
        <v>0</v>
      </c>
      <c r="AO6" s="541">
        <f t="shared" si="13"/>
        <v>0</v>
      </c>
      <c r="AP6" s="580">
        <f t="shared" si="14"/>
        <v>0</v>
      </c>
    </row>
    <row r="7" spans="1:42">
      <c r="A7" s="575">
        <v>10.029999999999999</v>
      </c>
      <c r="B7" s="576" t="s">
        <v>17</v>
      </c>
      <c r="C7" s="577">
        <f t="shared" si="5"/>
        <v>0</v>
      </c>
      <c r="D7" s="568"/>
      <c r="E7" s="577">
        <f t="shared" si="5"/>
        <v>0</v>
      </c>
      <c r="F7" s="579">
        <f>'PMOC BY Adj'!C7*$E7</f>
        <v>0</v>
      </c>
      <c r="G7" s="579">
        <f>'PMOC BY Adj'!D7*$E7</f>
        <v>0</v>
      </c>
      <c r="H7" s="579">
        <f>'PMOC BY Adj'!E7*$E7</f>
        <v>0</v>
      </c>
      <c r="I7" s="579">
        <f>'PMOC BY Adj'!F7*$E7</f>
        <v>0</v>
      </c>
      <c r="J7" s="580">
        <f t="shared" si="15"/>
        <v>0</v>
      </c>
      <c r="K7" s="580">
        <f t="shared" si="16"/>
        <v>0</v>
      </c>
      <c r="L7" s="568"/>
      <c r="M7" s="577">
        <f t="shared" si="6"/>
        <v>0</v>
      </c>
      <c r="N7" s="579">
        <f>'PMOC BY Adj'!J7*$M7</f>
        <v>0</v>
      </c>
      <c r="O7" s="579">
        <f>'PMOC BY Adj'!K7*$M7</f>
        <v>0</v>
      </c>
      <c r="P7" s="579">
        <f>'PMOC BY Adj'!L7*$M7</f>
        <v>0</v>
      </c>
      <c r="Q7" s="579">
        <f>'PMOC BY Adj'!M7*$M7</f>
        <v>0</v>
      </c>
      <c r="R7" s="580">
        <f t="shared" si="17"/>
        <v>0</v>
      </c>
      <c r="S7" s="580">
        <f t="shared" si="18"/>
        <v>0</v>
      </c>
      <c r="T7" s="568"/>
      <c r="U7" s="577">
        <f t="shared" si="7"/>
        <v>0</v>
      </c>
      <c r="V7" s="579">
        <f>'PMOC BY Adj'!Q7*$U7</f>
        <v>0</v>
      </c>
      <c r="W7" s="579">
        <f>'PMOC BY Adj'!R7*$U7</f>
        <v>0</v>
      </c>
      <c r="X7" s="579">
        <f>'PMOC BY Adj'!S7*$U7</f>
        <v>0</v>
      </c>
      <c r="Y7" s="579">
        <f>'PMOC BY Adj'!T7*$U7</f>
        <v>0</v>
      </c>
      <c r="Z7" s="580">
        <f t="shared" si="19"/>
        <v>0</v>
      </c>
      <c r="AA7" s="580">
        <f t="shared" si="20"/>
        <v>0</v>
      </c>
      <c r="AB7" s="568"/>
      <c r="AC7" s="577">
        <f t="shared" si="8"/>
        <v>0</v>
      </c>
      <c r="AD7" s="579">
        <f>'PMOC BY Adj'!X7*$AC7</f>
        <v>0</v>
      </c>
      <c r="AE7" s="579">
        <f>'PMOC BY Adj'!Y7*$AC7</f>
        <v>0</v>
      </c>
      <c r="AF7" s="579">
        <f>'PMOC BY Adj'!Z7*$AC7</f>
        <v>0</v>
      </c>
      <c r="AG7" s="579">
        <f>'PMOC BY Adj'!AA7*$AC7</f>
        <v>0</v>
      </c>
      <c r="AH7" s="580">
        <f t="shared" si="21"/>
        <v>0</v>
      </c>
      <c r="AI7" s="580">
        <f t="shared" si="22"/>
        <v>0</v>
      </c>
      <c r="AJ7" s="568"/>
      <c r="AK7" s="581">
        <f t="shared" si="9"/>
        <v>0</v>
      </c>
      <c r="AL7" s="541">
        <f t="shared" si="10"/>
        <v>0</v>
      </c>
      <c r="AM7" s="541">
        <f t="shared" si="11"/>
        <v>0</v>
      </c>
      <c r="AN7" s="541">
        <f t="shared" si="12"/>
        <v>0</v>
      </c>
      <c r="AO7" s="541">
        <f t="shared" si="13"/>
        <v>0</v>
      </c>
      <c r="AP7" s="580">
        <f t="shared" si="14"/>
        <v>0</v>
      </c>
    </row>
    <row r="8" spans="1:42">
      <c r="A8" s="575">
        <v>10.039999999999999</v>
      </c>
      <c r="B8" s="576" t="s">
        <v>18</v>
      </c>
      <c r="C8" s="577">
        <f t="shared" si="5"/>
        <v>0</v>
      </c>
      <c r="D8" s="568"/>
      <c r="E8" s="577">
        <f t="shared" si="5"/>
        <v>0</v>
      </c>
      <c r="F8" s="579">
        <f>'PMOC BY Adj'!C8*$E8</f>
        <v>0</v>
      </c>
      <c r="G8" s="579">
        <f>'PMOC BY Adj'!D8*$E8</f>
        <v>0</v>
      </c>
      <c r="H8" s="579">
        <f>'PMOC BY Adj'!E8*$E8</f>
        <v>0</v>
      </c>
      <c r="I8" s="579">
        <f>'PMOC BY Adj'!F8*$E8</f>
        <v>0</v>
      </c>
      <c r="J8" s="580">
        <f t="shared" si="15"/>
        <v>0</v>
      </c>
      <c r="K8" s="580">
        <f t="shared" si="16"/>
        <v>0</v>
      </c>
      <c r="L8" s="568"/>
      <c r="M8" s="577">
        <f t="shared" si="6"/>
        <v>0</v>
      </c>
      <c r="N8" s="579">
        <f>'PMOC BY Adj'!J8*$M8</f>
        <v>0</v>
      </c>
      <c r="O8" s="579">
        <f>'PMOC BY Adj'!K8*$M8</f>
        <v>0</v>
      </c>
      <c r="P8" s="579">
        <f>'PMOC BY Adj'!L8*$M8</f>
        <v>0</v>
      </c>
      <c r="Q8" s="579">
        <f>'PMOC BY Adj'!M8*$M8</f>
        <v>0</v>
      </c>
      <c r="R8" s="580">
        <f t="shared" si="17"/>
        <v>0</v>
      </c>
      <c r="S8" s="580">
        <f t="shared" si="18"/>
        <v>0</v>
      </c>
      <c r="T8" s="568"/>
      <c r="U8" s="577">
        <f t="shared" si="7"/>
        <v>0</v>
      </c>
      <c r="V8" s="579">
        <f>'PMOC BY Adj'!Q8*$U8</f>
        <v>0</v>
      </c>
      <c r="W8" s="579">
        <f>'PMOC BY Adj'!R8*$U8</f>
        <v>0</v>
      </c>
      <c r="X8" s="579">
        <f>'PMOC BY Adj'!S8*$U8</f>
        <v>0</v>
      </c>
      <c r="Y8" s="579">
        <f>'PMOC BY Adj'!T8*$U8</f>
        <v>0</v>
      </c>
      <c r="Z8" s="580">
        <f t="shared" si="19"/>
        <v>0</v>
      </c>
      <c r="AA8" s="580">
        <f t="shared" si="20"/>
        <v>0</v>
      </c>
      <c r="AB8" s="568"/>
      <c r="AC8" s="577">
        <f t="shared" si="8"/>
        <v>0</v>
      </c>
      <c r="AD8" s="579">
        <f>'PMOC BY Adj'!X8*$AC8</f>
        <v>0</v>
      </c>
      <c r="AE8" s="579">
        <f>'PMOC BY Adj'!Y8*$AC8</f>
        <v>0</v>
      </c>
      <c r="AF8" s="579">
        <f>'PMOC BY Adj'!Z8*$AC8</f>
        <v>0</v>
      </c>
      <c r="AG8" s="579">
        <f>'PMOC BY Adj'!AA8*$AC8</f>
        <v>0</v>
      </c>
      <c r="AH8" s="580">
        <f t="shared" si="21"/>
        <v>0</v>
      </c>
      <c r="AI8" s="580">
        <f t="shared" si="22"/>
        <v>0</v>
      </c>
      <c r="AJ8" s="568"/>
      <c r="AK8" s="581">
        <f t="shared" si="9"/>
        <v>0</v>
      </c>
      <c r="AL8" s="541">
        <f t="shared" si="10"/>
        <v>0</v>
      </c>
      <c r="AM8" s="541">
        <f t="shared" si="11"/>
        <v>0</v>
      </c>
      <c r="AN8" s="541">
        <f t="shared" si="12"/>
        <v>0</v>
      </c>
      <c r="AO8" s="541">
        <f t="shared" si="13"/>
        <v>0</v>
      </c>
      <c r="AP8" s="580">
        <f t="shared" si="14"/>
        <v>0</v>
      </c>
    </row>
    <row r="9" spans="1:42">
      <c r="A9" s="575">
        <v>10.050000000000001</v>
      </c>
      <c r="B9" s="576" t="s">
        <v>19</v>
      </c>
      <c r="C9" s="577">
        <f t="shared" si="5"/>
        <v>0</v>
      </c>
      <c r="D9" s="568"/>
      <c r="E9" s="577">
        <f t="shared" si="5"/>
        <v>0</v>
      </c>
      <c r="F9" s="579">
        <f>'PMOC BY Adj'!C9*$E9</f>
        <v>0</v>
      </c>
      <c r="G9" s="579">
        <f>'PMOC BY Adj'!D9*$E9</f>
        <v>0</v>
      </c>
      <c r="H9" s="579">
        <f>'PMOC BY Adj'!E9*$E9</f>
        <v>0</v>
      </c>
      <c r="I9" s="579">
        <f>'PMOC BY Adj'!F9*$E9</f>
        <v>0</v>
      </c>
      <c r="J9" s="580">
        <f t="shared" si="15"/>
        <v>0</v>
      </c>
      <c r="K9" s="580">
        <f t="shared" si="16"/>
        <v>0</v>
      </c>
      <c r="L9" s="568"/>
      <c r="M9" s="577">
        <f t="shared" si="6"/>
        <v>0</v>
      </c>
      <c r="N9" s="579">
        <f>'PMOC BY Adj'!J9*$M9</f>
        <v>0</v>
      </c>
      <c r="O9" s="579">
        <f>'PMOC BY Adj'!K9*$M9</f>
        <v>0</v>
      </c>
      <c r="P9" s="579">
        <f>'PMOC BY Adj'!L9*$M9</f>
        <v>0</v>
      </c>
      <c r="Q9" s="579">
        <f>'PMOC BY Adj'!M9*$M9</f>
        <v>0</v>
      </c>
      <c r="R9" s="580">
        <f t="shared" si="17"/>
        <v>0</v>
      </c>
      <c r="S9" s="580">
        <f t="shared" si="18"/>
        <v>0</v>
      </c>
      <c r="T9" s="568"/>
      <c r="U9" s="577">
        <f t="shared" si="7"/>
        <v>0</v>
      </c>
      <c r="V9" s="579">
        <f>'PMOC BY Adj'!Q9*$U9</f>
        <v>0</v>
      </c>
      <c r="W9" s="579">
        <f>'PMOC BY Adj'!R9*$U9</f>
        <v>0</v>
      </c>
      <c r="X9" s="579">
        <f>'PMOC BY Adj'!S9*$U9</f>
        <v>0</v>
      </c>
      <c r="Y9" s="579">
        <f>'PMOC BY Adj'!T9*$U9</f>
        <v>0</v>
      </c>
      <c r="Z9" s="580">
        <f t="shared" si="19"/>
        <v>0</v>
      </c>
      <c r="AA9" s="580">
        <f t="shared" si="20"/>
        <v>0</v>
      </c>
      <c r="AB9" s="568"/>
      <c r="AC9" s="577">
        <f t="shared" si="8"/>
        <v>0</v>
      </c>
      <c r="AD9" s="579">
        <f>'PMOC BY Adj'!X9*$AC9</f>
        <v>0</v>
      </c>
      <c r="AE9" s="579">
        <f>'PMOC BY Adj'!Y9*$AC9</f>
        <v>0</v>
      </c>
      <c r="AF9" s="579">
        <f>'PMOC BY Adj'!Z9*$AC9</f>
        <v>0</v>
      </c>
      <c r="AG9" s="579">
        <f>'PMOC BY Adj'!AA9*$AC9</f>
        <v>0</v>
      </c>
      <c r="AH9" s="580">
        <f t="shared" si="21"/>
        <v>0</v>
      </c>
      <c r="AI9" s="580">
        <f t="shared" si="22"/>
        <v>0</v>
      </c>
      <c r="AJ9" s="568"/>
      <c r="AK9" s="581">
        <f t="shared" si="9"/>
        <v>0</v>
      </c>
      <c r="AL9" s="541">
        <f t="shared" si="10"/>
        <v>0</v>
      </c>
      <c r="AM9" s="541">
        <f t="shared" si="11"/>
        <v>0</v>
      </c>
      <c r="AN9" s="541">
        <f t="shared" si="12"/>
        <v>0</v>
      </c>
      <c r="AO9" s="541">
        <f t="shared" si="13"/>
        <v>0</v>
      </c>
      <c r="AP9" s="580">
        <f t="shared" si="14"/>
        <v>0</v>
      </c>
    </row>
    <row r="10" spans="1:42">
      <c r="A10" s="575">
        <v>10.06</v>
      </c>
      <c r="B10" s="576" t="s">
        <v>20</v>
      </c>
      <c r="C10" s="577">
        <f t="shared" si="5"/>
        <v>0</v>
      </c>
      <c r="D10" s="568"/>
      <c r="E10" s="577">
        <f t="shared" si="5"/>
        <v>0</v>
      </c>
      <c r="F10" s="579">
        <f>'PMOC BY Adj'!C10*$E10</f>
        <v>0</v>
      </c>
      <c r="G10" s="579">
        <f>'PMOC BY Adj'!D10*$E10</f>
        <v>0</v>
      </c>
      <c r="H10" s="579">
        <f>'PMOC BY Adj'!E10*$E10</f>
        <v>0</v>
      </c>
      <c r="I10" s="579">
        <f>'PMOC BY Adj'!F10*$E10</f>
        <v>0</v>
      </c>
      <c r="J10" s="580">
        <f t="shared" si="15"/>
        <v>0</v>
      </c>
      <c r="K10" s="580">
        <f t="shared" si="16"/>
        <v>0</v>
      </c>
      <c r="L10" s="568"/>
      <c r="M10" s="577">
        <f t="shared" si="6"/>
        <v>0</v>
      </c>
      <c r="N10" s="579">
        <f>'PMOC BY Adj'!J10*$M10</f>
        <v>0</v>
      </c>
      <c r="O10" s="579">
        <f>'PMOC BY Adj'!K10*$M10</f>
        <v>0</v>
      </c>
      <c r="P10" s="579">
        <f>'PMOC BY Adj'!L10*$M10</f>
        <v>0</v>
      </c>
      <c r="Q10" s="579">
        <f>'PMOC BY Adj'!M10*$M10</f>
        <v>0</v>
      </c>
      <c r="R10" s="580">
        <f t="shared" si="17"/>
        <v>0</v>
      </c>
      <c r="S10" s="580">
        <f t="shared" si="18"/>
        <v>0</v>
      </c>
      <c r="T10" s="568"/>
      <c r="U10" s="577">
        <f t="shared" si="7"/>
        <v>0</v>
      </c>
      <c r="V10" s="579">
        <f>'PMOC BY Adj'!Q10*$U10</f>
        <v>0</v>
      </c>
      <c r="W10" s="579">
        <f>'PMOC BY Adj'!R10*$U10</f>
        <v>0</v>
      </c>
      <c r="X10" s="579">
        <f>'PMOC BY Adj'!S10*$U10</f>
        <v>0</v>
      </c>
      <c r="Y10" s="579">
        <f>'PMOC BY Adj'!T10*$U10</f>
        <v>0</v>
      </c>
      <c r="Z10" s="580">
        <f t="shared" si="19"/>
        <v>0</v>
      </c>
      <c r="AA10" s="580">
        <f t="shared" si="20"/>
        <v>0</v>
      </c>
      <c r="AB10" s="568"/>
      <c r="AC10" s="577">
        <f t="shared" si="8"/>
        <v>0</v>
      </c>
      <c r="AD10" s="579">
        <f>'PMOC BY Adj'!X10*$AC10</f>
        <v>0</v>
      </c>
      <c r="AE10" s="579">
        <f>'PMOC BY Adj'!Y10*$AC10</f>
        <v>0</v>
      </c>
      <c r="AF10" s="579">
        <f>'PMOC BY Adj'!Z10*$AC10</f>
        <v>0</v>
      </c>
      <c r="AG10" s="579">
        <f>'PMOC BY Adj'!AA10*$AC10</f>
        <v>0</v>
      </c>
      <c r="AH10" s="580">
        <f t="shared" si="21"/>
        <v>0</v>
      </c>
      <c r="AI10" s="580">
        <f t="shared" si="22"/>
        <v>0</v>
      </c>
      <c r="AJ10" s="568"/>
      <c r="AK10" s="581">
        <f t="shared" si="9"/>
        <v>0</v>
      </c>
      <c r="AL10" s="541">
        <f t="shared" si="10"/>
        <v>0</v>
      </c>
      <c r="AM10" s="541">
        <f t="shared" si="11"/>
        <v>0</v>
      </c>
      <c r="AN10" s="541">
        <f t="shared" si="12"/>
        <v>0</v>
      </c>
      <c r="AO10" s="541">
        <f t="shared" si="13"/>
        <v>0</v>
      </c>
      <c r="AP10" s="580">
        <f t="shared" si="14"/>
        <v>0</v>
      </c>
    </row>
    <row r="11" spans="1:42">
      <c r="A11" s="575">
        <v>10.07</v>
      </c>
      <c r="B11" s="576" t="s">
        <v>21</v>
      </c>
      <c r="C11" s="577">
        <f t="shared" si="5"/>
        <v>0</v>
      </c>
      <c r="D11" s="568"/>
      <c r="E11" s="577">
        <f t="shared" si="5"/>
        <v>0</v>
      </c>
      <c r="F11" s="579">
        <f>'PMOC BY Adj'!C11*$E11</f>
        <v>0</v>
      </c>
      <c r="G11" s="579">
        <f>'PMOC BY Adj'!D11*$E11</f>
        <v>0</v>
      </c>
      <c r="H11" s="579">
        <f>'PMOC BY Adj'!E11*$E11</f>
        <v>0</v>
      </c>
      <c r="I11" s="579">
        <f>'PMOC BY Adj'!F11*$E11</f>
        <v>0</v>
      </c>
      <c r="J11" s="580">
        <f t="shared" si="15"/>
        <v>0</v>
      </c>
      <c r="K11" s="580">
        <f t="shared" si="16"/>
        <v>0</v>
      </c>
      <c r="L11" s="568"/>
      <c r="M11" s="577">
        <f t="shared" si="6"/>
        <v>0</v>
      </c>
      <c r="N11" s="579">
        <f>'PMOC BY Adj'!J11*$M11</f>
        <v>0</v>
      </c>
      <c r="O11" s="579">
        <f>'PMOC BY Adj'!K11*$M11</f>
        <v>0</v>
      </c>
      <c r="P11" s="579">
        <f>'PMOC BY Adj'!L11*$M11</f>
        <v>0</v>
      </c>
      <c r="Q11" s="579">
        <f>'PMOC BY Adj'!M11*$M11</f>
        <v>0</v>
      </c>
      <c r="R11" s="580">
        <f t="shared" si="17"/>
        <v>0</v>
      </c>
      <c r="S11" s="580">
        <f t="shared" si="18"/>
        <v>0</v>
      </c>
      <c r="T11" s="568"/>
      <c r="U11" s="577">
        <f t="shared" si="7"/>
        <v>0</v>
      </c>
      <c r="V11" s="579">
        <f>'PMOC BY Adj'!Q11*$U11</f>
        <v>0</v>
      </c>
      <c r="W11" s="579">
        <f>'PMOC BY Adj'!R11*$U11</f>
        <v>0</v>
      </c>
      <c r="X11" s="579">
        <f>'PMOC BY Adj'!S11*$U11</f>
        <v>0</v>
      </c>
      <c r="Y11" s="579">
        <f>'PMOC BY Adj'!T11*$U11</f>
        <v>0</v>
      </c>
      <c r="Z11" s="580">
        <f t="shared" si="19"/>
        <v>0</v>
      </c>
      <c r="AA11" s="580">
        <f t="shared" si="20"/>
        <v>0</v>
      </c>
      <c r="AB11" s="568"/>
      <c r="AC11" s="577">
        <f t="shared" si="8"/>
        <v>0</v>
      </c>
      <c r="AD11" s="579">
        <f>'PMOC BY Adj'!X11*$AC11</f>
        <v>0</v>
      </c>
      <c r="AE11" s="579">
        <f>'PMOC BY Adj'!Y11*$AC11</f>
        <v>0</v>
      </c>
      <c r="AF11" s="579">
        <f>'PMOC BY Adj'!Z11*$AC11</f>
        <v>0</v>
      </c>
      <c r="AG11" s="579">
        <f>'PMOC BY Adj'!AA11*$AC11</f>
        <v>0</v>
      </c>
      <c r="AH11" s="580">
        <f t="shared" si="21"/>
        <v>0</v>
      </c>
      <c r="AI11" s="580">
        <f t="shared" si="22"/>
        <v>0</v>
      </c>
      <c r="AJ11" s="568"/>
      <c r="AK11" s="581">
        <f t="shared" si="9"/>
        <v>0</v>
      </c>
      <c r="AL11" s="541">
        <f t="shared" si="10"/>
        <v>0</v>
      </c>
      <c r="AM11" s="541">
        <f t="shared" si="11"/>
        <v>0</v>
      </c>
      <c r="AN11" s="541">
        <f t="shared" si="12"/>
        <v>0</v>
      </c>
      <c r="AO11" s="541">
        <f t="shared" si="13"/>
        <v>0</v>
      </c>
      <c r="AP11" s="580">
        <f t="shared" si="14"/>
        <v>0</v>
      </c>
    </row>
    <row r="12" spans="1:42">
      <c r="A12" s="575">
        <v>10.08</v>
      </c>
      <c r="B12" s="576" t="s">
        <v>22</v>
      </c>
      <c r="C12" s="577">
        <f t="shared" si="5"/>
        <v>0</v>
      </c>
      <c r="D12" s="568"/>
      <c r="E12" s="577">
        <f t="shared" si="5"/>
        <v>0</v>
      </c>
      <c r="F12" s="579">
        <f>'PMOC BY Adj'!C12*$E12</f>
        <v>0</v>
      </c>
      <c r="G12" s="579">
        <f>'PMOC BY Adj'!D12*$E12</f>
        <v>0</v>
      </c>
      <c r="H12" s="579">
        <f>'PMOC BY Adj'!E12*$E12</f>
        <v>0</v>
      </c>
      <c r="I12" s="579">
        <f>'PMOC BY Adj'!F12*$E12</f>
        <v>0</v>
      </c>
      <c r="J12" s="580">
        <f t="shared" si="15"/>
        <v>0</v>
      </c>
      <c r="K12" s="580">
        <f t="shared" si="16"/>
        <v>0</v>
      </c>
      <c r="L12" s="568"/>
      <c r="M12" s="577">
        <f t="shared" si="6"/>
        <v>0</v>
      </c>
      <c r="N12" s="579">
        <f>'PMOC BY Adj'!J12*$M12</f>
        <v>0</v>
      </c>
      <c r="O12" s="579">
        <f>'PMOC BY Adj'!K12*$M12</f>
        <v>0</v>
      </c>
      <c r="P12" s="579">
        <f>'PMOC BY Adj'!L12*$M12</f>
        <v>0</v>
      </c>
      <c r="Q12" s="579">
        <f>'PMOC BY Adj'!M12*$M12</f>
        <v>0</v>
      </c>
      <c r="R12" s="580">
        <f t="shared" si="17"/>
        <v>0</v>
      </c>
      <c r="S12" s="580">
        <f t="shared" si="18"/>
        <v>0</v>
      </c>
      <c r="T12" s="568"/>
      <c r="U12" s="577">
        <f t="shared" si="7"/>
        <v>0</v>
      </c>
      <c r="V12" s="579">
        <f>'PMOC BY Adj'!Q12*$U12</f>
        <v>0</v>
      </c>
      <c r="W12" s="579">
        <f>'PMOC BY Adj'!R12*$U12</f>
        <v>0</v>
      </c>
      <c r="X12" s="579">
        <f>'PMOC BY Adj'!S12*$U12</f>
        <v>0</v>
      </c>
      <c r="Y12" s="579">
        <f>'PMOC BY Adj'!T12*$U12</f>
        <v>0</v>
      </c>
      <c r="Z12" s="580">
        <f t="shared" si="19"/>
        <v>0</v>
      </c>
      <c r="AA12" s="580">
        <f t="shared" si="20"/>
        <v>0</v>
      </c>
      <c r="AB12" s="568"/>
      <c r="AC12" s="577">
        <f t="shared" si="8"/>
        <v>0</v>
      </c>
      <c r="AD12" s="579">
        <f>'PMOC BY Adj'!X12*$AC12</f>
        <v>0</v>
      </c>
      <c r="AE12" s="579">
        <f>'PMOC BY Adj'!Y12*$AC12</f>
        <v>0</v>
      </c>
      <c r="AF12" s="579">
        <f>'PMOC BY Adj'!Z12*$AC12</f>
        <v>0</v>
      </c>
      <c r="AG12" s="579">
        <f>'PMOC BY Adj'!AA12*$AC12</f>
        <v>0</v>
      </c>
      <c r="AH12" s="580">
        <f t="shared" si="21"/>
        <v>0</v>
      </c>
      <c r="AI12" s="580">
        <f t="shared" si="22"/>
        <v>0</v>
      </c>
      <c r="AJ12" s="568"/>
      <c r="AK12" s="581">
        <f t="shared" si="9"/>
        <v>0</v>
      </c>
      <c r="AL12" s="541">
        <f t="shared" si="10"/>
        <v>0</v>
      </c>
      <c r="AM12" s="541">
        <f t="shared" si="11"/>
        <v>0</v>
      </c>
      <c r="AN12" s="541">
        <f t="shared" si="12"/>
        <v>0</v>
      </c>
      <c r="AO12" s="541">
        <f t="shared" si="13"/>
        <v>0</v>
      </c>
      <c r="AP12" s="580">
        <f t="shared" si="14"/>
        <v>0</v>
      </c>
    </row>
    <row r="13" spans="1:42">
      <c r="A13" s="575">
        <v>10.09</v>
      </c>
      <c r="B13" s="576" t="s">
        <v>23</v>
      </c>
      <c r="C13" s="577">
        <f t="shared" si="5"/>
        <v>0</v>
      </c>
      <c r="D13" s="568"/>
      <c r="E13" s="577">
        <f t="shared" si="5"/>
        <v>0</v>
      </c>
      <c r="F13" s="579">
        <f>'PMOC BY Adj'!C13*$E13</f>
        <v>0</v>
      </c>
      <c r="G13" s="579">
        <f>'PMOC BY Adj'!D13*$E13</f>
        <v>0</v>
      </c>
      <c r="H13" s="579">
        <f>'PMOC BY Adj'!E13*$E13</f>
        <v>0</v>
      </c>
      <c r="I13" s="579">
        <f>'PMOC BY Adj'!F13*$E13</f>
        <v>0</v>
      </c>
      <c r="J13" s="580">
        <f t="shared" si="15"/>
        <v>0</v>
      </c>
      <c r="K13" s="580">
        <f t="shared" si="16"/>
        <v>0</v>
      </c>
      <c r="L13" s="568"/>
      <c r="M13" s="577">
        <f t="shared" si="6"/>
        <v>0</v>
      </c>
      <c r="N13" s="579">
        <f>'PMOC BY Adj'!J13*$M13</f>
        <v>0</v>
      </c>
      <c r="O13" s="579">
        <f>'PMOC BY Adj'!K13*$M13</f>
        <v>0</v>
      </c>
      <c r="P13" s="579">
        <f>'PMOC BY Adj'!L13*$M13</f>
        <v>0</v>
      </c>
      <c r="Q13" s="579">
        <f>'PMOC BY Adj'!M13*$M13</f>
        <v>0</v>
      </c>
      <c r="R13" s="580">
        <f t="shared" si="17"/>
        <v>0</v>
      </c>
      <c r="S13" s="580">
        <f t="shared" si="18"/>
        <v>0</v>
      </c>
      <c r="T13" s="568"/>
      <c r="U13" s="577">
        <f t="shared" si="7"/>
        <v>0</v>
      </c>
      <c r="V13" s="579">
        <f>'PMOC BY Adj'!Q13*$U13</f>
        <v>0</v>
      </c>
      <c r="W13" s="579">
        <f>'PMOC BY Adj'!R13*$U13</f>
        <v>0</v>
      </c>
      <c r="X13" s="579">
        <f>'PMOC BY Adj'!S13*$U13</f>
        <v>0</v>
      </c>
      <c r="Y13" s="579">
        <f>'PMOC BY Adj'!T13*$U13</f>
        <v>0</v>
      </c>
      <c r="Z13" s="580">
        <f t="shared" si="19"/>
        <v>0</v>
      </c>
      <c r="AA13" s="580">
        <f t="shared" si="20"/>
        <v>0</v>
      </c>
      <c r="AB13" s="568"/>
      <c r="AC13" s="577">
        <f t="shared" si="8"/>
        <v>0</v>
      </c>
      <c r="AD13" s="579">
        <f>'PMOC BY Adj'!X13*$AC13</f>
        <v>0</v>
      </c>
      <c r="AE13" s="579">
        <f>'PMOC BY Adj'!Y13*$AC13</f>
        <v>0</v>
      </c>
      <c r="AF13" s="579">
        <f>'PMOC BY Adj'!Z13*$AC13</f>
        <v>0</v>
      </c>
      <c r="AG13" s="579">
        <f>'PMOC BY Adj'!AA13*$AC13</f>
        <v>0</v>
      </c>
      <c r="AH13" s="580">
        <f t="shared" si="21"/>
        <v>0</v>
      </c>
      <c r="AI13" s="580">
        <f t="shared" si="22"/>
        <v>0</v>
      </c>
      <c r="AJ13" s="568"/>
      <c r="AK13" s="581">
        <f t="shared" si="9"/>
        <v>0</v>
      </c>
      <c r="AL13" s="541">
        <f t="shared" si="10"/>
        <v>0</v>
      </c>
      <c r="AM13" s="541">
        <f t="shared" si="11"/>
        <v>0</v>
      </c>
      <c r="AN13" s="541">
        <f t="shared" si="12"/>
        <v>0</v>
      </c>
      <c r="AO13" s="541">
        <f t="shared" si="13"/>
        <v>0</v>
      </c>
      <c r="AP13" s="580">
        <f t="shared" si="14"/>
        <v>0</v>
      </c>
    </row>
    <row r="14" spans="1:42">
      <c r="A14" s="575">
        <v>10.1</v>
      </c>
      <c r="B14" s="576" t="s">
        <v>24</v>
      </c>
      <c r="C14" s="577">
        <f t="shared" si="5"/>
        <v>0</v>
      </c>
      <c r="D14" s="568"/>
      <c r="E14" s="577">
        <f t="shared" si="5"/>
        <v>0</v>
      </c>
      <c r="F14" s="579">
        <f>'PMOC BY Adj'!C14*$E14</f>
        <v>0</v>
      </c>
      <c r="G14" s="579">
        <f>'PMOC BY Adj'!D14*$E14</f>
        <v>0</v>
      </c>
      <c r="H14" s="579">
        <f>'PMOC BY Adj'!E14*$E14</f>
        <v>0</v>
      </c>
      <c r="I14" s="579">
        <f>'PMOC BY Adj'!F14*$E14</f>
        <v>0</v>
      </c>
      <c r="J14" s="580">
        <f t="shared" si="15"/>
        <v>0</v>
      </c>
      <c r="K14" s="580">
        <f t="shared" si="16"/>
        <v>0</v>
      </c>
      <c r="L14" s="568"/>
      <c r="M14" s="577">
        <f t="shared" si="6"/>
        <v>0</v>
      </c>
      <c r="N14" s="579">
        <f>'PMOC BY Adj'!J14*$M14</f>
        <v>0</v>
      </c>
      <c r="O14" s="579">
        <f>'PMOC BY Adj'!K14*$M14</f>
        <v>0</v>
      </c>
      <c r="P14" s="579">
        <f>'PMOC BY Adj'!L14*$M14</f>
        <v>0</v>
      </c>
      <c r="Q14" s="579">
        <f>'PMOC BY Adj'!M14*$M14</f>
        <v>0</v>
      </c>
      <c r="R14" s="580">
        <f t="shared" si="17"/>
        <v>0</v>
      </c>
      <c r="S14" s="580">
        <f t="shared" si="18"/>
        <v>0</v>
      </c>
      <c r="T14" s="568"/>
      <c r="U14" s="577">
        <f t="shared" si="7"/>
        <v>0</v>
      </c>
      <c r="V14" s="579">
        <f>'PMOC BY Adj'!Q14*$U14</f>
        <v>0</v>
      </c>
      <c r="W14" s="579">
        <f>'PMOC BY Adj'!R14*$U14</f>
        <v>0</v>
      </c>
      <c r="X14" s="579">
        <f>'PMOC BY Adj'!S14*$U14</f>
        <v>0</v>
      </c>
      <c r="Y14" s="579">
        <f>'PMOC BY Adj'!T14*$U14</f>
        <v>0</v>
      </c>
      <c r="Z14" s="580">
        <f t="shared" si="19"/>
        <v>0</v>
      </c>
      <c r="AA14" s="580">
        <f t="shared" si="20"/>
        <v>0</v>
      </c>
      <c r="AB14" s="568"/>
      <c r="AC14" s="577">
        <f t="shared" si="8"/>
        <v>0</v>
      </c>
      <c r="AD14" s="579">
        <f>'PMOC BY Adj'!X14*$AC14</f>
        <v>0</v>
      </c>
      <c r="AE14" s="579">
        <f>'PMOC BY Adj'!Y14*$AC14</f>
        <v>0</v>
      </c>
      <c r="AF14" s="579">
        <f>'PMOC BY Adj'!Z14*$AC14</f>
        <v>0</v>
      </c>
      <c r="AG14" s="579">
        <f>'PMOC BY Adj'!AA14*$AC14</f>
        <v>0</v>
      </c>
      <c r="AH14" s="580">
        <f t="shared" si="21"/>
        <v>0</v>
      </c>
      <c r="AI14" s="580">
        <f t="shared" si="22"/>
        <v>0</v>
      </c>
      <c r="AJ14" s="568"/>
      <c r="AK14" s="581">
        <f t="shared" si="9"/>
        <v>0</v>
      </c>
      <c r="AL14" s="541">
        <f t="shared" si="10"/>
        <v>0</v>
      </c>
      <c r="AM14" s="541">
        <f t="shared" si="11"/>
        <v>0</v>
      </c>
      <c r="AN14" s="541">
        <f t="shared" si="12"/>
        <v>0</v>
      </c>
      <c r="AO14" s="541">
        <f t="shared" si="13"/>
        <v>0</v>
      </c>
      <c r="AP14" s="580">
        <f t="shared" si="14"/>
        <v>0</v>
      </c>
    </row>
    <row r="15" spans="1:42">
      <c r="A15" s="575">
        <v>10.11</v>
      </c>
      <c r="B15" s="576" t="s">
        <v>25</v>
      </c>
      <c r="C15" s="577">
        <f t="shared" si="5"/>
        <v>0</v>
      </c>
      <c r="D15" s="568"/>
      <c r="E15" s="577">
        <f t="shared" si="5"/>
        <v>0</v>
      </c>
      <c r="F15" s="579">
        <f>'PMOC BY Adj'!C15*$E15</f>
        <v>0</v>
      </c>
      <c r="G15" s="579">
        <f>'PMOC BY Adj'!D15*$E15</f>
        <v>0</v>
      </c>
      <c r="H15" s="579">
        <f>'PMOC BY Adj'!E15*$E15</f>
        <v>0</v>
      </c>
      <c r="I15" s="579">
        <f>'PMOC BY Adj'!F15*$E15</f>
        <v>0</v>
      </c>
      <c r="J15" s="580">
        <f t="shared" si="15"/>
        <v>0</v>
      </c>
      <c r="K15" s="580">
        <f t="shared" si="16"/>
        <v>0</v>
      </c>
      <c r="L15" s="568"/>
      <c r="M15" s="577">
        <f t="shared" si="6"/>
        <v>0</v>
      </c>
      <c r="N15" s="579">
        <f>'PMOC BY Adj'!J15*$M15</f>
        <v>0</v>
      </c>
      <c r="O15" s="579">
        <f>'PMOC BY Adj'!K15*$M15</f>
        <v>0</v>
      </c>
      <c r="P15" s="579">
        <f>'PMOC BY Adj'!L15*$M15</f>
        <v>0</v>
      </c>
      <c r="Q15" s="579">
        <f>'PMOC BY Adj'!M15*$M15</f>
        <v>0</v>
      </c>
      <c r="R15" s="580">
        <f t="shared" si="17"/>
        <v>0</v>
      </c>
      <c r="S15" s="580">
        <f t="shared" si="18"/>
        <v>0</v>
      </c>
      <c r="T15" s="568"/>
      <c r="U15" s="577">
        <f t="shared" si="7"/>
        <v>0</v>
      </c>
      <c r="V15" s="579">
        <f>'PMOC BY Adj'!Q15*$U15</f>
        <v>0</v>
      </c>
      <c r="W15" s="579">
        <f>'PMOC BY Adj'!R15*$U15</f>
        <v>0</v>
      </c>
      <c r="X15" s="579">
        <f>'PMOC BY Adj'!S15*$U15</f>
        <v>0</v>
      </c>
      <c r="Y15" s="579">
        <f>'PMOC BY Adj'!T15*$U15</f>
        <v>0</v>
      </c>
      <c r="Z15" s="580">
        <f t="shared" si="19"/>
        <v>0</v>
      </c>
      <c r="AA15" s="580">
        <f t="shared" si="20"/>
        <v>0</v>
      </c>
      <c r="AB15" s="568"/>
      <c r="AC15" s="577">
        <f t="shared" si="8"/>
        <v>0</v>
      </c>
      <c r="AD15" s="579">
        <f>'PMOC BY Adj'!X15*$AC15</f>
        <v>0</v>
      </c>
      <c r="AE15" s="579">
        <f>'PMOC BY Adj'!Y15*$AC15</f>
        <v>0</v>
      </c>
      <c r="AF15" s="579">
        <f>'PMOC BY Adj'!Z15*$AC15</f>
        <v>0</v>
      </c>
      <c r="AG15" s="579">
        <f>'PMOC BY Adj'!AA15*$AC15</f>
        <v>0</v>
      </c>
      <c r="AH15" s="580">
        <f t="shared" si="21"/>
        <v>0</v>
      </c>
      <c r="AI15" s="580">
        <f t="shared" si="22"/>
        <v>0</v>
      </c>
      <c r="AJ15" s="568"/>
      <c r="AK15" s="581">
        <f t="shared" si="9"/>
        <v>0</v>
      </c>
      <c r="AL15" s="541">
        <f t="shared" si="10"/>
        <v>0</v>
      </c>
      <c r="AM15" s="541">
        <f t="shared" si="11"/>
        <v>0</v>
      </c>
      <c r="AN15" s="541">
        <f t="shared" si="12"/>
        <v>0</v>
      </c>
      <c r="AO15" s="541">
        <f t="shared" si="13"/>
        <v>0</v>
      </c>
      <c r="AP15" s="580">
        <f t="shared" si="14"/>
        <v>0</v>
      </c>
    </row>
    <row r="16" spans="1:42">
      <c r="A16" s="575">
        <v>10.119999999999999</v>
      </c>
      <c r="B16" s="576" t="s">
        <v>26</v>
      </c>
      <c r="C16" s="577">
        <f t="shared" si="5"/>
        <v>0</v>
      </c>
      <c r="D16" s="568"/>
      <c r="E16" s="577">
        <f t="shared" si="5"/>
        <v>0</v>
      </c>
      <c r="F16" s="579">
        <f>'PMOC BY Adj'!C16*$E16</f>
        <v>0</v>
      </c>
      <c r="G16" s="579">
        <f>'PMOC BY Adj'!D16*$E16</f>
        <v>0</v>
      </c>
      <c r="H16" s="579">
        <f>'PMOC BY Adj'!E16*$E16</f>
        <v>0</v>
      </c>
      <c r="I16" s="579">
        <f>'PMOC BY Adj'!F16*$E16</f>
        <v>0</v>
      </c>
      <c r="J16" s="580">
        <f t="shared" si="15"/>
        <v>0</v>
      </c>
      <c r="K16" s="580">
        <f t="shared" si="16"/>
        <v>0</v>
      </c>
      <c r="L16" s="568"/>
      <c r="M16" s="577">
        <f t="shared" si="6"/>
        <v>0</v>
      </c>
      <c r="N16" s="579">
        <f>'PMOC BY Adj'!J16*$M16</f>
        <v>0</v>
      </c>
      <c r="O16" s="579">
        <f>'PMOC BY Adj'!K16*$M16</f>
        <v>0</v>
      </c>
      <c r="P16" s="579">
        <f>'PMOC BY Adj'!L16*$M16</f>
        <v>0</v>
      </c>
      <c r="Q16" s="579">
        <f>'PMOC BY Adj'!M16*$M16</f>
        <v>0</v>
      </c>
      <c r="R16" s="580">
        <f t="shared" si="17"/>
        <v>0</v>
      </c>
      <c r="S16" s="580">
        <f t="shared" si="18"/>
        <v>0</v>
      </c>
      <c r="T16" s="568"/>
      <c r="U16" s="577">
        <f t="shared" si="7"/>
        <v>0</v>
      </c>
      <c r="V16" s="579">
        <f>'PMOC BY Adj'!Q16*$U16</f>
        <v>0</v>
      </c>
      <c r="W16" s="579">
        <f>'PMOC BY Adj'!R16*$U16</f>
        <v>0</v>
      </c>
      <c r="X16" s="579">
        <f>'PMOC BY Adj'!S16*$U16</f>
        <v>0</v>
      </c>
      <c r="Y16" s="579">
        <f>'PMOC BY Adj'!T16*$U16</f>
        <v>0</v>
      </c>
      <c r="Z16" s="580">
        <f t="shared" si="19"/>
        <v>0</v>
      </c>
      <c r="AA16" s="580">
        <f t="shared" si="20"/>
        <v>0</v>
      </c>
      <c r="AB16" s="568"/>
      <c r="AC16" s="577">
        <f t="shared" si="8"/>
        <v>0</v>
      </c>
      <c r="AD16" s="579">
        <f>'PMOC BY Adj'!X16*$AC16</f>
        <v>0</v>
      </c>
      <c r="AE16" s="579">
        <f>'PMOC BY Adj'!Y16*$AC16</f>
        <v>0</v>
      </c>
      <c r="AF16" s="579">
        <f>'PMOC BY Adj'!Z16*$AC16</f>
        <v>0</v>
      </c>
      <c r="AG16" s="579">
        <f>'PMOC BY Adj'!AA16*$AC16</f>
        <v>0</v>
      </c>
      <c r="AH16" s="580">
        <f t="shared" si="21"/>
        <v>0</v>
      </c>
      <c r="AI16" s="580">
        <f t="shared" si="22"/>
        <v>0</v>
      </c>
      <c r="AJ16" s="568"/>
      <c r="AK16" s="581">
        <f t="shared" si="9"/>
        <v>0</v>
      </c>
      <c r="AL16" s="541">
        <f t="shared" si="10"/>
        <v>0</v>
      </c>
      <c r="AM16" s="541">
        <f t="shared" si="11"/>
        <v>0</v>
      </c>
      <c r="AN16" s="541">
        <f t="shared" si="12"/>
        <v>0</v>
      </c>
      <c r="AO16" s="541">
        <f t="shared" si="13"/>
        <v>0</v>
      </c>
      <c r="AP16" s="580">
        <f t="shared" si="14"/>
        <v>0</v>
      </c>
    </row>
    <row r="17" spans="1:42">
      <c r="A17" s="575">
        <v>10.130000000000001</v>
      </c>
      <c r="B17" s="576" t="s">
        <v>27</v>
      </c>
      <c r="C17" s="577">
        <f t="shared" si="5"/>
        <v>0</v>
      </c>
      <c r="D17" s="568"/>
      <c r="E17" s="577">
        <f t="shared" si="5"/>
        <v>0</v>
      </c>
      <c r="F17" s="579">
        <f>'PMOC BY Adj'!C17*$E17</f>
        <v>0</v>
      </c>
      <c r="G17" s="579">
        <f>'PMOC BY Adj'!D17*$E17</f>
        <v>0</v>
      </c>
      <c r="H17" s="579">
        <f>'PMOC BY Adj'!E17*$E17</f>
        <v>0</v>
      </c>
      <c r="I17" s="579">
        <f>'PMOC BY Adj'!F17*$E17</f>
        <v>0</v>
      </c>
      <c r="J17" s="580">
        <f t="shared" si="15"/>
        <v>0</v>
      </c>
      <c r="K17" s="580">
        <f t="shared" si="16"/>
        <v>0</v>
      </c>
      <c r="L17" s="568"/>
      <c r="M17" s="577">
        <f t="shared" si="6"/>
        <v>0</v>
      </c>
      <c r="N17" s="579">
        <f>'PMOC BY Adj'!J17*$M17</f>
        <v>0</v>
      </c>
      <c r="O17" s="579">
        <f>'PMOC BY Adj'!K17*$M17</f>
        <v>0</v>
      </c>
      <c r="P17" s="579">
        <f>'PMOC BY Adj'!L17*$M17</f>
        <v>0</v>
      </c>
      <c r="Q17" s="579">
        <f>'PMOC BY Adj'!M17*$M17</f>
        <v>0</v>
      </c>
      <c r="R17" s="580">
        <f t="shared" si="17"/>
        <v>0</v>
      </c>
      <c r="S17" s="580">
        <f t="shared" si="18"/>
        <v>0</v>
      </c>
      <c r="T17" s="568"/>
      <c r="U17" s="577">
        <f t="shared" si="7"/>
        <v>0</v>
      </c>
      <c r="V17" s="579">
        <f>'PMOC BY Adj'!Q17*$U17</f>
        <v>0</v>
      </c>
      <c r="W17" s="579">
        <f>'PMOC BY Adj'!R17*$U17</f>
        <v>0</v>
      </c>
      <c r="X17" s="579">
        <f>'PMOC BY Adj'!S17*$U17</f>
        <v>0</v>
      </c>
      <c r="Y17" s="579">
        <f>'PMOC BY Adj'!T17*$U17</f>
        <v>0</v>
      </c>
      <c r="Z17" s="580">
        <f t="shared" si="19"/>
        <v>0</v>
      </c>
      <c r="AA17" s="580">
        <f t="shared" si="20"/>
        <v>0</v>
      </c>
      <c r="AB17" s="568"/>
      <c r="AC17" s="577">
        <f t="shared" si="8"/>
        <v>0</v>
      </c>
      <c r="AD17" s="579">
        <f>'PMOC BY Adj'!X17*$AC17</f>
        <v>0</v>
      </c>
      <c r="AE17" s="579">
        <f>'PMOC BY Adj'!Y17*$AC17</f>
        <v>0</v>
      </c>
      <c r="AF17" s="579">
        <f>'PMOC BY Adj'!Z17*$AC17</f>
        <v>0</v>
      </c>
      <c r="AG17" s="579">
        <f>'PMOC BY Adj'!AA17*$AC17</f>
        <v>0</v>
      </c>
      <c r="AH17" s="580">
        <f t="shared" si="21"/>
        <v>0</v>
      </c>
      <c r="AI17" s="580">
        <f t="shared" si="22"/>
        <v>0</v>
      </c>
      <c r="AJ17" s="568"/>
      <c r="AK17" s="581">
        <f t="shared" si="9"/>
        <v>0</v>
      </c>
      <c r="AL17" s="541">
        <f t="shared" si="10"/>
        <v>0</v>
      </c>
      <c r="AM17" s="541">
        <f t="shared" si="11"/>
        <v>0</v>
      </c>
      <c r="AN17" s="541">
        <f t="shared" si="12"/>
        <v>0</v>
      </c>
      <c r="AO17" s="541">
        <f t="shared" si="13"/>
        <v>0</v>
      </c>
      <c r="AP17" s="580">
        <f t="shared" si="14"/>
        <v>0</v>
      </c>
    </row>
    <row r="18" spans="1:42" ht="15">
      <c r="A18" s="565" t="s">
        <v>167</v>
      </c>
      <c r="B18" s="566"/>
      <c r="C18" s="567">
        <f>'PMOC Globl Infl Adjst'!D30</f>
        <v>0</v>
      </c>
      <c r="D18" s="568"/>
      <c r="E18" s="582">
        <f>$C18</f>
        <v>0</v>
      </c>
      <c r="F18" s="572">
        <f>SUM(F19:F25)</f>
        <v>0</v>
      </c>
      <c r="G18" s="572">
        <f>SUM(G19:G25)</f>
        <v>0</v>
      </c>
      <c r="H18" s="572">
        <f t="shared" ref="H18:I18" si="23">SUM(H19:H25)</f>
        <v>0</v>
      </c>
      <c r="I18" s="572">
        <f t="shared" si="23"/>
        <v>0</v>
      </c>
      <c r="J18" s="573">
        <f>SUM(J19:J25)</f>
        <v>0</v>
      </c>
      <c r="K18" s="573">
        <f>SUM(K19:K25)</f>
        <v>0</v>
      </c>
      <c r="L18" s="568"/>
      <c r="M18" s="582">
        <f>$C18</f>
        <v>0</v>
      </c>
      <c r="N18" s="572">
        <f>SUM(N19:N25)</f>
        <v>0</v>
      </c>
      <c r="O18" s="572">
        <f>SUM(O19:O25)</f>
        <v>0</v>
      </c>
      <c r="P18" s="572">
        <f t="shared" ref="P18:Q18" si="24">SUM(P19:P25)</f>
        <v>0</v>
      </c>
      <c r="Q18" s="572">
        <f t="shared" si="24"/>
        <v>0</v>
      </c>
      <c r="R18" s="573">
        <f>SUM(R19:R25)</f>
        <v>0</v>
      </c>
      <c r="S18" s="573">
        <f>SUM(S19:S25)</f>
        <v>0</v>
      </c>
      <c r="T18" s="568"/>
      <c r="U18" s="582">
        <f>$C18</f>
        <v>0</v>
      </c>
      <c r="V18" s="572">
        <f>SUM(V19:V25)</f>
        <v>0</v>
      </c>
      <c r="W18" s="572">
        <f>SUM(W19:W25)</f>
        <v>0</v>
      </c>
      <c r="X18" s="572">
        <f t="shared" ref="X18:Y18" si="25">SUM(X19:X25)</f>
        <v>0</v>
      </c>
      <c r="Y18" s="572">
        <f t="shared" si="25"/>
        <v>0</v>
      </c>
      <c r="Z18" s="573">
        <f>SUM(Z19:Z25)</f>
        <v>0</v>
      </c>
      <c r="AA18" s="573">
        <f>SUM(AA19:AA25)</f>
        <v>0</v>
      </c>
      <c r="AB18" s="568"/>
      <c r="AC18" s="582">
        <f>$C18</f>
        <v>0</v>
      </c>
      <c r="AD18" s="572">
        <f>SUM(AD19:AD25)</f>
        <v>0</v>
      </c>
      <c r="AE18" s="572">
        <f>SUM(AE19:AE25)</f>
        <v>0</v>
      </c>
      <c r="AF18" s="572">
        <f t="shared" ref="AF18:AG18" si="26">SUM(AF19:AF25)</f>
        <v>0</v>
      </c>
      <c r="AG18" s="572">
        <f t="shared" si="26"/>
        <v>0</v>
      </c>
      <c r="AH18" s="573">
        <f>SUM(AH19:AH25)</f>
        <v>0</v>
      </c>
      <c r="AI18" s="573">
        <f>SUM(AI19:AI25)</f>
        <v>0</v>
      </c>
      <c r="AJ18" s="568"/>
      <c r="AK18" s="574">
        <f>SUM(AK19:AK25)</f>
        <v>0</v>
      </c>
      <c r="AL18" s="572">
        <f>SUM(AL19:AL25)</f>
        <v>0</v>
      </c>
      <c r="AM18" s="572">
        <f t="shared" ref="AM18:AN18" si="27">SUM(AM19:AM25)</f>
        <v>0</v>
      </c>
      <c r="AN18" s="572">
        <f t="shared" si="27"/>
        <v>0</v>
      </c>
      <c r="AO18" s="572">
        <f>SUM(AO19:AO25)</f>
        <v>0</v>
      </c>
      <c r="AP18" s="573">
        <f>SUM(AP19:AP25)</f>
        <v>0</v>
      </c>
    </row>
    <row r="19" spans="1:42">
      <c r="A19" s="583">
        <v>20.010000000000002</v>
      </c>
      <c r="B19" s="584" t="s">
        <v>63</v>
      </c>
      <c r="C19" s="577">
        <f t="shared" ref="C19:E25" si="28">C$18</f>
        <v>0</v>
      </c>
      <c r="D19" s="568"/>
      <c r="E19" s="577">
        <f t="shared" si="28"/>
        <v>0</v>
      </c>
      <c r="F19" s="579">
        <f>'PMOC BY Adj'!C19*$E19</f>
        <v>0</v>
      </c>
      <c r="G19" s="579">
        <f>'PMOC BY Adj'!D19*$E19</f>
        <v>0</v>
      </c>
      <c r="H19" s="579">
        <f>'PMOC BY Adj'!E19*$E19</f>
        <v>0</v>
      </c>
      <c r="I19" s="579">
        <f>'PMOC BY Adj'!F19*$E19</f>
        <v>0</v>
      </c>
      <c r="J19" s="580">
        <f t="shared" ref="J19:J25" si="29">SUM(G19:I19)</f>
        <v>0</v>
      </c>
      <c r="K19" s="580">
        <f t="shared" ref="K19:K25" si="30">SUM(F19,J19)</f>
        <v>0</v>
      </c>
      <c r="L19" s="568"/>
      <c r="M19" s="577">
        <f t="shared" ref="M19:M25" si="31">M$18</f>
        <v>0</v>
      </c>
      <c r="N19" s="579">
        <f>'PMOC BY Adj'!J19*$M19</f>
        <v>0</v>
      </c>
      <c r="O19" s="579">
        <f>'PMOC BY Adj'!K19*$M19</f>
        <v>0</v>
      </c>
      <c r="P19" s="579">
        <f>'PMOC BY Adj'!L19*$M19</f>
        <v>0</v>
      </c>
      <c r="Q19" s="579">
        <f>'PMOC BY Adj'!M19*$M19</f>
        <v>0</v>
      </c>
      <c r="R19" s="580">
        <f t="shared" ref="R19:R25" si="32">SUM(O19:Q19)</f>
        <v>0</v>
      </c>
      <c r="S19" s="580">
        <f t="shared" ref="S19:S31" si="33">SUM(N19,R19)</f>
        <v>0</v>
      </c>
      <c r="T19" s="568"/>
      <c r="U19" s="577">
        <f t="shared" ref="U19:U25" si="34">U$18</f>
        <v>0</v>
      </c>
      <c r="V19" s="579">
        <f>'PMOC BY Adj'!Q19*$U19</f>
        <v>0</v>
      </c>
      <c r="W19" s="579">
        <f>'PMOC BY Adj'!R19*$U19</f>
        <v>0</v>
      </c>
      <c r="X19" s="579">
        <f>'PMOC BY Adj'!S19*$U19</f>
        <v>0</v>
      </c>
      <c r="Y19" s="579">
        <f>'PMOC BY Adj'!T19*$U19</f>
        <v>0</v>
      </c>
      <c r="Z19" s="580">
        <f t="shared" ref="Z19:Z25" si="35">SUM(W19:Y19)</f>
        <v>0</v>
      </c>
      <c r="AA19" s="580">
        <f t="shared" ref="AA19:AA31" si="36">SUM(V19,Z19)</f>
        <v>0</v>
      </c>
      <c r="AB19" s="568"/>
      <c r="AC19" s="577">
        <f t="shared" ref="AC19:AC25" si="37">AC$18</f>
        <v>0</v>
      </c>
      <c r="AD19" s="579">
        <f>'PMOC BY Adj'!X19*$AC19</f>
        <v>0</v>
      </c>
      <c r="AE19" s="579">
        <f>'PMOC BY Adj'!Y19*$AC19</f>
        <v>0</v>
      </c>
      <c r="AF19" s="579">
        <f>'PMOC BY Adj'!Z19*$AC19</f>
        <v>0</v>
      </c>
      <c r="AG19" s="579">
        <f>'PMOC BY Adj'!AA19*$AC19</f>
        <v>0</v>
      </c>
      <c r="AH19" s="580">
        <f t="shared" ref="AH19:AH25" si="38">SUM(AE19:AG19)</f>
        <v>0</v>
      </c>
      <c r="AI19" s="580">
        <f t="shared" ref="AI19:AI31" si="39">SUM(AD19,AH19)</f>
        <v>0</v>
      </c>
      <c r="AJ19" s="568"/>
      <c r="AK19" s="581">
        <f t="shared" ref="AK19:AP31" si="40">SUM(F19,N19,V19,AD19)</f>
        <v>0</v>
      </c>
      <c r="AL19" s="541">
        <f t="shared" si="40"/>
        <v>0</v>
      </c>
      <c r="AM19" s="541">
        <f t="shared" si="40"/>
        <v>0</v>
      </c>
      <c r="AN19" s="541">
        <f t="shared" si="40"/>
        <v>0</v>
      </c>
      <c r="AO19" s="541">
        <f t="shared" si="40"/>
        <v>0</v>
      </c>
      <c r="AP19" s="580">
        <f t="shared" si="40"/>
        <v>0</v>
      </c>
    </row>
    <row r="20" spans="1:42">
      <c r="A20" s="583">
        <v>20.02</v>
      </c>
      <c r="B20" s="584" t="s">
        <v>64</v>
      </c>
      <c r="C20" s="577">
        <f t="shared" si="28"/>
        <v>0</v>
      </c>
      <c r="D20" s="568"/>
      <c r="E20" s="577">
        <f t="shared" si="28"/>
        <v>0</v>
      </c>
      <c r="F20" s="579">
        <f>'PMOC BY Adj'!C20*$E20</f>
        <v>0</v>
      </c>
      <c r="G20" s="579">
        <f>'PMOC BY Adj'!D20*$E20</f>
        <v>0</v>
      </c>
      <c r="H20" s="579">
        <f>'PMOC BY Adj'!E20*$E20</f>
        <v>0</v>
      </c>
      <c r="I20" s="579">
        <f>'PMOC BY Adj'!F20*$E20</f>
        <v>0</v>
      </c>
      <c r="J20" s="580">
        <f t="shared" si="29"/>
        <v>0</v>
      </c>
      <c r="K20" s="580">
        <f t="shared" si="30"/>
        <v>0</v>
      </c>
      <c r="L20" s="568"/>
      <c r="M20" s="577">
        <f t="shared" si="31"/>
        <v>0</v>
      </c>
      <c r="N20" s="579">
        <f>'PMOC BY Adj'!J20*$M20</f>
        <v>0</v>
      </c>
      <c r="O20" s="579">
        <f>'PMOC BY Adj'!K20*$M20</f>
        <v>0</v>
      </c>
      <c r="P20" s="579">
        <f>'PMOC BY Adj'!L20*$M20</f>
        <v>0</v>
      </c>
      <c r="Q20" s="579">
        <f>'PMOC BY Adj'!M20*$M20</f>
        <v>0</v>
      </c>
      <c r="R20" s="580">
        <f t="shared" si="32"/>
        <v>0</v>
      </c>
      <c r="S20" s="580">
        <f t="shared" si="33"/>
        <v>0</v>
      </c>
      <c r="T20" s="568"/>
      <c r="U20" s="577">
        <f t="shared" si="34"/>
        <v>0</v>
      </c>
      <c r="V20" s="579">
        <f>'PMOC BY Adj'!Q20*$U20</f>
        <v>0</v>
      </c>
      <c r="W20" s="579">
        <f>'PMOC BY Adj'!R20*$U20</f>
        <v>0</v>
      </c>
      <c r="X20" s="579">
        <f>'PMOC BY Adj'!S20*$U20</f>
        <v>0</v>
      </c>
      <c r="Y20" s="579">
        <f>'PMOC BY Adj'!T20*$U20</f>
        <v>0</v>
      </c>
      <c r="Z20" s="580">
        <f t="shared" si="35"/>
        <v>0</v>
      </c>
      <c r="AA20" s="580">
        <f t="shared" si="36"/>
        <v>0</v>
      </c>
      <c r="AB20" s="568"/>
      <c r="AC20" s="577">
        <f t="shared" si="37"/>
        <v>0</v>
      </c>
      <c r="AD20" s="579">
        <f>'PMOC BY Adj'!X20*$AC20</f>
        <v>0</v>
      </c>
      <c r="AE20" s="579">
        <f>'PMOC BY Adj'!Y20*$AC20</f>
        <v>0</v>
      </c>
      <c r="AF20" s="579">
        <f>'PMOC BY Adj'!Z20*$AC20</f>
        <v>0</v>
      </c>
      <c r="AG20" s="579">
        <f>'PMOC BY Adj'!AA20*$AC20</f>
        <v>0</v>
      </c>
      <c r="AH20" s="580">
        <f t="shared" si="38"/>
        <v>0</v>
      </c>
      <c r="AI20" s="580">
        <f t="shared" si="39"/>
        <v>0</v>
      </c>
      <c r="AJ20" s="568"/>
      <c r="AK20" s="581">
        <f t="shared" si="40"/>
        <v>0</v>
      </c>
      <c r="AL20" s="541">
        <f t="shared" si="40"/>
        <v>0</v>
      </c>
      <c r="AM20" s="541">
        <f t="shared" si="40"/>
        <v>0</v>
      </c>
      <c r="AN20" s="541">
        <f t="shared" si="40"/>
        <v>0</v>
      </c>
      <c r="AO20" s="541">
        <f t="shared" si="40"/>
        <v>0</v>
      </c>
      <c r="AP20" s="580">
        <f t="shared" si="40"/>
        <v>0</v>
      </c>
    </row>
    <row r="21" spans="1:42">
      <c r="A21" s="583">
        <v>20.03</v>
      </c>
      <c r="B21" s="584" t="s">
        <v>65</v>
      </c>
      <c r="C21" s="577">
        <f t="shared" si="28"/>
        <v>0</v>
      </c>
      <c r="D21" s="568"/>
      <c r="E21" s="577">
        <f t="shared" si="28"/>
        <v>0</v>
      </c>
      <c r="F21" s="579">
        <f>'PMOC BY Adj'!C21*$E21</f>
        <v>0</v>
      </c>
      <c r="G21" s="579">
        <f>'PMOC BY Adj'!D21*$E21</f>
        <v>0</v>
      </c>
      <c r="H21" s="579">
        <f>'PMOC BY Adj'!E21*$E21</f>
        <v>0</v>
      </c>
      <c r="I21" s="579">
        <f>'PMOC BY Adj'!F21*$E21</f>
        <v>0</v>
      </c>
      <c r="J21" s="580">
        <f t="shared" si="29"/>
        <v>0</v>
      </c>
      <c r="K21" s="580">
        <f t="shared" si="30"/>
        <v>0</v>
      </c>
      <c r="L21" s="568"/>
      <c r="M21" s="577">
        <f t="shared" si="31"/>
        <v>0</v>
      </c>
      <c r="N21" s="579">
        <f>'PMOC BY Adj'!J21*$M21</f>
        <v>0</v>
      </c>
      <c r="O21" s="579">
        <f>'PMOC BY Adj'!K21*$M21</f>
        <v>0</v>
      </c>
      <c r="P21" s="579">
        <f>'PMOC BY Adj'!L21*$M21</f>
        <v>0</v>
      </c>
      <c r="Q21" s="579">
        <f>'PMOC BY Adj'!M21*$M21</f>
        <v>0</v>
      </c>
      <c r="R21" s="580">
        <f t="shared" si="32"/>
        <v>0</v>
      </c>
      <c r="S21" s="580">
        <f t="shared" si="33"/>
        <v>0</v>
      </c>
      <c r="T21" s="568"/>
      <c r="U21" s="577">
        <f t="shared" si="34"/>
        <v>0</v>
      </c>
      <c r="V21" s="579">
        <f>'PMOC BY Adj'!Q21*$U21</f>
        <v>0</v>
      </c>
      <c r="W21" s="579">
        <f>'PMOC BY Adj'!R21*$U21</f>
        <v>0</v>
      </c>
      <c r="X21" s="579">
        <f>'PMOC BY Adj'!S21*$U21</f>
        <v>0</v>
      </c>
      <c r="Y21" s="579">
        <f>'PMOC BY Adj'!T21*$U21</f>
        <v>0</v>
      </c>
      <c r="Z21" s="580">
        <f t="shared" si="35"/>
        <v>0</v>
      </c>
      <c r="AA21" s="580">
        <f t="shared" si="36"/>
        <v>0</v>
      </c>
      <c r="AB21" s="568"/>
      <c r="AC21" s="577">
        <f t="shared" si="37"/>
        <v>0</v>
      </c>
      <c r="AD21" s="579">
        <f>'PMOC BY Adj'!X21*$AC21</f>
        <v>0</v>
      </c>
      <c r="AE21" s="579">
        <f>'PMOC BY Adj'!Y21*$AC21</f>
        <v>0</v>
      </c>
      <c r="AF21" s="579">
        <f>'PMOC BY Adj'!Z21*$AC21</f>
        <v>0</v>
      </c>
      <c r="AG21" s="579">
        <f>'PMOC BY Adj'!AA21*$AC21</f>
        <v>0</v>
      </c>
      <c r="AH21" s="580">
        <f t="shared" si="38"/>
        <v>0</v>
      </c>
      <c r="AI21" s="580">
        <f t="shared" si="39"/>
        <v>0</v>
      </c>
      <c r="AJ21" s="568"/>
      <c r="AK21" s="581">
        <f t="shared" si="40"/>
        <v>0</v>
      </c>
      <c r="AL21" s="541">
        <f t="shared" si="40"/>
        <v>0</v>
      </c>
      <c r="AM21" s="541">
        <f t="shared" si="40"/>
        <v>0</v>
      </c>
      <c r="AN21" s="541">
        <f t="shared" si="40"/>
        <v>0</v>
      </c>
      <c r="AO21" s="541">
        <f t="shared" si="40"/>
        <v>0</v>
      </c>
      <c r="AP21" s="580">
        <f t="shared" si="40"/>
        <v>0</v>
      </c>
    </row>
    <row r="22" spans="1:42">
      <c r="A22" s="583">
        <v>20.04</v>
      </c>
      <c r="B22" s="584" t="s">
        <v>66</v>
      </c>
      <c r="C22" s="577">
        <f t="shared" si="28"/>
        <v>0</v>
      </c>
      <c r="D22" s="568"/>
      <c r="E22" s="577">
        <f t="shared" si="28"/>
        <v>0</v>
      </c>
      <c r="F22" s="579">
        <f>'PMOC BY Adj'!C22*$E22</f>
        <v>0</v>
      </c>
      <c r="G22" s="579">
        <f>'PMOC BY Adj'!D22*$E22</f>
        <v>0</v>
      </c>
      <c r="H22" s="579">
        <f>'PMOC BY Adj'!E22*$E22</f>
        <v>0</v>
      </c>
      <c r="I22" s="579">
        <f>'PMOC BY Adj'!F22*$E22</f>
        <v>0</v>
      </c>
      <c r="J22" s="580">
        <f t="shared" si="29"/>
        <v>0</v>
      </c>
      <c r="K22" s="580">
        <f t="shared" si="30"/>
        <v>0</v>
      </c>
      <c r="L22" s="568"/>
      <c r="M22" s="577">
        <f t="shared" si="31"/>
        <v>0</v>
      </c>
      <c r="N22" s="579">
        <f>'PMOC BY Adj'!J22*$M22</f>
        <v>0</v>
      </c>
      <c r="O22" s="579">
        <f>'PMOC BY Adj'!K22*$M22</f>
        <v>0</v>
      </c>
      <c r="P22" s="579">
        <f>'PMOC BY Adj'!L22*$M22</f>
        <v>0</v>
      </c>
      <c r="Q22" s="579">
        <f>'PMOC BY Adj'!M22*$M22</f>
        <v>0</v>
      </c>
      <c r="R22" s="580">
        <f t="shared" si="32"/>
        <v>0</v>
      </c>
      <c r="S22" s="580">
        <f t="shared" si="33"/>
        <v>0</v>
      </c>
      <c r="T22" s="568"/>
      <c r="U22" s="577">
        <f t="shared" si="34"/>
        <v>0</v>
      </c>
      <c r="V22" s="579">
        <f>'PMOC BY Adj'!Q22*$U22</f>
        <v>0</v>
      </c>
      <c r="W22" s="579">
        <f>'PMOC BY Adj'!R22*$U22</f>
        <v>0</v>
      </c>
      <c r="X22" s="579">
        <f>'PMOC BY Adj'!S22*$U22</f>
        <v>0</v>
      </c>
      <c r="Y22" s="579">
        <f>'PMOC BY Adj'!T22*$U22</f>
        <v>0</v>
      </c>
      <c r="Z22" s="580">
        <f t="shared" si="35"/>
        <v>0</v>
      </c>
      <c r="AA22" s="580">
        <f t="shared" si="36"/>
        <v>0</v>
      </c>
      <c r="AB22" s="568"/>
      <c r="AC22" s="577">
        <f t="shared" si="37"/>
        <v>0</v>
      </c>
      <c r="AD22" s="579">
        <f>'PMOC BY Adj'!X22*$AC22</f>
        <v>0</v>
      </c>
      <c r="AE22" s="579">
        <f>'PMOC BY Adj'!Y22*$AC22</f>
        <v>0</v>
      </c>
      <c r="AF22" s="579">
        <f>'PMOC BY Adj'!Z22*$AC22</f>
        <v>0</v>
      </c>
      <c r="AG22" s="579">
        <f>'PMOC BY Adj'!AA22*$AC22</f>
        <v>0</v>
      </c>
      <c r="AH22" s="580">
        <f t="shared" si="38"/>
        <v>0</v>
      </c>
      <c r="AI22" s="580">
        <f t="shared" si="39"/>
        <v>0</v>
      </c>
      <c r="AJ22" s="568"/>
      <c r="AK22" s="581">
        <f t="shared" si="40"/>
        <v>0</v>
      </c>
      <c r="AL22" s="541">
        <f t="shared" si="40"/>
        <v>0</v>
      </c>
      <c r="AM22" s="541">
        <f t="shared" si="40"/>
        <v>0</v>
      </c>
      <c r="AN22" s="541">
        <f t="shared" si="40"/>
        <v>0</v>
      </c>
      <c r="AO22" s="541">
        <f t="shared" si="40"/>
        <v>0</v>
      </c>
      <c r="AP22" s="580">
        <f t="shared" si="40"/>
        <v>0</v>
      </c>
    </row>
    <row r="23" spans="1:42">
      <c r="A23" s="583">
        <v>20.05</v>
      </c>
      <c r="B23" s="584" t="s">
        <v>67</v>
      </c>
      <c r="C23" s="577">
        <f t="shared" si="28"/>
        <v>0</v>
      </c>
      <c r="D23" s="568"/>
      <c r="E23" s="577">
        <f t="shared" si="28"/>
        <v>0</v>
      </c>
      <c r="F23" s="579">
        <f>'PMOC BY Adj'!C23*$E23</f>
        <v>0</v>
      </c>
      <c r="G23" s="579">
        <f>'PMOC BY Adj'!D23*$E23</f>
        <v>0</v>
      </c>
      <c r="H23" s="579">
        <f>'PMOC BY Adj'!E23*$E23</f>
        <v>0</v>
      </c>
      <c r="I23" s="579">
        <f>'PMOC BY Adj'!F23*$E23</f>
        <v>0</v>
      </c>
      <c r="J23" s="580">
        <f t="shared" si="29"/>
        <v>0</v>
      </c>
      <c r="K23" s="580">
        <f t="shared" si="30"/>
        <v>0</v>
      </c>
      <c r="L23" s="568"/>
      <c r="M23" s="577">
        <f t="shared" si="31"/>
        <v>0</v>
      </c>
      <c r="N23" s="579">
        <f>'PMOC BY Adj'!J23*$M23</f>
        <v>0</v>
      </c>
      <c r="O23" s="579">
        <f>'PMOC BY Adj'!K23*$M23</f>
        <v>0</v>
      </c>
      <c r="P23" s="579">
        <f>'PMOC BY Adj'!L23*$M23</f>
        <v>0</v>
      </c>
      <c r="Q23" s="579">
        <f>'PMOC BY Adj'!M23*$M23</f>
        <v>0</v>
      </c>
      <c r="R23" s="580">
        <f t="shared" si="32"/>
        <v>0</v>
      </c>
      <c r="S23" s="580">
        <f t="shared" si="33"/>
        <v>0</v>
      </c>
      <c r="T23" s="568"/>
      <c r="U23" s="577">
        <f t="shared" si="34"/>
        <v>0</v>
      </c>
      <c r="V23" s="579">
        <f>'PMOC BY Adj'!Q23*$U23</f>
        <v>0</v>
      </c>
      <c r="W23" s="579">
        <f>'PMOC BY Adj'!R23*$U23</f>
        <v>0</v>
      </c>
      <c r="X23" s="579">
        <f>'PMOC BY Adj'!S23*$U23</f>
        <v>0</v>
      </c>
      <c r="Y23" s="579">
        <f>'PMOC BY Adj'!T23*$U23</f>
        <v>0</v>
      </c>
      <c r="Z23" s="580">
        <f t="shared" si="35"/>
        <v>0</v>
      </c>
      <c r="AA23" s="580">
        <f t="shared" si="36"/>
        <v>0</v>
      </c>
      <c r="AB23" s="568"/>
      <c r="AC23" s="577">
        <f t="shared" si="37"/>
        <v>0</v>
      </c>
      <c r="AD23" s="579">
        <f>'PMOC BY Adj'!X23*$AC23</f>
        <v>0</v>
      </c>
      <c r="AE23" s="579">
        <f>'PMOC BY Adj'!Y23*$AC23</f>
        <v>0</v>
      </c>
      <c r="AF23" s="579">
        <f>'PMOC BY Adj'!Z23*$AC23</f>
        <v>0</v>
      </c>
      <c r="AG23" s="579">
        <f>'PMOC BY Adj'!AA23*$AC23</f>
        <v>0</v>
      </c>
      <c r="AH23" s="580">
        <f t="shared" si="38"/>
        <v>0</v>
      </c>
      <c r="AI23" s="580">
        <f t="shared" si="39"/>
        <v>0</v>
      </c>
      <c r="AJ23" s="568"/>
      <c r="AK23" s="581">
        <f t="shared" si="40"/>
        <v>0</v>
      </c>
      <c r="AL23" s="541">
        <f t="shared" si="40"/>
        <v>0</v>
      </c>
      <c r="AM23" s="541">
        <f t="shared" si="40"/>
        <v>0</v>
      </c>
      <c r="AN23" s="541">
        <f t="shared" si="40"/>
        <v>0</v>
      </c>
      <c r="AO23" s="541">
        <f t="shared" si="40"/>
        <v>0</v>
      </c>
      <c r="AP23" s="580">
        <f t="shared" si="40"/>
        <v>0</v>
      </c>
    </row>
    <row r="24" spans="1:42">
      <c r="A24" s="583">
        <v>20.059999999999999</v>
      </c>
      <c r="B24" s="584" t="s">
        <v>68</v>
      </c>
      <c r="C24" s="577">
        <f t="shared" si="28"/>
        <v>0</v>
      </c>
      <c r="D24" s="568"/>
      <c r="E24" s="577">
        <f t="shared" si="28"/>
        <v>0</v>
      </c>
      <c r="F24" s="579">
        <f>'PMOC BY Adj'!C24*$E24</f>
        <v>0</v>
      </c>
      <c r="G24" s="579">
        <f>'PMOC BY Adj'!D24*$E24</f>
        <v>0</v>
      </c>
      <c r="H24" s="579">
        <f>'PMOC BY Adj'!E24*$E24</f>
        <v>0</v>
      </c>
      <c r="I24" s="579">
        <f>'PMOC BY Adj'!F24*$E24</f>
        <v>0</v>
      </c>
      <c r="J24" s="580">
        <f t="shared" si="29"/>
        <v>0</v>
      </c>
      <c r="K24" s="580">
        <f t="shared" si="30"/>
        <v>0</v>
      </c>
      <c r="L24" s="568"/>
      <c r="M24" s="577">
        <f t="shared" si="31"/>
        <v>0</v>
      </c>
      <c r="N24" s="579">
        <f>'PMOC BY Adj'!J24*$M24</f>
        <v>0</v>
      </c>
      <c r="O24" s="579">
        <f>'PMOC BY Adj'!K24*$M24</f>
        <v>0</v>
      </c>
      <c r="P24" s="579">
        <f>'PMOC BY Adj'!L24*$M24</f>
        <v>0</v>
      </c>
      <c r="Q24" s="579">
        <f>'PMOC BY Adj'!M24*$M24</f>
        <v>0</v>
      </c>
      <c r="R24" s="580">
        <f t="shared" si="32"/>
        <v>0</v>
      </c>
      <c r="S24" s="580">
        <f t="shared" si="33"/>
        <v>0</v>
      </c>
      <c r="T24" s="568"/>
      <c r="U24" s="577">
        <f t="shared" si="34"/>
        <v>0</v>
      </c>
      <c r="V24" s="579">
        <f>'PMOC BY Adj'!Q24*$U24</f>
        <v>0</v>
      </c>
      <c r="W24" s="579">
        <f>'PMOC BY Adj'!R24*$U24</f>
        <v>0</v>
      </c>
      <c r="X24" s="579">
        <f>'PMOC BY Adj'!S24*$U24</f>
        <v>0</v>
      </c>
      <c r="Y24" s="579">
        <f>'PMOC BY Adj'!T24*$U24</f>
        <v>0</v>
      </c>
      <c r="Z24" s="580">
        <f t="shared" si="35"/>
        <v>0</v>
      </c>
      <c r="AA24" s="580">
        <f t="shared" si="36"/>
        <v>0</v>
      </c>
      <c r="AB24" s="568"/>
      <c r="AC24" s="577">
        <f t="shared" si="37"/>
        <v>0</v>
      </c>
      <c r="AD24" s="579">
        <f>'PMOC BY Adj'!X24*$AC24</f>
        <v>0</v>
      </c>
      <c r="AE24" s="579">
        <f>'PMOC BY Adj'!Y24*$AC24</f>
        <v>0</v>
      </c>
      <c r="AF24" s="579">
        <f>'PMOC BY Adj'!Z24*$AC24</f>
        <v>0</v>
      </c>
      <c r="AG24" s="579">
        <f>'PMOC BY Adj'!AA24*$AC24</f>
        <v>0</v>
      </c>
      <c r="AH24" s="580">
        <f t="shared" si="38"/>
        <v>0</v>
      </c>
      <c r="AI24" s="580">
        <f t="shared" si="39"/>
        <v>0</v>
      </c>
      <c r="AJ24" s="568"/>
      <c r="AK24" s="581">
        <f t="shared" si="40"/>
        <v>0</v>
      </c>
      <c r="AL24" s="541">
        <f t="shared" si="40"/>
        <v>0</v>
      </c>
      <c r="AM24" s="541">
        <f t="shared" si="40"/>
        <v>0</v>
      </c>
      <c r="AN24" s="541">
        <f t="shared" si="40"/>
        <v>0</v>
      </c>
      <c r="AO24" s="541">
        <f t="shared" si="40"/>
        <v>0</v>
      </c>
      <c r="AP24" s="580">
        <f t="shared" si="40"/>
        <v>0</v>
      </c>
    </row>
    <row r="25" spans="1:42">
      <c r="A25" s="583">
        <v>20.07</v>
      </c>
      <c r="B25" s="584" t="s">
        <v>69</v>
      </c>
      <c r="C25" s="577">
        <f t="shared" si="28"/>
        <v>0</v>
      </c>
      <c r="D25" s="568"/>
      <c r="E25" s="577">
        <f t="shared" si="28"/>
        <v>0</v>
      </c>
      <c r="F25" s="579">
        <f>'PMOC BY Adj'!C25*$E25</f>
        <v>0</v>
      </c>
      <c r="G25" s="579">
        <f>'PMOC BY Adj'!D25*$E25</f>
        <v>0</v>
      </c>
      <c r="H25" s="579">
        <f>'PMOC BY Adj'!E25*$E25</f>
        <v>0</v>
      </c>
      <c r="I25" s="579">
        <f>'PMOC BY Adj'!F25*$E25</f>
        <v>0</v>
      </c>
      <c r="J25" s="580">
        <f t="shared" si="29"/>
        <v>0</v>
      </c>
      <c r="K25" s="580">
        <f t="shared" si="30"/>
        <v>0</v>
      </c>
      <c r="L25" s="568"/>
      <c r="M25" s="577">
        <f t="shared" si="31"/>
        <v>0</v>
      </c>
      <c r="N25" s="579">
        <f>'PMOC BY Adj'!J25*$M25</f>
        <v>0</v>
      </c>
      <c r="O25" s="579">
        <f>'PMOC BY Adj'!K25*$M25</f>
        <v>0</v>
      </c>
      <c r="P25" s="579">
        <f>'PMOC BY Adj'!L25*$M25</f>
        <v>0</v>
      </c>
      <c r="Q25" s="579">
        <f>'PMOC BY Adj'!M25*$M25</f>
        <v>0</v>
      </c>
      <c r="R25" s="580">
        <f t="shared" si="32"/>
        <v>0</v>
      </c>
      <c r="S25" s="580">
        <f t="shared" si="33"/>
        <v>0</v>
      </c>
      <c r="T25" s="568"/>
      <c r="U25" s="577">
        <f t="shared" si="34"/>
        <v>0</v>
      </c>
      <c r="V25" s="579">
        <f>'PMOC BY Adj'!Q25*$U25</f>
        <v>0</v>
      </c>
      <c r="W25" s="579">
        <f>'PMOC BY Adj'!R25*$U25</f>
        <v>0</v>
      </c>
      <c r="X25" s="579">
        <f>'PMOC BY Adj'!S25*$U25</f>
        <v>0</v>
      </c>
      <c r="Y25" s="579">
        <f>'PMOC BY Adj'!T25*$U25</f>
        <v>0</v>
      </c>
      <c r="Z25" s="580">
        <f t="shared" si="35"/>
        <v>0</v>
      </c>
      <c r="AA25" s="580">
        <f t="shared" si="36"/>
        <v>0</v>
      </c>
      <c r="AB25" s="568"/>
      <c r="AC25" s="577">
        <f t="shared" si="37"/>
        <v>0</v>
      </c>
      <c r="AD25" s="579">
        <f>'PMOC BY Adj'!X25*$AC25</f>
        <v>0</v>
      </c>
      <c r="AE25" s="579">
        <f>'PMOC BY Adj'!Y25*$AC25</f>
        <v>0</v>
      </c>
      <c r="AF25" s="579">
        <f>'PMOC BY Adj'!Z25*$AC25</f>
        <v>0</v>
      </c>
      <c r="AG25" s="579">
        <f>'PMOC BY Adj'!AA25*$AC25</f>
        <v>0</v>
      </c>
      <c r="AH25" s="580">
        <f t="shared" si="38"/>
        <v>0</v>
      </c>
      <c r="AI25" s="580">
        <f t="shared" si="39"/>
        <v>0</v>
      </c>
      <c r="AJ25" s="568"/>
      <c r="AK25" s="581">
        <f t="shared" si="40"/>
        <v>0</v>
      </c>
      <c r="AL25" s="541">
        <f t="shared" si="40"/>
        <v>0</v>
      </c>
      <c r="AM25" s="541">
        <f t="shared" si="40"/>
        <v>0</v>
      </c>
      <c r="AN25" s="541">
        <f t="shared" si="40"/>
        <v>0</v>
      </c>
      <c r="AO25" s="541">
        <f t="shared" si="40"/>
        <v>0</v>
      </c>
      <c r="AP25" s="580">
        <f t="shared" si="40"/>
        <v>0</v>
      </c>
    </row>
    <row r="26" spans="1:42" ht="15">
      <c r="A26" s="565" t="s">
        <v>168</v>
      </c>
      <c r="B26" s="566"/>
      <c r="C26" s="567">
        <f>'PMOC Globl Infl Adjst'!D31</f>
        <v>0</v>
      </c>
      <c r="D26" s="568"/>
      <c r="E26" s="582">
        <f>$C26</f>
        <v>0</v>
      </c>
      <c r="F26" s="572">
        <f>SUM(F27:F31)</f>
        <v>0</v>
      </c>
      <c r="G26" s="572">
        <f>SUM(G27:G31)</f>
        <v>0</v>
      </c>
      <c r="H26" s="572">
        <f t="shared" ref="H26:I26" si="41">SUM(H27:H31)</f>
        <v>0</v>
      </c>
      <c r="I26" s="572">
        <f t="shared" si="41"/>
        <v>0</v>
      </c>
      <c r="J26" s="573">
        <f>SUM(J27:J31)</f>
        <v>0</v>
      </c>
      <c r="K26" s="573">
        <f>SUM(K27:K31)</f>
        <v>0</v>
      </c>
      <c r="L26" s="568"/>
      <c r="M26" s="582">
        <f>$C26</f>
        <v>0</v>
      </c>
      <c r="N26" s="572">
        <f>SUM(N27:N31)</f>
        <v>0</v>
      </c>
      <c r="O26" s="572">
        <f>SUM(O27:O31)</f>
        <v>0</v>
      </c>
      <c r="P26" s="572">
        <f t="shared" ref="P26:Q26" si="42">SUM(P27:P31)</f>
        <v>0</v>
      </c>
      <c r="Q26" s="572">
        <f t="shared" si="42"/>
        <v>0</v>
      </c>
      <c r="R26" s="573">
        <f>SUM(R27:R31)</f>
        <v>0</v>
      </c>
      <c r="S26" s="573">
        <f>SUM(S27:S31)</f>
        <v>0</v>
      </c>
      <c r="T26" s="568"/>
      <c r="U26" s="582">
        <f>$C26</f>
        <v>0</v>
      </c>
      <c r="V26" s="572">
        <f>SUM(V27:V31)</f>
        <v>0</v>
      </c>
      <c r="W26" s="572">
        <f>SUM(W27:W31)</f>
        <v>0</v>
      </c>
      <c r="X26" s="572">
        <f t="shared" ref="X26:Y26" si="43">SUM(X27:X31)</f>
        <v>0</v>
      </c>
      <c r="Y26" s="572">
        <f t="shared" si="43"/>
        <v>0</v>
      </c>
      <c r="Z26" s="573">
        <f>SUM(Z27:Z31)</f>
        <v>0</v>
      </c>
      <c r="AA26" s="573">
        <f>SUM(AA27:AA31)</f>
        <v>0</v>
      </c>
      <c r="AB26" s="568"/>
      <c r="AC26" s="582">
        <f>$C26</f>
        <v>0</v>
      </c>
      <c r="AD26" s="572">
        <f>SUM(AD27:AD31)</f>
        <v>0</v>
      </c>
      <c r="AE26" s="572">
        <f>SUM(AE27:AE31)</f>
        <v>0</v>
      </c>
      <c r="AF26" s="572">
        <f t="shared" ref="AF26:AG26" si="44">SUM(AF27:AF31)</f>
        <v>0</v>
      </c>
      <c r="AG26" s="572">
        <f t="shared" si="44"/>
        <v>0</v>
      </c>
      <c r="AH26" s="573">
        <f>SUM(AH27:AH31)</f>
        <v>0</v>
      </c>
      <c r="AI26" s="573">
        <f>SUM(AI27:AI31)</f>
        <v>0</v>
      </c>
      <c r="AJ26" s="568"/>
      <c r="AK26" s="574">
        <f>SUM(AK27:AK31)</f>
        <v>0</v>
      </c>
      <c r="AL26" s="572">
        <f>SUM(AL27:AL31)</f>
        <v>0</v>
      </c>
      <c r="AM26" s="572">
        <f t="shared" ref="AM26:AN26" si="45">SUM(AM27:AM31)</f>
        <v>0</v>
      </c>
      <c r="AN26" s="572">
        <f t="shared" si="45"/>
        <v>0</v>
      </c>
      <c r="AO26" s="572">
        <f>SUM(AO27:AO31)</f>
        <v>0</v>
      </c>
      <c r="AP26" s="573">
        <f>SUM(AP27:AP31)</f>
        <v>0</v>
      </c>
    </row>
    <row r="27" spans="1:42">
      <c r="A27" s="583">
        <v>30.01</v>
      </c>
      <c r="B27" s="584" t="s">
        <v>28</v>
      </c>
      <c r="C27" s="577">
        <f>C$26</f>
        <v>0</v>
      </c>
      <c r="D27" s="568"/>
      <c r="E27" s="577">
        <f>E$26</f>
        <v>0</v>
      </c>
      <c r="F27" s="579">
        <f>'PMOC BY Adj'!C27*$E27</f>
        <v>0</v>
      </c>
      <c r="G27" s="579">
        <f>'PMOC BY Adj'!D27*$E27</f>
        <v>0</v>
      </c>
      <c r="H27" s="579">
        <f>'PMOC BY Adj'!E27*$E27</f>
        <v>0</v>
      </c>
      <c r="I27" s="579">
        <f>'PMOC BY Adj'!F27*$E27</f>
        <v>0</v>
      </c>
      <c r="J27" s="580">
        <f t="shared" ref="J27:J31" si="46">SUM(G27:I27)</f>
        <v>0</v>
      </c>
      <c r="K27" s="580">
        <f t="shared" ref="K27:K31" si="47">SUM(F27,J27)</f>
        <v>0</v>
      </c>
      <c r="L27" s="568"/>
      <c r="M27" s="577">
        <f>M$26</f>
        <v>0</v>
      </c>
      <c r="N27" s="579">
        <f>'PMOC BY Adj'!J27*$M27</f>
        <v>0</v>
      </c>
      <c r="O27" s="579">
        <f>'PMOC BY Adj'!K27*$M27</f>
        <v>0</v>
      </c>
      <c r="P27" s="579">
        <f>'PMOC BY Adj'!L27*$M27</f>
        <v>0</v>
      </c>
      <c r="Q27" s="579">
        <f>'PMOC BY Adj'!M27*$M27</f>
        <v>0</v>
      </c>
      <c r="R27" s="580">
        <f t="shared" ref="R27:R31" si="48">SUM(O27:Q27)</f>
        <v>0</v>
      </c>
      <c r="S27" s="580">
        <f t="shared" si="33"/>
        <v>0</v>
      </c>
      <c r="T27" s="568"/>
      <c r="U27" s="577">
        <f>U$26</f>
        <v>0</v>
      </c>
      <c r="V27" s="579">
        <f>'PMOC BY Adj'!Q27*$U27</f>
        <v>0</v>
      </c>
      <c r="W27" s="579">
        <f>'PMOC BY Adj'!R27*$U27</f>
        <v>0</v>
      </c>
      <c r="X27" s="579">
        <f>'PMOC BY Adj'!S27*$U27</f>
        <v>0</v>
      </c>
      <c r="Y27" s="579">
        <f>'PMOC BY Adj'!T27*$U27</f>
        <v>0</v>
      </c>
      <c r="Z27" s="580">
        <f t="shared" ref="Z27:Z31" si="49">SUM(W27:Y27)</f>
        <v>0</v>
      </c>
      <c r="AA27" s="580">
        <f t="shared" si="36"/>
        <v>0</v>
      </c>
      <c r="AB27" s="568"/>
      <c r="AC27" s="577">
        <f>AC$26</f>
        <v>0</v>
      </c>
      <c r="AD27" s="579">
        <f>'PMOC BY Adj'!X27*$AC27</f>
        <v>0</v>
      </c>
      <c r="AE27" s="579">
        <f>'PMOC BY Adj'!Y27*$AC27</f>
        <v>0</v>
      </c>
      <c r="AF27" s="579">
        <f>'PMOC BY Adj'!Z27*$AC27</f>
        <v>0</v>
      </c>
      <c r="AG27" s="579">
        <f>'PMOC BY Adj'!AA27*$AC27</f>
        <v>0</v>
      </c>
      <c r="AH27" s="580">
        <f t="shared" ref="AH27:AH31" si="50">SUM(AE27:AG27)</f>
        <v>0</v>
      </c>
      <c r="AI27" s="580">
        <f t="shared" si="39"/>
        <v>0</v>
      </c>
      <c r="AJ27" s="568"/>
      <c r="AK27" s="581">
        <f t="shared" ref="AK27:AO31" si="51">SUM(F27,N27,V27,AD27)</f>
        <v>0</v>
      </c>
      <c r="AL27" s="541">
        <f t="shared" si="51"/>
        <v>0</v>
      </c>
      <c r="AM27" s="541">
        <f t="shared" si="51"/>
        <v>0</v>
      </c>
      <c r="AN27" s="541">
        <f t="shared" si="51"/>
        <v>0</v>
      </c>
      <c r="AO27" s="541">
        <f t="shared" si="51"/>
        <v>0</v>
      </c>
      <c r="AP27" s="580">
        <f t="shared" si="40"/>
        <v>0</v>
      </c>
    </row>
    <row r="28" spans="1:42">
      <c r="A28" s="583">
        <v>30.02</v>
      </c>
      <c r="B28" s="585" t="s">
        <v>29</v>
      </c>
      <c r="C28" s="577">
        <f>C$26</f>
        <v>0</v>
      </c>
      <c r="D28" s="568"/>
      <c r="E28" s="577">
        <f>E$26</f>
        <v>0</v>
      </c>
      <c r="F28" s="579">
        <f>'PMOC BY Adj'!C28*$E28</f>
        <v>0</v>
      </c>
      <c r="G28" s="579">
        <f>'PMOC BY Adj'!D28*$E28</f>
        <v>0</v>
      </c>
      <c r="H28" s="579">
        <f>'PMOC BY Adj'!E28*$E28</f>
        <v>0</v>
      </c>
      <c r="I28" s="579">
        <f>'PMOC BY Adj'!F28*$E28</f>
        <v>0</v>
      </c>
      <c r="J28" s="580">
        <f t="shared" si="46"/>
        <v>0</v>
      </c>
      <c r="K28" s="580">
        <f t="shared" si="47"/>
        <v>0</v>
      </c>
      <c r="L28" s="568"/>
      <c r="M28" s="577">
        <f>M$26</f>
        <v>0</v>
      </c>
      <c r="N28" s="579">
        <f>'PMOC BY Adj'!J28*$M28</f>
        <v>0</v>
      </c>
      <c r="O28" s="579">
        <f>'PMOC BY Adj'!K28*$M28</f>
        <v>0</v>
      </c>
      <c r="P28" s="579">
        <f>'PMOC BY Adj'!L28*$M28</f>
        <v>0</v>
      </c>
      <c r="Q28" s="579">
        <f>'PMOC BY Adj'!M28*$M28</f>
        <v>0</v>
      </c>
      <c r="R28" s="580">
        <f t="shared" si="48"/>
        <v>0</v>
      </c>
      <c r="S28" s="580">
        <f t="shared" si="33"/>
        <v>0</v>
      </c>
      <c r="T28" s="568"/>
      <c r="U28" s="577">
        <f>U$26</f>
        <v>0</v>
      </c>
      <c r="V28" s="579">
        <f>'PMOC BY Adj'!Q28*$U28</f>
        <v>0</v>
      </c>
      <c r="W28" s="579">
        <f>'PMOC BY Adj'!R28*$U28</f>
        <v>0</v>
      </c>
      <c r="X28" s="579">
        <f>'PMOC BY Adj'!S28*$U28</f>
        <v>0</v>
      </c>
      <c r="Y28" s="579">
        <f>'PMOC BY Adj'!T28*$U28</f>
        <v>0</v>
      </c>
      <c r="Z28" s="580">
        <f t="shared" si="49"/>
        <v>0</v>
      </c>
      <c r="AA28" s="580">
        <f t="shared" si="36"/>
        <v>0</v>
      </c>
      <c r="AB28" s="568"/>
      <c r="AC28" s="577">
        <f>AC$26</f>
        <v>0</v>
      </c>
      <c r="AD28" s="579">
        <f>'PMOC BY Adj'!X28*$AC28</f>
        <v>0</v>
      </c>
      <c r="AE28" s="579">
        <f>'PMOC BY Adj'!Y28*$AC28</f>
        <v>0</v>
      </c>
      <c r="AF28" s="579">
        <f>'PMOC BY Adj'!Z28*$AC28</f>
        <v>0</v>
      </c>
      <c r="AG28" s="579">
        <f>'PMOC BY Adj'!AA28*$AC28</f>
        <v>0</v>
      </c>
      <c r="AH28" s="580">
        <f t="shared" si="50"/>
        <v>0</v>
      </c>
      <c r="AI28" s="580">
        <f t="shared" si="39"/>
        <v>0</v>
      </c>
      <c r="AJ28" s="568"/>
      <c r="AK28" s="581">
        <f t="shared" si="51"/>
        <v>0</v>
      </c>
      <c r="AL28" s="541">
        <f t="shared" si="51"/>
        <v>0</v>
      </c>
      <c r="AM28" s="541">
        <f t="shared" si="51"/>
        <v>0</v>
      </c>
      <c r="AN28" s="541">
        <f t="shared" si="51"/>
        <v>0</v>
      </c>
      <c r="AO28" s="541">
        <f t="shared" si="51"/>
        <v>0</v>
      </c>
      <c r="AP28" s="580">
        <f t="shared" si="40"/>
        <v>0</v>
      </c>
    </row>
    <row r="29" spans="1:42">
      <c r="A29" s="583">
        <v>30.03</v>
      </c>
      <c r="B29" s="585" t="s">
        <v>30</v>
      </c>
      <c r="C29" s="577">
        <f>C$26</f>
        <v>0</v>
      </c>
      <c r="D29" s="568"/>
      <c r="E29" s="577">
        <f>E$26</f>
        <v>0</v>
      </c>
      <c r="F29" s="579">
        <f>'PMOC BY Adj'!C29*$E29</f>
        <v>0</v>
      </c>
      <c r="G29" s="579">
        <f>'PMOC BY Adj'!D29*$E29</f>
        <v>0</v>
      </c>
      <c r="H29" s="579">
        <f>'PMOC BY Adj'!E29*$E29</f>
        <v>0</v>
      </c>
      <c r="I29" s="579">
        <f>'PMOC BY Adj'!F29*$E29</f>
        <v>0</v>
      </c>
      <c r="J29" s="580">
        <f t="shared" si="46"/>
        <v>0</v>
      </c>
      <c r="K29" s="580">
        <f t="shared" si="47"/>
        <v>0</v>
      </c>
      <c r="L29" s="568"/>
      <c r="M29" s="577">
        <f>M$26</f>
        <v>0</v>
      </c>
      <c r="N29" s="579">
        <f>'PMOC BY Adj'!J29*$M29</f>
        <v>0</v>
      </c>
      <c r="O29" s="579">
        <f>'PMOC BY Adj'!K29*$M29</f>
        <v>0</v>
      </c>
      <c r="P29" s="579">
        <f>'PMOC BY Adj'!L29*$M29</f>
        <v>0</v>
      </c>
      <c r="Q29" s="579">
        <f>'PMOC BY Adj'!M29*$M29</f>
        <v>0</v>
      </c>
      <c r="R29" s="580">
        <f t="shared" si="48"/>
        <v>0</v>
      </c>
      <c r="S29" s="580">
        <f t="shared" si="33"/>
        <v>0</v>
      </c>
      <c r="T29" s="568"/>
      <c r="U29" s="577">
        <f>U$26</f>
        <v>0</v>
      </c>
      <c r="V29" s="579">
        <f>'PMOC BY Adj'!Q29*$U29</f>
        <v>0</v>
      </c>
      <c r="W29" s="579">
        <f>'PMOC BY Adj'!R29*$U29</f>
        <v>0</v>
      </c>
      <c r="X29" s="579">
        <f>'PMOC BY Adj'!S29*$U29</f>
        <v>0</v>
      </c>
      <c r="Y29" s="579">
        <f>'PMOC BY Adj'!T29*$U29</f>
        <v>0</v>
      </c>
      <c r="Z29" s="580">
        <f t="shared" si="49"/>
        <v>0</v>
      </c>
      <c r="AA29" s="580">
        <f t="shared" si="36"/>
        <v>0</v>
      </c>
      <c r="AB29" s="568"/>
      <c r="AC29" s="577">
        <f>AC$26</f>
        <v>0</v>
      </c>
      <c r="AD29" s="579">
        <f>'PMOC BY Adj'!X29*$AC29</f>
        <v>0</v>
      </c>
      <c r="AE29" s="579">
        <f>'PMOC BY Adj'!Y29*$AC29</f>
        <v>0</v>
      </c>
      <c r="AF29" s="579">
        <f>'PMOC BY Adj'!Z29*$AC29</f>
        <v>0</v>
      </c>
      <c r="AG29" s="579">
        <f>'PMOC BY Adj'!AA29*$AC29</f>
        <v>0</v>
      </c>
      <c r="AH29" s="580">
        <f t="shared" si="50"/>
        <v>0</v>
      </c>
      <c r="AI29" s="580">
        <f t="shared" si="39"/>
        <v>0</v>
      </c>
      <c r="AJ29" s="568"/>
      <c r="AK29" s="581">
        <f t="shared" si="51"/>
        <v>0</v>
      </c>
      <c r="AL29" s="541">
        <f t="shared" si="51"/>
        <v>0</v>
      </c>
      <c r="AM29" s="541">
        <f t="shared" si="51"/>
        <v>0</v>
      </c>
      <c r="AN29" s="541">
        <f t="shared" si="51"/>
        <v>0</v>
      </c>
      <c r="AO29" s="541">
        <f t="shared" si="51"/>
        <v>0</v>
      </c>
      <c r="AP29" s="580">
        <f t="shared" si="40"/>
        <v>0</v>
      </c>
    </row>
    <row r="30" spans="1:42">
      <c r="A30" s="583">
        <v>30.04</v>
      </c>
      <c r="B30" s="585" t="s">
        <v>31</v>
      </c>
      <c r="C30" s="577">
        <f>C$26</f>
        <v>0</v>
      </c>
      <c r="D30" s="568"/>
      <c r="E30" s="577">
        <f>E$26</f>
        <v>0</v>
      </c>
      <c r="F30" s="579">
        <f>'PMOC BY Adj'!C30*$E30</f>
        <v>0</v>
      </c>
      <c r="G30" s="579">
        <f>'PMOC BY Adj'!D30*$E30</f>
        <v>0</v>
      </c>
      <c r="H30" s="579">
        <f>'PMOC BY Adj'!E30*$E30</f>
        <v>0</v>
      </c>
      <c r="I30" s="579">
        <f>'PMOC BY Adj'!F30*$E30</f>
        <v>0</v>
      </c>
      <c r="J30" s="580">
        <f t="shared" si="46"/>
        <v>0</v>
      </c>
      <c r="K30" s="580">
        <f t="shared" si="47"/>
        <v>0</v>
      </c>
      <c r="L30" s="568"/>
      <c r="M30" s="577">
        <f>M$26</f>
        <v>0</v>
      </c>
      <c r="N30" s="579">
        <f>'PMOC BY Adj'!J30*$M30</f>
        <v>0</v>
      </c>
      <c r="O30" s="579">
        <f>'PMOC BY Adj'!K30*$M30</f>
        <v>0</v>
      </c>
      <c r="P30" s="579">
        <f>'PMOC BY Adj'!L30*$M30</f>
        <v>0</v>
      </c>
      <c r="Q30" s="579">
        <f>'PMOC BY Adj'!M30*$M30</f>
        <v>0</v>
      </c>
      <c r="R30" s="580">
        <f t="shared" si="48"/>
        <v>0</v>
      </c>
      <c r="S30" s="580">
        <f t="shared" si="33"/>
        <v>0</v>
      </c>
      <c r="T30" s="568"/>
      <c r="U30" s="577">
        <f>U$26</f>
        <v>0</v>
      </c>
      <c r="V30" s="579">
        <f>'PMOC BY Adj'!Q30*$U30</f>
        <v>0</v>
      </c>
      <c r="W30" s="579">
        <f>'PMOC BY Adj'!R30*$U30</f>
        <v>0</v>
      </c>
      <c r="X30" s="579">
        <f>'PMOC BY Adj'!S30*$U30</f>
        <v>0</v>
      </c>
      <c r="Y30" s="579">
        <f>'PMOC BY Adj'!T30*$U30</f>
        <v>0</v>
      </c>
      <c r="Z30" s="580">
        <f t="shared" si="49"/>
        <v>0</v>
      </c>
      <c r="AA30" s="580">
        <f t="shared" si="36"/>
        <v>0</v>
      </c>
      <c r="AB30" s="568"/>
      <c r="AC30" s="577">
        <f>AC$26</f>
        <v>0</v>
      </c>
      <c r="AD30" s="579">
        <f>'PMOC BY Adj'!X30*$AC30</f>
        <v>0</v>
      </c>
      <c r="AE30" s="579">
        <f>'PMOC BY Adj'!Y30*$AC30</f>
        <v>0</v>
      </c>
      <c r="AF30" s="579">
        <f>'PMOC BY Adj'!Z30*$AC30</f>
        <v>0</v>
      </c>
      <c r="AG30" s="579">
        <f>'PMOC BY Adj'!AA30*$AC30</f>
        <v>0</v>
      </c>
      <c r="AH30" s="580">
        <f t="shared" si="50"/>
        <v>0</v>
      </c>
      <c r="AI30" s="580">
        <f t="shared" si="39"/>
        <v>0</v>
      </c>
      <c r="AJ30" s="568"/>
      <c r="AK30" s="581">
        <f t="shared" si="51"/>
        <v>0</v>
      </c>
      <c r="AL30" s="541">
        <f t="shared" si="51"/>
        <v>0</v>
      </c>
      <c r="AM30" s="541">
        <f t="shared" si="51"/>
        <v>0</v>
      </c>
      <c r="AN30" s="541">
        <f t="shared" si="51"/>
        <v>0</v>
      </c>
      <c r="AO30" s="541">
        <f t="shared" si="51"/>
        <v>0</v>
      </c>
      <c r="AP30" s="580">
        <f t="shared" si="40"/>
        <v>0</v>
      </c>
    </row>
    <row r="31" spans="1:42">
      <c r="A31" s="583">
        <v>30.05</v>
      </c>
      <c r="B31" s="585" t="s">
        <v>32</v>
      </c>
      <c r="C31" s="577">
        <f>C$26</f>
        <v>0</v>
      </c>
      <c r="D31" s="568"/>
      <c r="E31" s="577">
        <f>E$26</f>
        <v>0</v>
      </c>
      <c r="F31" s="579">
        <f>'PMOC BY Adj'!C31*$E31</f>
        <v>0</v>
      </c>
      <c r="G31" s="579">
        <f>'PMOC BY Adj'!D31*$E31</f>
        <v>0</v>
      </c>
      <c r="H31" s="579">
        <f>'PMOC BY Adj'!E31*$E31</f>
        <v>0</v>
      </c>
      <c r="I31" s="579">
        <f>'PMOC BY Adj'!F31*$E31</f>
        <v>0</v>
      </c>
      <c r="J31" s="580">
        <f t="shared" si="46"/>
        <v>0</v>
      </c>
      <c r="K31" s="580">
        <f t="shared" si="47"/>
        <v>0</v>
      </c>
      <c r="L31" s="568"/>
      <c r="M31" s="577">
        <f>M$26</f>
        <v>0</v>
      </c>
      <c r="N31" s="579">
        <f>'PMOC BY Adj'!J31*$M31</f>
        <v>0</v>
      </c>
      <c r="O31" s="579">
        <f>'PMOC BY Adj'!K31*$M31</f>
        <v>0</v>
      </c>
      <c r="P31" s="579">
        <f>'PMOC BY Adj'!L31*$M31</f>
        <v>0</v>
      </c>
      <c r="Q31" s="579">
        <f>'PMOC BY Adj'!M31*$M31</f>
        <v>0</v>
      </c>
      <c r="R31" s="580">
        <f t="shared" si="48"/>
        <v>0</v>
      </c>
      <c r="S31" s="580">
        <f t="shared" si="33"/>
        <v>0</v>
      </c>
      <c r="T31" s="568"/>
      <c r="U31" s="577">
        <f>U$26</f>
        <v>0</v>
      </c>
      <c r="V31" s="579">
        <f>'PMOC BY Adj'!Q31*$U31</f>
        <v>0</v>
      </c>
      <c r="W31" s="579">
        <f>'PMOC BY Adj'!R31*$U31</f>
        <v>0</v>
      </c>
      <c r="X31" s="579">
        <f>'PMOC BY Adj'!S31*$U31</f>
        <v>0</v>
      </c>
      <c r="Y31" s="579">
        <f>'PMOC BY Adj'!T31*$U31</f>
        <v>0</v>
      </c>
      <c r="Z31" s="580">
        <f t="shared" si="49"/>
        <v>0</v>
      </c>
      <c r="AA31" s="580">
        <f t="shared" si="36"/>
        <v>0</v>
      </c>
      <c r="AB31" s="568"/>
      <c r="AC31" s="577">
        <f>AC$26</f>
        <v>0</v>
      </c>
      <c r="AD31" s="579">
        <f>'PMOC BY Adj'!X31*$AC31</f>
        <v>0</v>
      </c>
      <c r="AE31" s="579">
        <f>'PMOC BY Adj'!Y31*$AC31</f>
        <v>0</v>
      </c>
      <c r="AF31" s="579">
        <f>'PMOC BY Adj'!Z31*$AC31</f>
        <v>0</v>
      </c>
      <c r="AG31" s="579">
        <f>'PMOC BY Adj'!AA31*$AC31</f>
        <v>0</v>
      </c>
      <c r="AH31" s="580">
        <f t="shared" si="50"/>
        <v>0</v>
      </c>
      <c r="AI31" s="580">
        <f t="shared" si="39"/>
        <v>0</v>
      </c>
      <c r="AJ31" s="568"/>
      <c r="AK31" s="581">
        <f t="shared" si="51"/>
        <v>0</v>
      </c>
      <c r="AL31" s="541">
        <f t="shared" si="51"/>
        <v>0</v>
      </c>
      <c r="AM31" s="541">
        <f t="shared" si="51"/>
        <v>0</v>
      </c>
      <c r="AN31" s="541">
        <f t="shared" si="51"/>
        <v>0</v>
      </c>
      <c r="AO31" s="541">
        <f t="shared" si="51"/>
        <v>0</v>
      </c>
      <c r="AP31" s="580">
        <f t="shared" si="40"/>
        <v>0</v>
      </c>
    </row>
    <row r="32" spans="1:42" ht="15">
      <c r="A32" s="565" t="s">
        <v>169</v>
      </c>
      <c r="B32" s="586"/>
      <c r="C32" s="567">
        <f>'PMOC Globl Infl Adjst'!D32</f>
        <v>0</v>
      </c>
      <c r="D32" s="568"/>
      <c r="E32" s="582">
        <f>$C32</f>
        <v>0</v>
      </c>
      <c r="F32" s="572">
        <f>SUM(F33:F40)</f>
        <v>0</v>
      </c>
      <c r="G32" s="572">
        <f>SUM(G33:G40)</f>
        <v>0</v>
      </c>
      <c r="H32" s="572">
        <f t="shared" ref="H32:I32" si="52">SUM(H33:H40)</f>
        <v>0</v>
      </c>
      <c r="I32" s="572">
        <f t="shared" si="52"/>
        <v>0</v>
      </c>
      <c r="J32" s="573">
        <f>SUM(J33:J40)</f>
        <v>0</v>
      </c>
      <c r="K32" s="573">
        <f>SUM(K33:K40)</f>
        <v>0</v>
      </c>
      <c r="L32" s="568"/>
      <c r="M32" s="582">
        <f>$C32</f>
        <v>0</v>
      </c>
      <c r="N32" s="572">
        <f>SUM(N33:N40)</f>
        <v>0</v>
      </c>
      <c r="O32" s="572">
        <f>SUM(O33:O40)</f>
        <v>0</v>
      </c>
      <c r="P32" s="572">
        <f t="shared" ref="P32:Q32" si="53">SUM(P33:P40)</f>
        <v>0</v>
      </c>
      <c r="Q32" s="572">
        <f t="shared" si="53"/>
        <v>0</v>
      </c>
      <c r="R32" s="573">
        <f>SUM(R33:R40)</f>
        <v>0</v>
      </c>
      <c r="S32" s="573">
        <f>SUM(S33:S40)</f>
        <v>0</v>
      </c>
      <c r="T32" s="568"/>
      <c r="U32" s="582">
        <f>$C32</f>
        <v>0</v>
      </c>
      <c r="V32" s="572">
        <f>SUM(V33:V40)</f>
        <v>0</v>
      </c>
      <c r="W32" s="572">
        <f>SUM(W33:W40)</f>
        <v>0</v>
      </c>
      <c r="X32" s="572">
        <f t="shared" ref="X32:Y32" si="54">SUM(X33:X40)</f>
        <v>0</v>
      </c>
      <c r="Y32" s="572">
        <f t="shared" si="54"/>
        <v>0</v>
      </c>
      <c r="Z32" s="573">
        <f>SUM(Z33:Z40)</f>
        <v>0</v>
      </c>
      <c r="AA32" s="573">
        <f>SUM(AA33:AA40)</f>
        <v>0</v>
      </c>
      <c r="AB32" s="568"/>
      <c r="AC32" s="582">
        <f>$C32</f>
        <v>0</v>
      </c>
      <c r="AD32" s="572">
        <f>SUM(AD33:AD40)</f>
        <v>0</v>
      </c>
      <c r="AE32" s="572">
        <f>SUM(AE33:AE40)</f>
        <v>0</v>
      </c>
      <c r="AF32" s="572">
        <f t="shared" ref="AF32:AG32" si="55">SUM(AF33:AF40)</f>
        <v>0</v>
      </c>
      <c r="AG32" s="572">
        <f t="shared" si="55"/>
        <v>0</v>
      </c>
      <c r="AH32" s="573">
        <f>SUM(AH33:AH40)</f>
        <v>0</v>
      </c>
      <c r="AI32" s="573">
        <f>SUM(AI33:AI40)</f>
        <v>0</v>
      </c>
      <c r="AJ32" s="568"/>
      <c r="AK32" s="574">
        <f>SUM(AK33:AK40)</f>
        <v>0</v>
      </c>
      <c r="AL32" s="572">
        <f>SUM(AL33:AL40)</f>
        <v>0</v>
      </c>
      <c r="AM32" s="572">
        <f t="shared" ref="AM32:AN32" si="56">SUM(AM33:AM40)</f>
        <v>0</v>
      </c>
      <c r="AN32" s="572">
        <f t="shared" si="56"/>
        <v>0</v>
      </c>
      <c r="AO32" s="572">
        <f>SUM(AO33:AO40)</f>
        <v>0</v>
      </c>
      <c r="AP32" s="573">
        <f>SUM(AP33:AP40)</f>
        <v>0</v>
      </c>
    </row>
    <row r="33" spans="1:42">
      <c r="A33" s="583">
        <v>40.01</v>
      </c>
      <c r="B33" s="584" t="s">
        <v>33</v>
      </c>
      <c r="C33" s="577">
        <f t="shared" ref="C33:E40" si="57">C$32</f>
        <v>0</v>
      </c>
      <c r="D33" s="568"/>
      <c r="E33" s="577">
        <f t="shared" si="57"/>
        <v>0</v>
      </c>
      <c r="F33" s="579">
        <f>'PMOC BY Adj'!C33*$E33</f>
        <v>0</v>
      </c>
      <c r="G33" s="579">
        <f>'PMOC BY Adj'!D33*$E33</f>
        <v>0</v>
      </c>
      <c r="H33" s="579">
        <f>'PMOC BY Adj'!E33*$E33</f>
        <v>0</v>
      </c>
      <c r="I33" s="579">
        <f>'PMOC BY Adj'!F33*$E33</f>
        <v>0</v>
      </c>
      <c r="J33" s="580">
        <f t="shared" ref="J33:J40" si="58">SUM(G33:I33)</f>
        <v>0</v>
      </c>
      <c r="K33" s="580">
        <f t="shared" ref="K33:K40" si="59">SUM(F33,J33)</f>
        <v>0</v>
      </c>
      <c r="L33" s="568"/>
      <c r="M33" s="577">
        <f t="shared" ref="M33:M40" si="60">M$32</f>
        <v>0</v>
      </c>
      <c r="N33" s="579">
        <f>'PMOC BY Adj'!J33*$M33</f>
        <v>0</v>
      </c>
      <c r="O33" s="579">
        <f>'PMOC BY Adj'!K33*$M33</f>
        <v>0</v>
      </c>
      <c r="P33" s="579">
        <f>'PMOC BY Adj'!L33*$M33</f>
        <v>0</v>
      </c>
      <c r="Q33" s="579">
        <f>'PMOC BY Adj'!M33*$M33</f>
        <v>0</v>
      </c>
      <c r="R33" s="580">
        <f t="shared" ref="R33:R40" si="61">SUM(O33:Q33)</f>
        <v>0</v>
      </c>
      <c r="S33" s="580">
        <f t="shared" ref="S33:S40" si="62">SUM(N33,R33)</f>
        <v>0</v>
      </c>
      <c r="T33" s="568"/>
      <c r="U33" s="577">
        <f t="shared" ref="U33:U40" si="63">U$32</f>
        <v>0</v>
      </c>
      <c r="V33" s="579">
        <f>'PMOC BY Adj'!Q33*$U33</f>
        <v>0</v>
      </c>
      <c r="W33" s="579">
        <f>'PMOC BY Adj'!R33*$U33</f>
        <v>0</v>
      </c>
      <c r="X33" s="579">
        <f>'PMOC BY Adj'!S33*$U33</f>
        <v>0</v>
      </c>
      <c r="Y33" s="579">
        <f>'PMOC BY Adj'!T33*$U33</f>
        <v>0</v>
      </c>
      <c r="Z33" s="580">
        <f t="shared" ref="Z33:Z40" si="64">SUM(W33:Y33)</f>
        <v>0</v>
      </c>
      <c r="AA33" s="580">
        <f t="shared" ref="AA33:AA40" si="65">SUM(V33,Z33)</f>
        <v>0</v>
      </c>
      <c r="AB33" s="568"/>
      <c r="AC33" s="577">
        <f t="shared" ref="AC33:AC40" si="66">AC$32</f>
        <v>0</v>
      </c>
      <c r="AD33" s="579">
        <f>'PMOC BY Adj'!X33*$AC33</f>
        <v>0</v>
      </c>
      <c r="AE33" s="579">
        <f>'PMOC BY Adj'!Y33*$AC33</f>
        <v>0</v>
      </c>
      <c r="AF33" s="579">
        <f>'PMOC BY Adj'!Z33*$AC33</f>
        <v>0</v>
      </c>
      <c r="AG33" s="579">
        <f>'PMOC BY Adj'!AA33*$AC33</f>
        <v>0</v>
      </c>
      <c r="AH33" s="580">
        <f t="shared" ref="AH33:AH40" si="67">SUM(AE33:AG33)</f>
        <v>0</v>
      </c>
      <c r="AI33" s="580">
        <f t="shared" ref="AI33:AI40" si="68">SUM(AD33,AH33)</f>
        <v>0</v>
      </c>
      <c r="AJ33" s="568"/>
      <c r="AK33" s="581">
        <f t="shared" ref="AK33:AP40" si="69">SUM(F33,N33,V33,AD33)</f>
        <v>0</v>
      </c>
      <c r="AL33" s="541">
        <f t="shared" si="69"/>
        <v>0</v>
      </c>
      <c r="AM33" s="541">
        <f t="shared" si="69"/>
        <v>0</v>
      </c>
      <c r="AN33" s="541">
        <f t="shared" si="69"/>
        <v>0</v>
      </c>
      <c r="AO33" s="541">
        <f t="shared" si="69"/>
        <v>0</v>
      </c>
      <c r="AP33" s="580">
        <f t="shared" si="69"/>
        <v>0</v>
      </c>
    </row>
    <row r="34" spans="1:42">
      <c r="A34" s="583">
        <v>40.020000000000003</v>
      </c>
      <c r="B34" s="584" t="s">
        <v>34</v>
      </c>
      <c r="C34" s="577">
        <f t="shared" si="57"/>
        <v>0</v>
      </c>
      <c r="D34" s="568"/>
      <c r="E34" s="577">
        <f t="shared" si="57"/>
        <v>0</v>
      </c>
      <c r="F34" s="579">
        <f>'PMOC BY Adj'!C34*$E34</f>
        <v>0</v>
      </c>
      <c r="G34" s="579">
        <f>'PMOC BY Adj'!D34*$E34</f>
        <v>0</v>
      </c>
      <c r="H34" s="579">
        <f>'PMOC BY Adj'!E34*$E34</f>
        <v>0</v>
      </c>
      <c r="I34" s="579">
        <f>'PMOC BY Adj'!F34*$E34</f>
        <v>0</v>
      </c>
      <c r="J34" s="580">
        <f t="shared" si="58"/>
        <v>0</v>
      </c>
      <c r="K34" s="580">
        <f t="shared" si="59"/>
        <v>0</v>
      </c>
      <c r="L34" s="568"/>
      <c r="M34" s="577">
        <f t="shared" si="60"/>
        <v>0</v>
      </c>
      <c r="N34" s="579">
        <f>'PMOC BY Adj'!J34*$M34</f>
        <v>0</v>
      </c>
      <c r="O34" s="579">
        <f>'PMOC BY Adj'!K34*$M34</f>
        <v>0</v>
      </c>
      <c r="P34" s="579">
        <f>'PMOC BY Adj'!L34*$M34</f>
        <v>0</v>
      </c>
      <c r="Q34" s="579">
        <f>'PMOC BY Adj'!M34*$M34</f>
        <v>0</v>
      </c>
      <c r="R34" s="580">
        <f t="shared" si="61"/>
        <v>0</v>
      </c>
      <c r="S34" s="580">
        <f t="shared" si="62"/>
        <v>0</v>
      </c>
      <c r="T34" s="568"/>
      <c r="U34" s="577">
        <f t="shared" si="63"/>
        <v>0</v>
      </c>
      <c r="V34" s="579">
        <f>'PMOC BY Adj'!Q34*$U34</f>
        <v>0</v>
      </c>
      <c r="W34" s="579">
        <f>'PMOC BY Adj'!R34*$U34</f>
        <v>0</v>
      </c>
      <c r="X34" s="579">
        <f>'PMOC BY Adj'!S34*$U34</f>
        <v>0</v>
      </c>
      <c r="Y34" s="579">
        <f>'PMOC BY Adj'!T34*$U34</f>
        <v>0</v>
      </c>
      <c r="Z34" s="580">
        <f t="shared" si="64"/>
        <v>0</v>
      </c>
      <c r="AA34" s="580">
        <f t="shared" si="65"/>
        <v>0</v>
      </c>
      <c r="AB34" s="568"/>
      <c r="AC34" s="577">
        <f t="shared" si="66"/>
        <v>0</v>
      </c>
      <c r="AD34" s="579">
        <f>'PMOC BY Adj'!X34*$AC34</f>
        <v>0</v>
      </c>
      <c r="AE34" s="579">
        <f>'PMOC BY Adj'!Y34*$AC34</f>
        <v>0</v>
      </c>
      <c r="AF34" s="579">
        <f>'PMOC BY Adj'!Z34*$AC34</f>
        <v>0</v>
      </c>
      <c r="AG34" s="579">
        <f>'PMOC BY Adj'!AA34*$AC34</f>
        <v>0</v>
      </c>
      <c r="AH34" s="580">
        <f t="shared" si="67"/>
        <v>0</v>
      </c>
      <c r="AI34" s="580">
        <f t="shared" si="68"/>
        <v>0</v>
      </c>
      <c r="AJ34" s="568"/>
      <c r="AK34" s="581">
        <f t="shared" si="69"/>
        <v>0</v>
      </c>
      <c r="AL34" s="541">
        <f t="shared" si="69"/>
        <v>0</v>
      </c>
      <c r="AM34" s="541">
        <f t="shared" si="69"/>
        <v>0</v>
      </c>
      <c r="AN34" s="541">
        <f t="shared" si="69"/>
        <v>0</v>
      </c>
      <c r="AO34" s="541">
        <f t="shared" si="69"/>
        <v>0</v>
      </c>
      <c r="AP34" s="580">
        <f t="shared" si="69"/>
        <v>0</v>
      </c>
    </row>
    <row r="35" spans="1:42">
      <c r="A35" s="583">
        <v>40.03</v>
      </c>
      <c r="B35" s="584" t="s">
        <v>35</v>
      </c>
      <c r="C35" s="577">
        <f t="shared" si="57"/>
        <v>0</v>
      </c>
      <c r="D35" s="568"/>
      <c r="E35" s="577">
        <f t="shared" si="57"/>
        <v>0</v>
      </c>
      <c r="F35" s="579">
        <f>'PMOC BY Adj'!C35*$E35</f>
        <v>0</v>
      </c>
      <c r="G35" s="579">
        <f>'PMOC BY Adj'!D35*$E35</f>
        <v>0</v>
      </c>
      <c r="H35" s="579">
        <f>'PMOC BY Adj'!E35*$E35</f>
        <v>0</v>
      </c>
      <c r="I35" s="579">
        <f>'PMOC BY Adj'!F35*$E35</f>
        <v>0</v>
      </c>
      <c r="J35" s="580">
        <f t="shared" si="58"/>
        <v>0</v>
      </c>
      <c r="K35" s="580">
        <f t="shared" si="59"/>
        <v>0</v>
      </c>
      <c r="L35" s="568"/>
      <c r="M35" s="577">
        <f t="shared" si="60"/>
        <v>0</v>
      </c>
      <c r="N35" s="579">
        <f>'PMOC BY Adj'!J35*$M35</f>
        <v>0</v>
      </c>
      <c r="O35" s="579">
        <f>'PMOC BY Adj'!K35*$M35</f>
        <v>0</v>
      </c>
      <c r="P35" s="579">
        <f>'PMOC BY Adj'!L35*$M35</f>
        <v>0</v>
      </c>
      <c r="Q35" s="579">
        <f>'PMOC BY Adj'!M35*$M35</f>
        <v>0</v>
      </c>
      <c r="R35" s="580">
        <f t="shared" si="61"/>
        <v>0</v>
      </c>
      <c r="S35" s="580">
        <f t="shared" si="62"/>
        <v>0</v>
      </c>
      <c r="T35" s="568"/>
      <c r="U35" s="577">
        <f t="shared" si="63"/>
        <v>0</v>
      </c>
      <c r="V35" s="579">
        <f>'PMOC BY Adj'!Q35*$U35</f>
        <v>0</v>
      </c>
      <c r="W35" s="579">
        <f>'PMOC BY Adj'!R35*$U35</f>
        <v>0</v>
      </c>
      <c r="X35" s="579">
        <f>'PMOC BY Adj'!S35*$U35</f>
        <v>0</v>
      </c>
      <c r="Y35" s="579">
        <f>'PMOC BY Adj'!T35*$U35</f>
        <v>0</v>
      </c>
      <c r="Z35" s="580">
        <f t="shared" si="64"/>
        <v>0</v>
      </c>
      <c r="AA35" s="580">
        <f t="shared" si="65"/>
        <v>0</v>
      </c>
      <c r="AB35" s="568"/>
      <c r="AC35" s="577">
        <f t="shared" si="66"/>
        <v>0</v>
      </c>
      <c r="AD35" s="579">
        <f>'PMOC BY Adj'!X35*$AC35</f>
        <v>0</v>
      </c>
      <c r="AE35" s="579">
        <f>'PMOC BY Adj'!Y35*$AC35</f>
        <v>0</v>
      </c>
      <c r="AF35" s="579">
        <f>'PMOC BY Adj'!Z35*$AC35</f>
        <v>0</v>
      </c>
      <c r="AG35" s="579">
        <f>'PMOC BY Adj'!AA35*$AC35</f>
        <v>0</v>
      </c>
      <c r="AH35" s="580">
        <f t="shared" si="67"/>
        <v>0</v>
      </c>
      <c r="AI35" s="580">
        <f t="shared" si="68"/>
        <v>0</v>
      </c>
      <c r="AJ35" s="568"/>
      <c r="AK35" s="581">
        <f t="shared" si="69"/>
        <v>0</v>
      </c>
      <c r="AL35" s="541">
        <f t="shared" si="69"/>
        <v>0</v>
      </c>
      <c r="AM35" s="541">
        <f t="shared" si="69"/>
        <v>0</v>
      </c>
      <c r="AN35" s="541">
        <f t="shared" si="69"/>
        <v>0</v>
      </c>
      <c r="AO35" s="541">
        <f t="shared" si="69"/>
        <v>0</v>
      </c>
      <c r="AP35" s="580">
        <f t="shared" si="69"/>
        <v>0</v>
      </c>
    </row>
    <row r="36" spans="1:42">
      <c r="A36" s="583">
        <v>40.04</v>
      </c>
      <c r="B36" s="584" t="s">
        <v>36</v>
      </c>
      <c r="C36" s="577">
        <f t="shared" si="57"/>
        <v>0</v>
      </c>
      <c r="D36" s="568"/>
      <c r="E36" s="577">
        <f t="shared" si="57"/>
        <v>0</v>
      </c>
      <c r="F36" s="579">
        <f>'PMOC BY Adj'!C36*$E36</f>
        <v>0</v>
      </c>
      <c r="G36" s="579">
        <f>'PMOC BY Adj'!D36*$E36</f>
        <v>0</v>
      </c>
      <c r="H36" s="579">
        <f>'PMOC BY Adj'!E36*$E36</f>
        <v>0</v>
      </c>
      <c r="I36" s="579">
        <f>'PMOC BY Adj'!F36*$E36</f>
        <v>0</v>
      </c>
      <c r="J36" s="580">
        <f t="shared" si="58"/>
        <v>0</v>
      </c>
      <c r="K36" s="580">
        <f t="shared" si="59"/>
        <v>0</v>
      </c>
      <c r="L36" s="568"/>
      <c r="M36" s="577">
        <f t="shared" si="60"/>
        <v>0</v>
      </c>
      <c r="N36" s="579">
        <f>'PMOC BY Adj'!J36*$M36</f>
        <v>0</v>
      </c>
      <c r="O36" s="579">
        <f>'PMOC BY Adj'!K36*$M36</f>
        <v>0</v>
      </c>
      <c r="P36" s="579">
        <f>'PMOC BY Adj'!L36*$M36</f>
        <v>0</v>
      </c>
      <c r="Q36" s="579">
        <f>'PMOC BY Adj'!M36*$M36</f>
        <v>0</v>
      </c>
      <c r="R36" s="580">
        <f t="shared" si="61"/>
        <v>0</v>
      </c>
      <c r="S36" s="580">
        <f t="shared" si="62"/>
        <v>0</v>
      </c>
      <c r="T36" s="568"/>
      <c r="U36" s="577">
        <f t="shared" si="63"/>
        <v>0</v>
      </c>
      <c r="V36" s="579">
        <f>'PMOC BY Adj'!Q36*$U36</f>
        <v>0</v>
      </c>
      <c r="W36" s="579">
        <f>'PMOC BY Adj'!R36*$U36</f>
        <v>0</v>
      </c>
      <c r="X36" s="579">
        <f>'PMOC BY Adj'!S36*$U36</f>
        <v>0</v>
      </c>
      <c r="Y36" s="579">
        <f>'PMOC BY Adj'!T36*$U36</f>
        <v>0</v>
      </c>
      <c r="Z36" s="580">
        <f t="shared" si="64"/>
        <v>0</v>
      </c>
      <c r="AA36" s="580">
        <f t="shared" si="65"/>
        <v>0</v>
      </c>
      <c r="AB36" s="568"/>
      <c r="AC36" s="577">
        <f t="shared" si="66"/>
        <v>0</v>
      </c>
      <c r="AD36" s="579">
        <f>'PMOC BY Adj'!X36*$AC36</f>
        <v>0</v>
      </c>
      <c r="AE36" s="579">
        <f>'PMOC BY Adj'!Y36*$AC36</f>
        <v>0</v>
      </c>
      <c r="AF36" s="579">
        <f>'PMOC BY Adj'!Z36*$AC36</f>
        <v>0</v>
      </c>
      <c r="AG36" s="579">
        <f>'PMOC BY Adj'!AA36*$AC36</f>
        <v>0</v>
      </c>
      <c r="AH36" s="580">
        <f t="shared" si="67"/>
        <v>0</v>
      </c>
      <c r="AI36" s="580">
        <f t="shared" si="68"/>
        <v>0</v>
      </c>
      <c r="AJ36" s="568"/>
      <c r="AK36" s="581">
        <f t="shared" si="69"/>
        <v>0</v>
      </c>
      <c r="AL36" s="541">
        <f t="shared" si="69"/>
        <v>0</v>
      </c>
      <c r="AM36" s="541">
        <f t="shared" si="69"/>
        <v>0</v>
      </c>
      <c r="AN36" s="541">
        <f t="shared" si="69"/>
        <v>0</v>
      </c>
      <c r="AO36" s="541">
        <f t="shared" si="69"/>
        <v>0</v>
      </c>
      <c r="AP36" s="580">
        <f t="shared" si="69"/>
        <v>0</v>
      </c>
    </row>
    <row r="37" spans="1:42">
      <c r="A37" s="583">
        <v>40.049999999999997</v>
      </c>
      <c r="B37" s="584" t="s">
        <v>37</v>
      </c>
      <c r="C37" s="577">
        <f t="shared" si="57"/>
        <v>0</v>
      </c>
      <c r="D37" s="568"/>
      <c r="E37" s="577">
        <f t="shared" si="57"/>
        <v>0</v>
      </c>
      <c r="F37" s="579">
        <f>'PMOC BY Adj'!C37*$E37</f>
        <v>0</v>
      </c>
      <c r="G37" s="579">
        <f>'PMOC BY Adj'!D37*$E37</f>
        <v>0</v>
      </c>
      <c r="H37" s="579">
        <f>'PMOC BY Adj'!E37*$E37</f>
        <v>0</v>
      </c>
      <c r="I37" s="579">
        <f>'PMOC BY Adj'!F37*$E37</f>
        <v>0</v>
      </c>
      <c r="J37" s="580">
        <f t="shared" si="58"/>
        <v>0</v>
      </c>
      <c r="K37" s="580">
        <f t="shared" si="59"/>
        <v>0</v>
      </c>
      <c r="L37" s="568"/>
      <c r="M37" s="577">
        <f t="shared" si="60"/>
        <v>0</v>
      </c>
      <c r="N37" s="579">
        <f>'PMOC BY Adj'!J37*$M37</f>
        <v>0</v>
      </c>
      <c r="O37" s="579">
        <f>'PMOC BY Adj'!K37*$M37</f>
        <v>0</v>
      </c>
      <c r="P37" s="579">
        <f>'PMOC BY Adj'!L37*$M37</f>
        <v>0</v>
      </c>
      <c r="Q37" s="579">
        <f>'PMOC BY Adj'!M37*$M37</f>
        <v>0</v>
      </c>
      <c r="R37" s="580">
        <f t="shared" si="61"/>
        <v>0</v>
      </c>
      <c r="S37" s="580">
        <f t="shared" si="62"/>
        <v>0</v>
      </c>
      <c r="T37" s="568"/>
      <c r="U37" s="577">
        <f t="shared" si="63"/>
        <v>0</v>
      </c>
      <c r="V37" s="579">
        <f>'PMOC BY Adj'!Q37*$U37</f>
        <v>0</v>
      </c>
      <c r="W37" s="579">
        <f>'PMOC BY Adj'!R37*$U37</f>
        <v>0</v>
      </c>
      <c r="X37" s="579">
        <f>'PMOC BY Adj'!S37*$U37</f>
        <v>0</v>
      </c>
      <c r="Y37" s="579">
        <f>'PMOC BY Adj'!T37*$U37</f>
        <v>0</v>
      </c>
      <c r="Z37" s="580">
        <f t="shared" si="64"/>
        <v>0</v>
      </c>
      <c r="AA37" s="580">
        <f t="shared" si="65"/>
        <v>0</v>
      </c>
      <c r="AB37" s="568"/>
      <c r="AC37" s="577">
        <f t="shared" si="66"/>
        <v>0</v>
      </c>
      <c r="AD37" s="579">
        <f>'PMOC BY Adj'!X37*$AC37</f>
        <v>0</v>
      </c>
      <c r="AE37" s="579">
        <f>'PMOC BY Adj'!Y37*$AC37</f>
        <v>0</v>
      </c>
      <c r="AF37" s="579">
        <f>'PMOC BY Adj'!Z37*$AC37</f>
        <v>0</v>
      </c>
      <c r="AG37" s="579">
        <f>'PMOC BY Adj'!AA37*$AC37</f>
        <v>0</v>
      </c>
      <c r="AH37" s="580">
        <f t="shared" si="67"/>
        <v>0</v>
      </c>
      <c r="AI37" s="580">
        <f t="shared" si="68"/>
        <v>0</v>
      </c>
      <c r="AJ37" s="568"/>
      <c r="AK37" s="581">
        <f t="shared" si="69"/>
        <v>0</v>
      </c>
      <c r="AL37" s="541">
        <f t="shared" si="69"/>
        <v>0</v>
      </c>
      <c r="AM37" s="541">
        <f t="shared" si="69"/>
        <v>0</v>
      </c>
      <c r="AN37" s="541">
        <f t="shared" si="69"/>
        <v>0</v>
      </c>
      <c r="AO37" s="541">
        <f t="shared" si="69"/>
        <v>0</v>
      </c>
      <c r="AP37" s="580">
        <f t="shared" si="69"/>
        <v>0</v>
      </c>
    </row>
    <row r="38" spans="1:42">
      <c r="A38" s="583">
        <v>40.06</v>
      </c>
      <c r="B38" s="587" t="s">
        <v>38</v>
      </c>
      <c r="C38" s="577">
        <f t="shared" si="57"/>
        <v>0</v>
      </c>
      <c r="D38" s="568"/>
      <c r="E38" s="577">
        <f t="shared" si="57"/>
        <v>0</v>
      </c>
      <c r="F38" s="579">
        <f>'PMOC BY Adj'!C38*$E38</f>
        <v>0</v>
      </c>
      <c r="G38" s="579">
        <f>'PMOC BY Adj'!D38*$E38</f>
        <v>0</v>
      </c>
      <c r="H38" s="579">
        <f>'PMOC BY Adj'!E38*$E38</f>
        <v>0</v>
      </c>
      <c r="I38" s="579">
        <f>'PMOC BY Adj'!F38*$E38</f>
        <v>0</v>
      </c>
      <c r="J38" s="580">
        <f t="shared" si="58"/>
        <v>0</v>
      </c>
      <c r="K38" s="580">
        <f t="shared" si="59"/>
        <v>0</v>
      </c>
      <c r="L38" s="568"/>
      <c r="M38" s="577">
        <f t="shared" si="60"/>
        <v>0</v>
      </c>
      <c r="N38" s="579">
        <f>'PMOC BY Adj'!J38*$M38</f>
        <v>0</v>
      </c>
      <c r="O38" s="579">
        <f>'PMOC BY Adj'!K38*$M38</f>
        <v>0</v>
      </c>
      <c r="P38" s="579">
        <f>'PMOC BY Adj'!L38*$M38</f>
        <v>0</v>
      </c>
      <c r="Q38" s="579">
        <f>'PMOC BY Adj'!M38*$M38</f>
        <v>0</v>
      </c>
      <c r="R38" s="580">
        <f t="shared" si="61"/>
        <v>0</v>
      </c>
      <c r="S38" s="580">
        <f t="shared" si="62"/>
        <v>0</v>
      </c>
      <c r="T38" s="568"/>
      <c r="U38" s="577">
        <f t="shared" si="63"/>
        <v>0</v>
      </c>
      <c r="V38" s="579">
        <f>'PMOC BY Adj'!Q38*$U38</f>
        <v>0</v>
      </c>
      <c r="W38" s="579">
        <f>'PMOC BY Adj'!R38*$U38</f>
        <v>0</v>
      </c>
      <c r="X38" s="579">
        <f>'PMOC BY Adj'!S38*$U38</f>
        <v>0</v>
      </c>
      <c r="Y38" s="579">
        <f>'PMOC BY Adj'!T38*$U38</f>
        <v>0</v>
      </c>
      <c r="Z38" s="580">
        <f t="shared" si="64"/>
        <v>0</v>
      </c>
      <c r="AA38" s="580">
        <f t="shared" si="65"/>
        <v>0</v>
      </c>
      <c r="AB38" s="568"/>
      <c r="AC38" s="577">
        <f t="shared" si="66"/>
        <v>0</v>
      </c>
      <c r="AD38" s="579">
        <f>'PMOC BY Adj'!X38*$AC38</f>
        <v>0</v>
      </c>
      <c r="AE38" s="579">
        <f>'PMOC BY Adj'!Y38*$AC38</f>
        <v>0</v>
      </c>
      <c r="AF38" s="579">
        <f>'PMOC BY Adj'!Z38*$AC38</f>
        <v>0</v>
      </c>
      <c r="AG38" s="579">
        <f>'PMOC BY Adj'!AA38*$AC38</f>
        <v>0</v>
      </c>
      <c r="AH38" s="580">
        <f t="shared" si="67"/>
        <v>0</v>
      </c>
      <c r="AI38" s="580">
        <f t="shared" si="68"/>
        <v>0</v>
      </c>
      <c r="AJ38" s="568"/>
      <c r="AK38" s="581">
        <f t="shared" si="69"/>
        <v>0</v>
      </c>
      <c r="AL38" s="541">
        <f t="shared" si="69"/>
        <v>0</v>
      </c>
      <c r="AM38" s="541">
        <f t="shared" si="69"/>
        <v>0</v>
      </c>
      <c r="AN38" s="541">
        <f t="shared" si="69"/>
        <v>0</v>
      </c>
      <c r="AO38" s="541">
        <f t="shared" si="69"/>
        <v>0</v>
      </c>
      <c r="AP38" s="580">
        <f t="shared" si="69"/>
        <v>0</v>
      </c>
    </row>
    <row r="39" spans="1:42">
      <c r="A39" s="583">
        <v>40.07</v>
      </c>
      <c r="B39" s="587" t="s">
        <v>39</v>
      </c>
      <c r="C39" s="577">
        <f t="shared" si="57"/>
        <v>0</v>
      </c>
      <c r="D39" s="568"/>
      <c r="E39" s="577">
        <f t="shared" si="57"/>
        <v>0</v>
      </c>
      <c r="F39" s="579">
        <f>'PMOC BY Adj'!C39*$E39</f>
        <v>0</v>
      </c>
      <c r="G39" s="579">
        <f>'PMOC BY Adj'!D39*$E39</f>
        <v>0</v>
      </c>
      <c r="H39" s="579">
        <f>'PMOC BY Adj'!E39*$E39</f>
        <v>0</v>
      </c>
      <c r="I39" s="579">
        <f>'PMOC BY Adj'!F39*$E39</f>
        <v>0</v>
      </c>
      <c r="J39" s="580">
        <f t="shared" si="58"/>
        <v>0</v>
      </c>
      <c r="K39" s="580">
        <f t="shared" si="59"/>
        <v>0</v>
      </c>
      <c r="L39" s="568"/>
      <c r="M39" s="577">
        <f t="shared" si="60"/>
        <v>0</v>
      </c>
      <c r="N39" s="579">
        <f>'PMOC BY Adj'!J39*$M39</f>
        <v>0</v>
      </c>
      <c r="O39" s="579">
        <f>'PMOC BY Adj'!K39*$M39</f>
        <v>0</v>
      </c>
      <c r="P39" s="579">
        <f>'PMOC BY Adj'!L39*$M39</f>
        <v>0</v>
      </c>
      <c r="Q39" s="579">
        <f>'PMOC BY Adj'!M39*$M39</f>
        <v>0</v>
      </c>
      <c r="R39" s="580">
        <f t="shared" si="61"/>
        <v>0</v>
      </c>
      <c r="S39" s="580">
        <f t="shared" si="62"/>
        <v>0</v>
      </c>
      <c r="T39" s="568"/>
      <c r="U39" s="577">
        <f t="shared" si="63"/>
        <v>0</v>
      </c>
      <c r="V39" s="579">
        <f>'PMOC BY Adj'!Q39*$U39</f>
        <v>0</v>
      </c>
      <c r="W39" s="579">
        <f>'PMOC BY Adj'!R39*$U39</f>
        <v>0</v>
      </c>
      <c r="X39" s="579">
        <f>'PMOC BY Adj'!S39*$U39</f>
        <v>0</v>
      </c>
      <c r="Y39" s="579">
        <f>'PMOC BY Adj'!T39*$U39</f>
        <v>0</v>
      </c>
      <c r="Z39" s="580">
        <f t="shared" si="64"/>
        <v>0</v>
      </c>
      <c r="AA39" s="580">
        <f t="shared" si="65"/>
        <v>0</v>
      </c>
      <c r="AB39" s="568"/>
      <c r="AC39" s="577">
        <f t="shared" si="66"/>
        <v>0</v>
      </c>
      <c r="AD39" s="579">
        <f>'PMOC BY Adj'!X39*$AC39</f>
        <v>0</v>
      </c>
      <c r="AE39" s="579">
        <f>'PMOC BY Adj'!Y39*$AC39</f>
        <v>0</v>
      </c>
      <c r="AF39" s="579">
        <f>'PMOC BY Adj'!Z39*$AC39</f>
        <v>0</v>
      </c>
      <c r="AG39" s="579">
        <f>'PMOC BY Adj'!AA39*$AC39</f>
        <v>0</v>
      </c>
      <c r="AH39" s="580">
        <f t="shared" si="67"/>
        <v>0</v>
      </c>
      <c r="AI39" s="580">
        <f t="shared" si="68"/>
        <v>0</v>
      </c>
      <c r="AJ39" s="568"/>
      <c r="AK39" s="581">
        <f t="shared" si="69"/>
        <v>0</v>
      </c>
      <c r="AL39" s="541">
        <f t="shared" si="69"/>
        <v>0</v>
      </c>
      <c r="AM39" s="541">
        <f t="shared" si="69"/>
        <v>0</v>
      </c>
      <c r="AN39" s="541">
        <f t="shared" si="69"/>
        <v>0</v>
      </c>
      <c r="AO39" s="541">
        <f t="shared" si="69"/>
        <v>0</v>
      </c>
      <c r="AP39" s="580">
        <f t="shared" si="69"/>
        <v>0</v>
      </c>
    </row>
    <row r="40" spans="1:42">
      <c r="A40" s="583">
        <v>40.08</v>
      </c>
      <c r="B40" s="584" t="s">
        <v>40</v>
      </c>
      <c r="C40" s="577">
        <f t="shared" si="57"/>
        <v>0</v>
      </c>
      <c r="D40" s="568"/>
      <c r="E40" s="577">
        <f t="shared" si="57"/>
        <v>0</v>
      </c>
      <c r="F40" s="579">
        <f>'PMOC BY Adj'!C40*$E40</f>
        <v>0</v>
      </c>
      <c r="G40" s="579">
        <f>'PMOC BY Adj'!D40*$E40</f>
        <v>0</v>
      </c>
      <c r="H40" s="579">
        <f>'PMOC BY Adj'!E40*$E40</f>
        <v>0</v>
      </c>
      <c r="I40" s="579">
        <f>'PMOC BY Adj'!F40*$E40</f>
        <v>0</v>
      </c>
      <c r="J40" s="580">
        <f t="shared" si="58"/>
        <v>0</v>
      </c>
      <c r="K40" s="580">
        <f t="shared" si="59"/>
        <v>0</v>
      </c>
      <c r="L40" s="568"/>
      <c r="M40" s="577">
        <f t="shared" si="60"/>
        <v>0</v>
      </c>
      <c r="N40" s="579">
        <f>'PMOC BY Adj'!J40*$M40</f>
        <v>0</v>
      </c>
      <c r="O40" s="579">
        <f>'PMOC BY Adj'!K40*$M40</f>
        <v>0</v>
      </c>
      <c r="P40" s="579">
        <f>'PMOC BY Adj'!L40*$M40</f>
        <v>0</v>
      </c>
      <c r="Q40" s="579">
        <f>'PMOC BY Adj'!M40*$M40</f>
        <v>0</v>
      </c>
      <c r="R40" s="580">
        <f t="shared" si="61"/>
        <v>0</v>
      </c>
      <c r="S40" s="580">
        <f t="shared" si="62"/>
        <v>0</v>
      </c>
      <c r="T40" s="568"/>
      <c r="U40" s="577">
        <f t="shared" si="63"/>
        <v>0</v>
      </c>
      <c r="V40" s="579">
        <f>'PMOC BY Adj'!Q40*$U40</f>
        <v>0</v>
      </c>
      <c r="W40" s="579">
        <f>'PMOC BY Adj'!R40*$U40</f>
        <v>0</v>
      </c>
      <c r="X40" s="579">
        <f>'PMOC BY Adj'!S40*$U40</f>
        <v>0</v>
      </c>
      <c r="Y40" s="579">
        <f>'PMOC BY Adj'!T40*$U40</f>
        <v>0</v>
      </c>
      <c r="Z40" s="580">
        <f t="shared" si="64"/>
        <v>0</v>
      </c>
      <c r="AA40" s="580">
        <f t="shared" si="65"/>
        <v>0</v>
      </c>
      <c r="AB40" s="568"/>
      <c r="AC40" s="577">
        <f t="shared" si="66"/>
        <v>0</v>
      </c>
      <c r="AD40" s="579">
        <f>'PMOC BY Adj'!X40*$AC40</f>
        <v>0</v>
      </c>
      <c r="AE40" s="579">
        <f>'PMOC BY Adj'!Y40*$AC40</f>
        <v>0</v>
      </c>
      <c r="AF40" s="579">
        <f>'PMOC BY Adj'!Z40*$AC40</f>
        <v>0</v>
      </c>
      <c r="AG40" s="579">
        <f>'PMOC BY Adj'!AA40*$AC40</f>
        <v>0</v>
      </c>
      <c r="AH40" s="580">
        <f t="shared" si="67"/>
        <v>0</v>
      </c>
      <c r="AI40" s="580">
        <f t="shared" si="68"/>
        <v>0</v>
      </c>
      <c r="AJ40" s="568"/>
      <c r="AK40" s="581">
        <f t="shared" si="69"/>
        <v>0</v>
      </c>
      <c r="AL40" s="541">
        <f t="shared" si="69"/>
        <v>0</v>
      </c>
      <c r="AM40" s="541">
        <f t="shared" si="69"/>
        <v>0</v>
      </c>
      <c r="AN40" s="541">
        <f t="shared" si="69"/>
        <v>0</v>
      </c>
      <c r="AO40" s="541">
        <f t="shared" si="69"/>
        <v>0</v>
      </c>
      <c r="AP40" s="580">
        <f t="shared" si="69"/>
        <v>0</v>
      </c>
    </row>
    <row r="41" spans="1:42" ht="15">
      <c r="A41" s="565" t="s">
        <v>170</v>
      </c>
      <c r="B41" s="566"/>
      <c r="C41" s="567">
        <f>'PMOC Globl Infl Adjst'!D33</f>
        <v>0</v>
      </c>
      <c r="D41" s="568"/>
      <c r="E41" s="582">
        <f>$C41</f>
        <v>0</v>
      </c>
      <c r="F41" s="572">
        <f>SUM(F42:F48)</f>
        <v>0</v>
      </c>
      <c r="G41" s="572">
        <f>SUM(G42:G48)</f>
        <v>0</v>
      </c>
      <c r="H41" s="572">
        <f t="shared" ref="H41:I41" si="70">SUM(H42:H48)</f>
        <v>0</v>
      </c>
      <c r="I41" s="572">
        <f t="shared" si="70"/>
        <v>0</v>
      </c>
      <c r="J41" s="573">
        <f>SUM(J42:J48)</f>
        <v>0</v>
      </c>
      <c r="K41" s="573">
        <f>SUM(K42:K48)</f>
        <v>0</v>
      </c>
      <c r="L41" s="568"/>
      <c r="M41" s="582">
        <f>$C41</f>
        <v>0</v>
      </c>
      <c r="N41" s="572">
        <f>SUM(N42:N48)</f>
        <v>0</v>
      </c>
      <c r="O41" s="572">
        <f>SUM(O42:O48)</f>
        <v>0</v>
      </c>
      <c r="P41" s="572">
        <f t="shared" ref="P41:Q41" si="71">SUM(P42:P48)</f>
        <v>0</v>
      </c>
      <c r="Q41" s="572">
        <f t="shared" si="71"/>
        <v>0</v>
      </c>
      <c r="R41" s="573">
        <f>SUM(R42:R48)</f>
        <v>0</v>
      </c>
      <c r="S41" s="573">
        <f>SUM(S42:S48)</f>
        <v>0</v>
      </c>
      <c r="T41" s="568"/>
      <c r="U41" s="582">
        <f>$C41</f>
        <v>0</v>
      </c>
      <c r="V41" s="572">
        <f>SUM(V42:V48)</f>
        <v>0</v>
      </c>
      <c r="W41" s="572">
        <f>SUM(W42:W48)</f>
        <v>0</v>
      </c>
      <c r="X41" s="572">
        <f t="shared" ref="X41:Y41" si="72">SUM(X42:X48)</f>
        <v>0</v>
      </c>
      <c r="Y41" s="572">
        <f t="shared" si="72"/>
        <v>0</v>
      </c>
      <c r="Z41" s="573">
        <f>SUM(Z42:Z48)</f>
        <v>0</v>
      </c>
      <c r="AA41" s="573">
        <f>SUM(AA42:AA48)</f>
        <v>0</v>
      </c>
      <c r="AB41" s="568"/>
      <c r="AC41" s="582">
        <f>$C41</f>
        <v>0</v>
      </c>
      <c r="AD41" s="572">
        <f>SUM(AD42:AD48)</f>
        <v>0</v>
      </c>
      <c r="AE41" s="572">
        <f>SUM(AE42:AE48)</f>
        <v>0</v>
      </c>
      <c r="AF41" s="572">
        <f t="shared" ref="AF41:AG41" si="73">SUM(AF42:AF48)</f>
        <v>0</v>
      </c>
      <c r="AG41" s="572">
        <f t="shared" si="73"/>
        <v>0</v>
      </c>
      <c r="AH41" s="573">
        <f>SUM(AH42:AH48)</f>
        <v>0</v>
      </c>
      <c r="AI41" s="573">
        <f>SUM(AI42:AI48)</f>
        <v>0</v>
      </c>
      <c r="AJ41" s="568"/>
      <c r="AK41" s="574">
        <f>SUM(AK42:AK48)</f>
        <v>0</v>
      </c>
      <c r="AL41" s="572">
        <f>SUM(AL42:AL48)</f>
        <v>0</v>
      </c>
      <c r="AM41" s="572">
        <f t="shared" ref="AM41:AN41" si="74">SUM(AM42:AM48)</f>
        <v>0</v>
      </c>
      <c r="AN41" s="572">
        <f t="shared" si="74"/>
        <v>0</v>
      </c>
      <c r="AO41" s="572">
        <f>SUM(AO42:AO48)</f>
        <v>0</v>
      </c>
      <c r="AP41" s="573">
        <f>SUM(AP42:AP48)</f>
        <v>0</v>
      </c>
    </row>
    <row r="42" spans="1:42">
      <c r="A42" s="583">
        <v>50.01</v>
      </c>
      <c r="B42" s="584" t="s">
        <v>41</v>
      </c>
      <c r="C42" s="577">
        <f t="shared" ref="C42:E48" si="75">C$41</f>
        <v>0</v>
      </c>
      <c r="D42" s="568"/>
      <c r="E42" s="577">
        <f t="shared" si="75"/>
        <v>0</v>
      </c>
      <c r="F42" s="579">
        <f>'PMOC BY Adj'!C42*$E42</f>
        <v>0</v>
      </c>
      <c r="G42" s="579">
        <f>'PMOC BY Adj'!D42*$E42</f>
        <v>0</v>
      </c>
      <c r="H42" s="579">
        <f>'PMOC BY Adj'!E42*$E42</f>
        <v>0</v>
      </c>
      <c r="I42" s="579">
        <f>'PMOC BY Adj'!F42*$E42</f>
        <v>0</v>
      </c>
      <c r="J42" s="580">
        <f t="shared" ref="J42:J48" si="76">SUM(G42:I42)</f>
        <v>0</v>
      </c>
      <c r="K42" s="580">
        <f t="shared" ref="K42:K48" si="77">SUM(F42,J42)</f>
        <v>0</v>
      </c>
      <c r="L42" s="568"/>
      <c r="M42" s="577">
        <f t="shared" ref="M42:M48" si="78">M$41</f>
        <v>0</v>
      </c>
      <c r="N42" s="579">
        <f>'PMOC BY Adj'!J42*$M42</f>
        <v>0</v>
      </c>
      <c r="O42" s="579">
        <f>'PMOC BY Adj'!K42*$M42</f>
        <v>0</v>
      </c>
      <c r="P42" s="579">
        <f>'PMOC BY Adj'!L42*$M42</f>
        <v>0</v>
      </c>
      <c r="Q42" s="579">
        <f>'PMOC BY Adj'!M42*$M42</f>
        <v>0</v>
      </c>
      <c r="R42" s="580">
        <f t="shared" ref="R42:R48" si="79">SUM(O42:Q42)</f>
        <v>0</v>
      </c>
      <c r="S42" s="580">
        <f t="shared" ref="S42:S48" si="80">SUM(N42,R42)</f>
        <v>0</v>
      </c>
      <c r="T42" s="568"/>
      <c r="U42" s="577">
        <f t="shared" ref="U42:U48" si="81">U$41</f>
        <v>0</v>
      </c>
      <c r="V42" s="579">
        <f>'PMOC BY Adj'!Q42*$U42</f>
        <v>0</v>
      </c>
      <c r="W42" s="579">
        <f>'PMOC BY Adj'!R42*$U42</f>
        <v>0</v>
      </c>
      <c r="X42" s="579">
        <f>'PMOC BY Adj'!S42*$U42</f>
        <v>0</v>
      </c>
      <c r="Y42" s="579">
        <f>'PMOC BY Adj'!T42*$U42</f>
        <v>0</v>
      </c>
      <c r="Z42" s="580">
        <f t="shared" ref="Z42:Z48" si="82">SUM(W42:Y42)</f>
        <v>0</v>
      </c>
      <c r="AA42" s="580">
        <f t="shared" ref="AA42:AA48" si="83">SUM(V42,Z42)</f>
        <v>0</v>
      </c>
      <c r="AB42" s="568"/>
      <c r="AC42" s="577">
        <f t="shared" ref="AC42:AC48" si="84">AC$41</f>
        <v>0</v>
      </c>
      <c r="AD42" s="579">
        <f>'PMOC BY Adj'!X42*$AC42</f>
        <v>0</v>
      </c>
      <c r="AE42" s="579">
        <f>'PMOC BY Adj'!Y42*$AC42</f>
        <v>0</v>
      </c>
      <c r="AF42" s="579">
        <f>'PMOC BY Adj'!Z42*$AC42</f>
        <v>0</v>
      </c>
      <c r="AG42" s="579">
        <f>'PMOC BY Adj'!AA42*$AC42</f>
        <v>0</v>
      </c>
      <c r="AH42" s="580">
        <f t="shared" ref="AH42:AH48" si="85">SUM(AE42:AG42)</f>
        <v>0</v>
      </c>
      <c r="AI42" s="580">
        <f t="shared" ref="AI42:AI48" si="86">SUM(AD42,AH42)</f>
        <v>0</v>
      </c>
      <c r="AJ42" s="568"/>
      <c r="AK42" s="581">
        <f t="shared" ref="AK42:AP48" si="87">SUM(F42,N42,V42,AD42)</f>
        <v>0</v>
      </c>
      <c r="AL42" s="541">
        <f t="shared" si="87"/>
        <v>0</v>
      </c>
      <c r="AM42" s="541">
        <f t="shared" si="87"/>
        <v>0</v>
      </c>
      <c r="AN42" s="541">
        <f t="shared" si="87"/>
        <v>0</v>
      </c>
      <c r="AO42" s="541">
        <f t="shared" si="87"/>
        <v>0</v>
      </c>
      <c r="AP42" s="580">
        <f t="shared" si="87"/>
        <v>0</v>
      </c>
    </row>
    <row r="43" spans="1:42">
      <c r="A43" s="583">
        <v>50.02</v>
      </c>
      <c r="B43" s="584" t="s">
        <v>42</v>
      </c>
      <c r="C43" s="577">
        <f t="shared" si="75"/>
        <v>0</v>
      </c>
      <c r="D43" s="568"/>
      <c r="E43" s="577">
        <f t="shared" si="75"/>
        <v>0</v>
      </c>
      <c r="F43" s="579">
        <f>'PMOC BY Adj'!C43*$E43</f>
        <v>0</v>
      </c>
      <c r="G43" s="579">
        <f>'PMOC BY Adj'!D43*$E43</f>
        <v>0</v>
      </c>
      <c r="H43" s="579">
        <f>'PMOC BY Adj'!E43*$E43</f>
        <v>0</v>
      </c>
      <c r="I43" s="579">
        <f>'PMOC BY Adj'!F43*$E43</f>
        <v>0</v>
      </c>
      <c r="J43" s="580">
        <f t="shared" si="76"/>
        <v>0</v>
      </c>
      <c r="K43" s="580">
        <f t="shared" si="77"/>
        <v>0</v>
      </c>
      <c r="L43" s="568"/>
      <c r="M43" s="577">
        <f t="shared" si="78"/>
        <v>0</v>
      </c>
      <c r="N43" s="579">
        <f>'PMOC BY Adj'!J43*$M43</f>
        <v>0</v>
      </c>
      <c r="O43" s="579">
        <f>'PMOC BY Adj'!K43*$M43</f>
        <v>0</v>
      </c>
      <c r="P43" s="579">
        <f>'PMOC BY Adj'!L43*$M43</f>
        <v>0</v>
      </c>
      <c r="Q43" s="579">
        <f>'PMOC BY Adj'!M43*$M43</f>
        <v>0</v>
      </c>
      <c r="R43" s="580">
        <f t="shared" si="79"/>
        <v>0</v>
      </c>
      <c r="S43" s="580">
        <f t="shared" si="80"/>
        <v>0</v>
      </c>
      <c r="T43" s="568"/>
      <c r="U43" s="577">
        <f t="shared" si="81"/>
        <v>0</v>
      </c>
      <c r="V43" s="579">
        <f>'PMOC BY Adj'!Q43*$U43</f>
        <v>0</v>
      </c>
      <c r="W43" s="579">
        <f>'PMOC BY Adj'!R43*$U43</f>
        <v>0</v>
      </c>
      <c r="X43" s="579">
        <f>'PMOC BY Adj'!S43*$U43</f>
        <v>0</v>
      </c>
      <c r="Y43" s="579">
        <f>'PMOC BY Adj'!T43*$U43</f>
        <v>0</v>
      </c>
      <c r="Z43" s="580">
        <f t="shared" si="82"/>
        <v>0</v>
      </c>
      <c r="AA43" s="580">
        <f t="shared" si="83"/>
        <v>0</v>
      </c>
      <c r="AB43" s="568"/>
      <c r="AC43" s="577">
        <f t="shared" si="84"/>
        <v>0</v>
      </c>
      <c r="AD43" s="579">
        <f>'PMOC BY Adj'!X43*$AC43</f>
        <v>0</v>
      </c>
      <c r="AE43" s="579">
        <f>'PMOC BY Adj'!Y43*$AC43</f>
        <v>0</v>
      </c>
      <c r="AF43" s="579">
        <f>'PMOC BY Adj'!Z43*$AC43</f>
        <v>0</v>
      </c>
      <c r="AG43" s="579">
        <f>'PMOC BY Adj'!AA43*$AC43</f>
        <v>0</v>
      </c>
      <c r="AH43" s="580">
        <f t="shared" si="85"/>
        <v>0</v>
      </c>
      <c r="AI43" s="580">
        <f t="shared" si="86"/>
        <v>0</v>
      </c>
      <c r="AJ43" s="568"/>
      <c r="AK43" s="581">
        <f t="shared" si="87"/>
        <v>0</v>
      </c>
      <c r="AL43" s="541">
        <f t="shared" si="87"/>
        <v>0</v>
      </c>
      <c r="AM43" s="541">
        <f t="shared" si="87"/>
        <v>0</v>
      </c>
      <c r="AN43" s="541">
        <f t="shared" si="87"/>
        <v>0</v>
      </c>
      <c r="AO43" s="541">
        <f t="shared" si="87"/>
        <v>0</v>
      </c>
      <c r="AP43" s="580">
        <f t="shared" si="87"/>
        <v>0</v>
      </c>
    </row>
    <row r="44" spans="1:42">
      <c r="A44" s="583">
        <v>50.03</v>
      </c>
      <c r="B44" s="584" t="s">
        <v>43</v>
      </c>
      <c r="C44" s="577">
        <f t="shared" si="75"/>
        <v>0</v>
      </c>
      <c r="D44" s="568"/>
      <c r="E44" s="577">
        <f t="shared" si="75"/>
        <v>0</v>
      </c>
      <c r="F44" s="579">
        <f>'PMOC BY Adj'!C44*$E44</f>
        <v>0</v>
      </c>
      <c r="G44" s="579">
        <f>'PMOC BY Adj'!D44*$E44</f>
        <v>0</v>
      </c>
      <c r="H44" s="579">
        <f>'PMOC BY Adj'!E44*$E44</f>
        <v>0</v>
      </c>
      <c r="I44" s="579">
        <f>'PMOC BY Adj'!F44*$E44</f>
        <v>0</v>
      </c>
      <c r="J44" s="580">
        <f t="shared" si="76"/>
        <v>0</v>
      </c>
      <c r="K44" s="580">
        <f t="shared" si="77"/>
        <v>0</v>
      </c>
      <c r="L44" s="568"/>
      <c r="M44" s="577">
        <f t="shared" si="78"/>
        <v>0</v>
      </c>
      <c r="N44" s="579">
        <f>'PMOC BY Adj'!J44*$M44</f>
        <v>0</v>
      </c>
      <c r="O44" s="579">
        <f>'PMOC BY Adj'!K44*$M44</f>
        <v>0</v>
      </c>
      <c r="P44" s="579">
        <f>'PMOC BY Adj'!L44*$M44</f>
        <v>0</v>
      </c>
      <c r="Q44" s="579">
        <f>'PMOC BY Adj'!M44*$M44</f>
        <v>0</v>
      </c>
      <c r="R44" s="580">
        <f t="shared" si="79"/>
        <v>0</v>
      </c>
      <c r="S44" s="580">
        <f t="shared" si="80"/>
        <v>0</v>
      </c>
      <c r="T44" s="568"/>
      <c r="U44" s="577">
        <f t="shared" si="81"/>
        <v>0</v>
      </c>
      <c r="V44" s="579">
        <f>'PMOC BY Adj'!Q44*$U44</f>
        <v>0</v>
      </c>
      <c r="W44" s="579">
        <f>'PMOC BY Adj'!R44*$U44</f>
        <v>0</v>
      </c>
      <c r="X44" s="579">
        <f>'PMOC BY Adj'!S44*$U44</f>
        <v>0</v>
      </c>
      <c r="Y44" s="579">
        <f>'PMOC BY Adj'!T44*$U44</f>
        <v>0</v>
      </c>
      <c r="Z44" s="580">
        <f t="shared" si="82"/>
        <v>0</v>
      </c>
      <c r="AA44" s="580">
        <f t="shared" si="83"/>
        <v>0</v>
      </c>
      <c r="AB44" s="568"/>
      <c r="AC44" s="577">
        <f t="shared" si="84"/>
        <v>0</v>
      </c>
      <c r="AD44" s="579">
        <f>'PMOC BY Adj'!X44*$AC44</f>
        <v>0</v>
      </c>
      <c r="AE44" s="579">
        <f>'PMOC BY Adj'!Y44*$AC44</f>
        <v>0</v>
      </c>
      <c r="AF44" s="579">
        <f>'PMOC BY Adj'!Z44*$AC44</f>
        <v>0</v>
      </c>
      <c r="AG44" s="579">
        <f>'PMOC BY Adj'!AA44*$AC44</f>
        <v>0</v>
      </c>
      <c r="AH44" s="580">
        <f t="shared" si="85"/>
        <v>0</v>
      </c>
      <c r="AI44" s="580">
        <f t="shared" si="86"/>
        <v>0</v>
      </c>
      <c r="AJ44" s="568"/>
      <c r="AK44" s="581">
        <f t="shared" si="87"/>
        <v>0</v>
      </c>
      <c r="AL44" s="541">
        <f t="shared" si="87"/>
        <v>0</v>
      </c>
      <c r="AM44" s="541">
        <f t="shared" si="87"/>
        <v>0</v>
      </c>
      <c r="AN44" s="541">
        <f t="shared" si="87"/>
        <v>0</v>
      </c>
      <c r="AO44" s="541">
        <f t="shared" si="87"/>
        <v>0</v>
      </c>
      <c r="AP44" s="580">
        <f t="shared" si="87"/>
        <v>0</v>
      </c>
    </row>
    <row r="45" spans="1:42">
      <c r="A45" s="583">
        <v>50.04</v>
      </c>
      <c r="B45" s="584" t="s">
        <v>44</v>
      </c>
      <c r="C45" s="577">
        <f t="shared" si="75"/>
        <v>0</v>
      </c>
      <c r="D45" s="568"/>
      <c r="E45" s="577">
        <f t="shared" si="75"/>
        <v>0</v>
      </c>
      <c r="F45" s="579">
        <f>'PMOC BY Adj'!C45*$E45</f>
        <v>0</v>
      </c>
      <c r="G45" s="579">
        <f>'PMOC BY Adj'!D45*$E45</f>
        <v>0</v>
      </c>
      <c r="H45" s="579">
        <f>'PMOC BY Adj'!E45*$E45</f>
        <v>0</v>
      </c>
      <c r="I45" s="579">
        <f>'PMOC BY Adj'!F45*$E45</f>
        <v>0</v>
      </c>
      <c r="J45" s="580">
        <f t="shared" si="76"/>
        <v>0</v>
      </c>
      <c r="K45" s="580">
        <f t="shared" si="77"/>
        <v>0</v>
      </c>
      <c r="L45" s="568"/>
      <c r="M45" s="577">
        <f t="shared" si="78"/>
        <v>0</v>
      </c>
      <c r="N45" s="579">
        <f>'PMOC BY Adj'!J45*$M45</f>
        <v>0</v>
      </c>
      <c r="O45" s="579">
        <f>'PMOC BY Adj'!K45*$M45</f>
        <v>0</v>
      </c>
      <c r="P45" s="579">
        <f>'PMOC BY Adj'!L45*$M45</f>
        <v>0</v>
      </c>
      <c r="Q45" s="579">
        <f>'PMOC BY Adj'!M45*$M45</f>
        <v>0</v>
      </c>
      <c r="R45" s="580">
        <f t="shared" si="79"/>
        <v>0</v>
      </c>
      <c r="S45" s="580">
        <f t="shared" si="80"/>
        <v>0</v>
      </c>
      <c r="T45" s="568"/>
      <c r="U45" s="577">
        <f t="shared" si="81"/>
        <v>0</v>
      </c>
      <c r="V45" s="579">
        <f>'PMOC BY Adj'!Q45*$U45</f>
        <v>0</v>
      </c>
      <c r="W45" s="579">
        <f>'PMOC BY Adj'!R45*$U45</f>
        <v>0</v>
      </c>
      <c r="X45" s="579">
        <f>'PMOC BY Adj'!S45*$U45</f>
        <v>0</v>
      </c>
      <c r="Y45" s="579">
        <f>'PMOC BY Adj'!T45*$U45</f>
        <v>0</v>
      </c>
      <c r="Z45" s="580">
        <f t="shared" si="82"/>
        <v>0</v>
      </c>
      <c r="AA45" s="580">
        <f t="shared" si="83"/>
        <v>0</v>
      </c>
      <c r="AB45" s="568"/>
      <c r="AC45" s="577">
        <f t="shared" si="84"/>
        <v>0</v>
      </c>
      <c r="AD45" s="579">
        <f>'PMOC BY Adj'!X45*$AC45</f>
        <v>0</v>
      </c>
      <c r="AE45" s="579">
        <f>'PMOC BY Adj'!Y45*$AC45</f>
        <v>0</v>
      </c>
      <c r="AF45" s="579">
        <f>'PMOC BY Adj'!Z45*$AC45</f>
        <v>0</v>
      </c>
      <c r="AG45" s="579">
        <f>'PMOC BY Adj'!AA45*$AC45</f>
        <v>0</v>
      </c>
      <c r="AH45" s="580">
        <f t="shared" si="85"/>
        <v>0</v>
      </c>
      <c r="AI45" s="580">
        <f t="shared" si="86"/>
        <v>0</v>
      </c>
      <c r="AJ45" s="568"/>
      <c r="AK45" s="581">
        <f t="shared" si="87"/>
        <v>0</v>
      </c>
      <c r="AL45" s="541">
        <f t="shared" si="87"/>
        <v>0</v>
      </c>
      <c r="AM45" s="541">
        <f t="shared" si="87"/>
        <v>0</v>
      </c>
      <c r="AN45" s="541">
        <f t="shared" si="87"/>
        <v>0</v>
      </c>
      <c r="AO45" s="541">
        <f t="shared" si="87"/>
        <v>0</v>
      </c>
      <c r="AP45" s="580">
        <f t="shared" si="87"/>
        <v>0</v>
      </c>
    </row>
    <row r="46" spans="1:42">
      <c r="A46" s="583">
        <v>50.05</v>
      </c>
      <c r="B46" s="584" t="s">
        <v>45</v>
      </c>
      <c r="C46" s="577">
        <f t="shared" si="75"/>
        <v>0</v>
      </c>
      <c r="D46" s="568"/>
      <c r="E46" s="577">
        <f t="shared" si="75"/>
        <v>0</v>
      </c>
      <c r="F46" s="579">
        <f>'PMOC BY Adj'!C46*$E46</f>
        <v>0</v>
      </c>
      <c r="G46" s="579">
        <f>'PMOC BY Adj'!D46*$E46</f>
        <v>0</v>
      </c>
      <c r="H46" s="579">
        <f>'PMOC BY Adj'!E46*$E46</f>
        <v>0</v>
      </c>
      <c r="I46" s="579">
        <f>'PMOC BY Adj'!F46*$E46</f>
        <v>0</v>
      </c>
      <c r="J46" s="580">
        <f t="shared" si="76"/>
        <v>0</v>
      </c>
      <c r="K46" s="580">
        <f t="shared" si="77"/>
        <v>0</v>
      </c>
      <c r="L46" s="568"/>
      <c r="M46" s="577">
        <f t="shared" si="78"/>
        <v>0</v>
      </c>
      <c r="N46" s="579">
        <f>'PMOC BY Adj'!J46*$M46</f>
        <v>0</v>
      </c>
      <c r="O46" s="579">
        <f>'PMOC BY Adj'!K46*$M46</f>
        <v>0</v>
      </c>
      <c r="P46" s="579">
        <f>'PMOC BY Adj'!L46*$M46</f>
        <v>0</v>
      </c>
      <c r="Q46" s="579">
        <f>'PMOC BY Adj'!M46*$M46</f>
        <v>0</v>
      </c>
      <c r="R46" s="580">
        <f t="shared" si="79"/>
        <v>0</v>
      </c>
      <c r="S46" s="580">
        <f t="shared" si="80"/>
        <v>0</v>
      </c>
      <c r="T46" s="568"/>
      <c r="U46" s="577">
        <f t="shared" si="81"/>
        <v>0</v>
      </c>
      <c r="V46" s="579">
        <f>'PMOC BY Adj'!Q46*$U46</f>
        <v>0</v>
      </c>
      <c r="W46" s="579">
        <f>'PMOC BY Adj'!R46*$U46</f>
        <v>0</v>
      </c>
      <c r="X46" s="579">
        <f>'PMOC BY Adj'!S46*$U46</f>
        <v>0</v>
      </c>
      <c r="Y46" s="579">
        <f>'PMOC BY Adj'!T46*$U46</f>
        <v>0</v>
      </c>
      <c r="Z46" s="580">
        <f t="shared" si="82"/>
        <v>0</v>
      </c>
      <c r="AA46" s="580">
        <f t="shared" si="83"/>
        <v>0</v>
      </c>
      <c r="AB46" s="568"/>
      <c r="AC46" s="577">
        <f t="shared" si="84"/>
        <v>0</v>
      </c>
      <c r="AD46" s="579">
        <f>'PMOC BY Adj'!X46*$AC46</f>
        <v>0</v>
      </c>
      <c r="AE46" s="579">
        <f>'PMOC BY Adj'!Y46*$AC46</f>
        <v>0</v>
      </c>
      <c r="AF46" s="579">
        <f>'PMOC BY Adj'!Z46*$AC46</f>
        <v>0</v>
      </c>
      <c r="AG46" s="579">
        <f>'PMOC BY Adj'!AA46*$AC46</f>
        <v>0</v>
      </c>
      <c r="AH46" s="580">
        <f t="shared" si="85"/>
        <v>0</v>
      </c>
      <c r="AI46" s="580">
        <f t="shared" si="86"/>
        <v>0</v>
      </c>
      <c r="AJ46" s="568"/>
      <c r="AK46" s="581">
        <f t="shared" si="87"/>
        <v>0</v>
      </c>
      <c r="AL46" s="541">
        <f t="shared" si="87"/>
        <v>0</v>
      </c>
      <c r="AM46" s="541">
        <f t="shared" si="87"/>
        <v>0</v>
      </c>
      <c r="AN46" s="541">
        <f t="shared" si="87"/>
        <v>0</v>
      </c>
      <c r="AO46" s="541">
        <f t="shared" si="87"/>
        <v>0</v>
      </c>
      <c r="AP46" s="580">
        <f t="shared" si="87"/>
        <v>0</v>
      </c>
    </row>
    <row r="47" spans="1:42">
      <c r="A47" s="583">
        <v>50.06</v>
      </c>
      <c r="B47" s="584" t="s">
        <v>46</v>
      </c>
      <c r="C47" s="577">
        <f t="shared" si="75"/>
        <v>0</v>
      </c>
      <c r="D47" s="568"/>
      <c r="E47" s="577">
        <f t="shared" si="75"/>
        <v>0</v>
      </c>
      <c r="F47" s="579">
        <f>'PMOC BY Adj'!C47*$E47</f>
        <v>0</v>
      </c>
      <c r="G47" s="579">
        <f>'PMOC BY Adj'!D47*$E47</f>
        <v>0</v>
      </c>
      <c r="H47" s="579">
        <f>'PMOC BY Adj'!E47*$E47</f>
        <v>0</v>
      </c>
      <c r="I47" s="579">
        <f>'PMOC BY Adj'!F47*$E47</f>
        <v>0</v>
      </c>
      <c r="J47" s="580">
        <f t="shared" si="76"/>
        <v>0</v>
      </c>
      <c r="K47" s="580">
        <f t="shared" si="77"/>
        <v>0</v>
      </c>
      <c r="L47" s="568"/>
      <c r="M47" s="577">
        <f t="shared" si="78"/>
        <v>0</v>
      </c>
      <c r="N47" s="579">
        <f>'PMOC BY Adj'!J47*$M47</f>
        <v>0</v>
      </c>
      <c r="O47" s="579">
        <f>'PMOC BY Adj'!K47*$M47</f>
        <v>0</v>
      </c>
      <c r="P47" s="579">
        <f>'PMOC BY Adj'!L47*$M47</f>
        <v>0</v>
      </c>
      <c r="Q47" s="579">
        <f>'PMOC BY Adj'!M47*$M47</f>
        <v>0</v>
      </c>
      <c r="R47" s="580">
        <f t="shared" si="79"/>
        <v>0</v>
      </c>
      <c r="S47" s="580">
        <f t="shared" si="80"/>
        <v>0</v>
      </c>
      <c r="T47" s="568"/>
      <c r="U47" s="577">
        <f t="shared" si="81"/>
        <v>0</v>
      </c>
      <c r="V47" s="579">
        <f>'PMOC BY Adj'!Q47*$U47</f>
        <v>0</v>
      </c>
      <c r="W47" s="579">
        <f>'PMOC BY Adj'!R47*$U47</f>
        <v>0</v>
      </c>
      <c r="X47" s="579">
        <f>'PMOC BY Adj'!S47*$U47</f>
        <v>0</v>
      </c>
      <c r="Y47" s="579">
        <f>'PMOC BY Adj'!T47*$U47</f>
        <v>0</v>
      </c>
      <c r="Z47" s="580">
        <f t="shared" si="82"/>
        <v>0</v>
      </c>
      <c r="AA47" s="580">
        <f t="shared" si="83"/>
        <v>0</v>
      </c>
      <c r="AB47" s="568"/>
      <c r="AC47" s="577">
        <f t="shared" si="84"/>
        <v>0</v>
      </c>
      <c r="AD47" s="579">
        <f>'PMOC BY Adj'!X47*$AC47</f>
        <v>0</v>
      </c>
      <c r="AE47" s="579">
        <f>'PMOC BY Adj'!Y47*$AC47</f>
        <v>0</v>
      </c>
      <c r="AF47" s="579">
        <f>'PMOC BY Adj'!Z47*$AC47</f>
        <v>0</v>
      </c>
      <c r="AG47" s="579">
        <f>'PMOC BY Adj'!AA47*$AC47</f>
        <v>0</v>
      </c>
      <c r="AH47" s="580">
        <f t="shared" si="85"/>
        <v>0</v>
      </c>
      <c r="AI47" s="580">
        <f t="shared" si="86"/>
        <v>0</v>
      </c>
      <c r="AJ47" s="568"/>
      <c r="AK47" s="581">
        <f t="shared" si="87"/>
        <v>0</v>
      </c>
      <c r="AL47" s="541">
        <f t="shared" si="87"/>
        <v>0</v>
      </c>
      <c r="AM47" s="541">
        <f t="shared" si="87"/>
        <v>0</v>
      </c>
      <c r="AN47" s="541">
        <f t="shared" si="87"/>
        <v>0</v>
      </c>
      <c r="AO47" s="541">
        <f t="shared" si="87"/>
        <v>0</v>
      </c>
      <c r="AP47" s="580">
        <f t="shared" si="87"/>
        <v>0</v>
      </c>
    </row>
    <row r="48" spans="1:42" ht="13.5" thickBot="1">
      <c r="A48" s="583">
        <v>50.07</v>
      </c>
      <c r="B48" s="584" t="s">
        <v>47</v>
      </c>
      <c r="C48" s="588">
        <f t="shared" si="75"/>
        <v>0</v>
      </c>
      <c r="D48" s="568"/>
      <c r="E48" s="588">
        <f t="shared" si="75"/>
        <v>0</v>
      </c>
      <c r="F48" s="579">
        <f>'PMOC BY Adj'!C48*$E48</f>
        <v>0</v>
      </c>
      <c r="G48" s="579">
        <f>'PMOC BY Adj'!D48*$E48</f>
        <v>0</v>
      </c>
      <c r="H48" s="579">
        <f>'PMOC BY Adj'!E48*$E48</f>
        <v>0</v>
      </c>
      <c r="I48" s="579">
        <f>'PMOC BY Adj'!F48*$E48</f>
        <v>0</v>
      </c>
      <c r="J48" s="589">
        <f t="shared" si="76"/>
        <v>0</v>
      </c>
      <c r="K48" s="589">
        <f t="shared" si="77"/>
        <v>0</v>
      </c>
      <c r="L48" s="568"/>
      <c r="M48" s="588">
        <f t="shared" si="78"/>
        <v>0</v>
      </c>
      <c r="N48" s="579">
        <f>'PMOC BY Adj'!J48*$M48</f>
        <v>0</v>
      </c>
      <c r="O48" s="579">
        <f>'PMOC BY Adj'!K48*$M48</f>
        <v>0</v>
      </c>
      <c r="P48" s="579">
        <f>'PMOC BY Adj'!L48*$M48</f>
        <v>0</v>
      </c>
      <c r="Q48" s="579">
        <f>'PMOC BY Adj'!M48*$M48</f>
        <v>0</v>
      </c>
      <c r="R48" s="589">
        <f t="shared" si="79"/>
        <v>0</v>
      </c>
      <c r="S48" s="589">
        <f t="shared" si="80"/>
        <v>0</v>
      </c>
      <c r="T48" s="568"/>
      <c r="U48" s="588">
        <f t="shared" si="81"/>
        <v>0</v>
      </c>
      <c r="V48" s="579">
        <f>'PMOC BY Adj'!Q48*$U48</f>
        <v>0</v>
      </c>
      <c r="W48" s="579">
        <f>'PMOC BY Adj'!R48*$U48</f>
        <v>0</v>
      </c>
      <c r="X48" s="579">
        <f>'PMOC BY Adj'!S48*$U48</f>
        <v>0</v>
      </c>
      <c r="Y48" s="579">
        <f>'PMOC BY Adj'!T48*$U48</f>
        <v>0</v>
      </c>
      <c r="Z48" s="589">
        <f t="shared" si="82"/>
        <v>0</v>
      </c>
      <c r="AA48" s="589">
        <f t="shared" si="83"/>
        <v>0</v>
      </c>
      <c r="AB48" s="568"/>
      <c r="AC48" s="588">
        <f t="shared" si="84"/>
        <v>0</v>
      </c>
      <c r="AD48" s="579">
        <f>'PMOC BY Adj'!X48*$AC48</f>
        <v>0</v>
      </c>
      <c r="AE48" s="579">
        <f>'PMOC BY Adj'!Y48*$AC48</f>
        <v>0</v>
      </c>
      <c r="AF48" s="579">
        <f>'PMOC BY Adj'!Z48*$AC48</f>
        <v>0</v>
      </c>
      <c r="AG48" s="579">
        <f>'PMOC BY Adj'!AA48*$AC48</f>
        <v>0</v>
      </c>
      <c r="AH48" s="589">
        <f t="shared" si="85"/>
        <v>0</v>
      </c>
      <c r="AI48" s="589">
        <f t="shared" si="86"/>
        <v>0</v>
      </c>
      <c r="AJ48" s="568"/>
      <c r="AK48" s="581">
        <f t="shared" si="87"/>
        <v>0</v>
      </c>
      <c r="AL48" s="541">
        <f t="shared" si="87"/>
        <v>0</v>
      </c>
      <c r="AM48" s="541">
        <f t="shared" si="87"/>
        <v>0</v>
      </c>
      <c r="AN48" s="541">
        <f t="shared" si="87"/>
        <v>0</v>
      </c>
      <c r="AO48" s="548">
        <f t="shared" si="87"/>
        <v>0</v>
      </c>
      <c r="AP48" s="589">
        <f t="shared" si="87"/>
        <v>0</v>
      </c>
    </row>
    <row r="49" spans="1:42" ht="56.1" customHeight="1" thickBot="1">
      <c r="A49" s="1076" t="s">
        <v>171</v>
      </c>
      <c r="B49" s="1077"/>
      <c r="C49" s="1078"/>
      <c r="D49" s="568"/>
      <c r="E49" s="590"/>
      <c r="F49" s="591">
        <f>SUM(F4,F18,F26,F32,F41)</f>
        <v>0</v>
      </c>
      <c r="G49" s="591">
        <f>SUM(G4,G18,G26,G32,G41)</f>
        <v>0</v>
      </c>
      <c r="H49" s="591">
        <f t="shared" ref="H49:I49" si="88">SUM(H4,H18,H26,H32,H41)</f>
        <v>0</v>
      </c>
      <c r="I49" s="591">
        <f t="shared" si="88"/>
        <v>0</v>
      </c>
      <c r="J49" s="592">
        <f>SUM(J4,J18,J26,J32,J41)</f>
        <v>0</v>
      </c>
      <c r="K49" s="592">
        <f>SUM(K4,K18,K26,K32,K41)</f>
        <v>0</v>
      </c>
      <c r="L49" s="568"/>
      <c r="M49" s="590"/>
      <c r="N49" s="591">
        <f>SUM(N4,N18,N26,N32,N41)</f>
        <v>0</v>
      </c>
      <c r="O49" s="591">
        <f>SUM(O4,O18,O26,O32,O41)</f>
        <v>0</v>
      </c>
      <c r="P49" s="591">
        <f t="shared" ref="P49:Q49" si="89">SUM(P4,P18,P26,P32,P41)</f>
        <v>0</v>
      </c>
      <c r="Q49" s="591">
        <f t="shared" si="89"/>
        <v>0</v>
      </c>
      <c r="R49" s="592">
        <f>SUM(R4,R18,R26,R32,R41)</f>
        <v>0</v>
      </c>
      <c r="S49" s="592">
        <f>SUM(S4,S18,S26,S32,S41)</f>
        <v>0</v>
      </c>
      <c r="T49" s="568"/>
      <c r="U49" s="590"/>
      <c r="V49" s="591">
        <f>SUM(V4,V18,V26,V32,V41)</f>
        <v>0</v>
      </c>
      <c r="W49" s="591">
        <f>SUM(W4,W18,W26,W32,W41)</f>
        <v>0</v>
      </c>
      <c r="X49" s="591">
        <f t="shared" ref="X49:Y49" si="90">SUM(X4,X18,X26,X32,X41)</f>
        <v>0</v>
      </c>
      <c r="Y49" s="591">
        <f t="shared" si="90"/>
        <v>0</v>
      </c>
      <c r="Z49" s="592">
        <f>SUM(Z4,Z18,Z26,Z32,Z41)</f>
        <v>0</v>
      </c>
      <c r="AA49" s="592">
        <f>SUM(AA4,AA18,AA26,AA32,AA41)</f>
        <v>0</v>
      </c>
      <c r="AB49" s="568"/>
      <c r="AC49" s="590"/>
      <c r="AD49" s="591">
        <f>SUM(AD4,AD18,AD26,AD32,AD41)</f>
        <v>0</v>
      </c>
      <c r="AE49" s="591">
        <f>SUM(AE4,AE18,AE26,AE32,AE41)</f>
        <v>0</v>
      </c>
      <c r="AF49" s="591">
        <f t="shared" ref="AF49:AG49" si="91">SUM(AF4,AF18,AF26,AF32,AF41)</f>
        <v>0</v>
      </c>
      <c r="AG49" s="591">
        <f t="shared" si="91"/>
        <v>0</v>
      </c>
      <c r="AH49" s="592">
        <f>SUM(AH4,AH18,AH26,AH32,AH41)</f>
        <v>0</v>
      </c>
      <c r="AI49" s="592">
        <f>SUM(AI4,AI18,AI26,AI32,AI41)</f>
        <v>0</v>
      </c>
      <c r="AJ49" s="568"/>
      <c r="AK49" s="590">
        <f>SUM(AK4,AK18,AK26,AK32,AK41)</f>
        <v>0</v>
      </c>
      <c r="AL49" s="591">
        <f>SUM(AL4,AL18,AL26,AL32,AL41)</f>
        <v>0</v>
      </c>
      <c r="AM49" s="591">
        <f t="shared" ref="AM49:AN49" si="92">SUM(AM4,AM18,AM26,AM32,AM41)</f>
        <v>0</v>
      </c>
      <c r="AN49" s="591">
        <f t="shared" si="92"/>
        <v>0</v>
      </c>
      <c r="AO49" s="591">
        <f>SUM(AO4,AO18,AO26,AO32,AO41)</f>
        <v>0</v>
      </c>
      <c r="AP49" s="592">
        <f>SUM(AP4,AP18,AP26,AP32,AP41)</f>
        <v>0</v>
      </c>
    </row>
    <row r="50" spans="1:42" ht="15.75" thickTop="1">
      <c r="A50" s="565" t="s">
        <v>172</v>
      </c>
      <c r="B50" s="586"/>
      <c r="C50" s="593">
        <f>'PMOC Globl Infl Adjst'!D34</f>
        <v>0</v>
      </c>
      <c r="D50" s="568"/>
      <c r="E50" s="582">
        <f>$C50</f>
        <v>0</v>
      </c>
      <c r="F50" s="570">
        <f>SUM(F51:F52)</f>
        <v>0</v>
      </c>
      <c r="G50" s="570">
        <f>SUM(G51:G52)</f>
        <v>0</v>
      </c>
      <c r="H50" s="570">
        <f t="shared" ref="H50:I50" si="93">SUM(H51:H52)</f>
        <v>0</v>
      </c>
      <c r="I50" s="570">
        <f t="shared" si="93"/>
        <v>0</v>
      </c>
      <c r="J50" s="571">
        <f>SUM(J51:J52)</f>
        <v>0</v>
      </c>
      <c r="K50" s="571">
        <f>SUM(K51:K52)</f>
        <v>0</v>
      </c>
      <c r="L50" s="568"/>
      <c r="M50" s="582">
        <f>$C50</f>
        <v>0</v>
      </c>
      <c r="N50" s="570">
        <f>SUM(N51:N52)</f>
        <v>0</v>
      </c>
      <c r="O50" s="570">
        <f>SUM(O51:O52)</f>
        <v>0</v>
      </c>
      <c r="P50" s="570">
        <f t="shared" ref="P50:Q50" si="94">SUM(P51:P52)</f>
        <v>0</v>
      </c>
      <c r="Q50" s="570">
        <f t="shared" si="94"/>
        <v>0</v>
      </c>
      <c r="R50" s="571">
        <f>SUM(R51:R52)</f>
        <v>0</v>
      </c>
      <c r="S50" s="571">
        <f>SUM(S51:S52)</f>
        <v>0</v>
      </c>
      <c r="T50" s="568"/>
      <c r="U50" s="582">
        <f>$C50</f>
        <v>0</v>
      </c>
      <c r="V50" s="570">
        <f>SUM(V51:V52)</f>
        <v>0</v>
      </c>
      <c r="W50" s="570">
        <f>SUM(W51:W52)</f>
        <v>0</v>
      </c>
      <c r="X50" s="570">
        <f t="shared" ref="X50:Y50" si="95">SUM(X51:X52)</f>
        <v>0</v>
      </c>
      <c r="Y50" s="570">
        <f t="shared" si="95"/>
        <v>0</v>
      </c>
      <c r="Z50" s="571">
        <f>SUM(Z51:Z52)</f>
        <v>0</v>
      </c>
      <c r="AA50" s="571">
        <f>SUM(AA51:AA52)</f>
        <v>0</v>
      </c>
      <c r="AB50" s="568"/>
      <c r="AC50" s="582">
        <f>$C50</f>
        <v>0</v>
      </c>
      <c r="AD50" s="570">
        <f>SUM(AD51:AD52)</f>
        <v>0</v>
      </c>
      <c r="AE50" s="570">
        <f>SUM(AE51:AE52)</f>
        <v>0</v>
      </c>
      <c r="AF50" s="570">
        <f t="shared" ref="AF50:AG50" si="96">SUM(AF51:AF52)</f>
        <v>0</v>
      </c>
      <c r="AG50" s="570">
        <f t="shared" si="96"/>
        <v>0</v>
      </c>
      <c r="AH50" s="571">
        <f>SUM(AH51:AH52)</f>
        <v>0</v>
      </c>
      <c r="AI50" s="571">
        <f>SUM(AI51:AI52)</f>
        <v>0</v>
      </c>
      <c r="AJ50" s="568"/>
      <c r="AK50" s="594">
        <f>SUM(AK51:AK52)</f>
        <v>0</v>
      </c>
      <c r="AL50" s="570">
        <f>SUM(AL51:AL52)</f>
        <v>0</v>
      </c>
      <c r="AM50" s="570">
        <f t="shared" ref="AM50:AN50" si="97">SUM(AM51:AM52)</f>
        <v>0</v>
      </c>
      <c r="AN50" s="570">
        <f t="shared" si="97"/>
        <v>0</v>
      </c>
      <c r="AO50" s="570">
        <f>SUM(AO51:AO52)</f>
        <v>0</v>
      </c>
      <c r="AP50" s="571">
        <f>SUM(AP51:AP52)</f>
        <v>0</v>
      </c>
    </row>
    <row r="51" spans="1:42">
      <c r="A51" s="583">
        <v>60.01</v>
      </c>
      <c r="B51" s="584" t="s">
        <v>48</v>
      </c>
      <c r="C51" s="577">
        <f>C$50</f>
        <v>0</v>
      </c>
      <c r="D51" s="568"/>
      <c r="E51" s="577">
        <f>E$50</f>
        <v>0</v>
      </c>
      <c r="F51" s="579">
        <f>'PMOC BY Adj'!C51*$E51</f>
        <v>0</v>
      </c>
      <c r="G51" s="579">
        <f>'PMOC BY Adj'!D51*$E51</f>
        <v>0</v>
      </c>
      <c r="H51" s="579">
        <f>'PMOC BY Adj'!E51*$E51</f>
        <v>0</v>
      </c>
      <c r="I51" s="579">
        <f>'PMOC BY Adj'!F51*$E51</f>
        <v>0</v>
      </c>
      <c r="J51" s="580">
        <f t="shared" ref="J51:J52" si="98">SUM(G51:I51)</f>
        <v>0</v>
      </c>
      <c r="K51" s="580">
        <f t="shared" ref="K51:K52" si="99">SUM(F51,J51)</f>
        <v>0</v>
      </c>
      <c r="L51" s="568"/>
      <c r="M51" s="577">
        <f>M$50</f>
        <v>0</v>
      </c>
      <c r="N51" s="579">
        <f>'PMOC BY Adj'!J51*$M51</f>
        <v>0</v>
      </c>
      <c r="O51" s="579">
        <f>'PMOC BY Adj'!K51*$M51</f>
        <v>0</v>
      </c>
      <c r="P51" s="579">
        <f>'PMOC BY Adj'!L51*$M51</f>
        <v>0</v>
      </c>
      <c r="Q51" s="579">
        <f>'PMOC BY Adj'!M51*$M51</f>
        <v>0</v>
      </c>
      <c r="R51" s="580">
        <f t="shared" ref="R51:R52" si="100">SUM(O51:Q51)</f>
        <v>0</v>
      </c>
      <c r="S51" s="580">
        <f t="shared" ref="S51:S52" si="101">SUM(N51,R51)</f>
        <v>0</v>
      </c>
      <c r="T51" s="568"/>
      <c r="U51" s="577">
        <f>U$50</f>
        <v>0</v>
      </c>
      <c r="V51" s="579">
        <f>'PMOC BY Adj'!Q51*$U51</f>
        <v>0</v>
      </c>
      <c r="W51" s="579">
        <f>'PMOC BY Adj'!R51*$U51</f>
        <v>0</v>
      </c>
      <c r="X51" s="579">
        <f>'PMOC BY Adj'!S51*$U51</f>
        <v>0</v>
      </c>
      <c r="Y51" s="579">
        <f>'PMOC BY Adj'!T51*$U51</f>
        <v>0</v>
      </c>
      <c r="Z51" s="580">
        <f t="shared" ref="Z51:Z52" si="102">SUM(W51:Y51)</f>
        <v>0</v>
      </c>
      <c r="AA51" s="580">
        <f t="shared" ref="AA51:AA52" si="103">SUM(V51,Z51)</f>
        <v>0</v>
      </c>
      <c r="AB51" s="568"/>
      <c r="AC51" s="577">
        <f>AC$50</f>
        <v>0</v>
      </c>
      <c r="AD51" s="579">
        <f>'PMOC BY Adj'!X51*$AC51</f>
        <v>0</v>
      </c>
      <c r="AE51" s="579">
        <f>'PMOC BY Adj'!Y51*$AC51</f>
        <v>0</v>
      </c>
      <c r="AF51" s="579">
        <f>'PMOC BY Adj'!Z51*$AC51</f>
        <v>0</v>
      </c>
      <c r="AG51" s="579">
        <f>'PMOC BY Adj'!AA51*$AC51</f>
        <v>0</v>
      </c>
      <c r="AH51" s="580">
        <f t="shared" ref="AH51:AH52" si="104">SUM(AE51:AG51)</f>
        <v>0</v>
      </c>
      <c r="AI51" s="580">
        <f t="shared" ref="AI51:AI52" si="105">SUM(AD51,AH51)</f>
        <v>0</v>
      </c>
      <c r="AJ51" s="568"/>
      <c r="AK51" s="581">
        <f t="shared" ref="AK51:AP52" si="106">SUM(F51,N51,V51,AD51)</f>
        <v>0</v>
      </c>
      <c r="AL51" s="541">
        <f t="shared" si="106"/>
        <v>0</v>
      </c>
      <c r="AM51" s="541">
        <f t="shared" si="106"/>
        <v>0</v>
      </c>
      <c r="AN51" s="541">
        <f t="shared" si="106"/>
        <v>0</v>
      </c>
      <c r="AO51" s="541">
        <f t="shared" si="106"/>
        <v>0</v>
      </c>
      <c r="AP51" s="580">
        <f t="shared" si="106"/>
        <v>0</v>
      </c>
    </row>
    <row r="52" spans="1:42">
      <c r="A52" s="583">
        <v>60.02</v>
      </c>
      <c r="B52" s="584" t="s">
        <v>49</v>
      </c>
      <c r="C52" s="577">
        <f>C$50</f>
        <v>0</v>
      </c>
      <c r="D52" s="568"/>
      <c r="E52" s="577">
        <f>E$50</f>
        <v>0</v>
      </c>
      <c r="F52" s="579">
        <f>'PMOC BY Adj'!C52*$E52</f>
        <v>0</v>
      </c>
      <c r="G52" s="579">
        <f>'PMOC BY Adj'!D52*$E52</f>
        <v>0</v>
      </c>
      <c r="H52" s="579">
        <f>'PMOC BY Adj'!E52*$E52</f>
        <v>0</v>
      </c>
      <c r="I52" s="579">
        <f>'PMOC BY Adj'!F52*$E52</f>
        <v>0</v>
      </c>
      <c r="J52" s="580">
        <f t="shared" si="98"/>
        <v>0</v>
      </c>
      <c r="K52" s="580">
        <f t="shared" si="99"/>
        <v>0</v>
      </c>
      <c r="L52" s="568"/>
      <c r="M52" s="577">
        <f>M$50</f>
        <v>0</v>
      </c>
      <c r="N52" s="579">
        <f>'PMOC BY Adj'!J52*$M52</f>
        <v>0</v>
      </c>
      <c r="O52" s="579">
        <f>'PMOC BY Adj'!K52*$M52</f>
        <v>0</v>
      </c>
      <c r="P52" s="579">
        <f>'PMOC BY Adj'!L52*$M52</f>
        <v>0</v>
      </c>
      <c r="Q52" s="579">
        <f>'PMOC BY Adj'!M52*$M52</f>
        <v>0</v>
      </c>
      <c r="R52" s="580">
        <f t="shared" si="100"/>
        <v>0</v>
      </c>
      <c r="S52" s="580">
        <f t="shared" si="101"/>
        <v>0</v>
      </c>
      <c r="T52" s="568"/>
      <c r="U52" s="577">
        <f>U$50</f>
        <v>0</v>
      </c>
      <c r="V52" s="579">
        <f>'PMOC BY Adj'!Q52*$U52</f>
        <v>0</v>
      </c>
      <c r="W52" s="579">
        <f>'PMOC BY Adj'!R52*$U52</f>
        <v>0</v>
      </c>
      <c r="X52" s="579">
        <f>'PMOC BY Adj'!S52*$U52</f>
        <v>0</v>
      </c>
      <c r="Y52" s="579">
        <f>'PMOC BY Adj'!T52*$U52</f>
        <v>0</v>
      </c>
      <c r="Z52" s="580">
        <f t="shared" si="102"/>
        <v>0</v>
      </c>
      <c r="AA52" s="580">
        <f t="shared" si="103"/>
        <v>0</v>
      </c>
      <c r="AB52" s="568"/>
      <c r="AC52" s="577">
        <f>AC$50</f>
        <v>0</v>
      </c>
      <c r="AD52" s="579">
        <f>'PMOC BY Adj'!X52*$AC52</f>
        <v>0</v>
      </c>
      <c r="AE52" s="579">
        <f>'PMOC BY Adj'!Y52*$AC52</f>
        <v>0</v>
      </c>
      <c r="AF52" s="579">
        <f>'PMOC BY Adj'!Z52*$AC52</f>
        <v>0</v>
      </c>
      <c r="AG52" s="579">
        <f>'PMOC BY Adj'!AA52*$AC52</f>
        <v>0</v>
      </c>
      <c r="AH52" s="580">
        <f t="shared" si="104"/>
        <v>0</v>
      </c>
      <c r="AI52" s="580">
        <f t="shared" si="105"/>
        <v>0</v>
      </c>
      <c r="AJ52" s="568"/>
      <c r="AK52" s="581">
        <f t="shared" si="106"/>
        <v>0</v>
      </c>
      <c r="AL52" s="541">
        <f t="shared" si="106"/>
        <v>0</v>
      </c>
      <c r="AM52" s="541">
        <f t="shared" si="106"/>
        <v>0</v>
      </c>
      <c r="AN52" s="541">
        <f t="shared" si="106"/>
        <v>0</v>
      </c>
      <c r="AO52" s="541">
        <f t="shared" si="106"/>
        <v>0</v>
      </c>
      <c r="AP52" s="580">
        <f t="shared" si="106"/>
        <v>0</v>
      </c>
    </row>
    <row r="53" spans="1:42" ht="15">
      <c r="A53" s="595" t="s">
        <v>173</v>
      </c>
      <c r="B53" s="566"/>
      <c r="C53" s="567">
        <f>'PMOC Globl Infl Adjst'!D35</f>
        <v>0</v>
      </c>
      <c r="D53" s="568"/>
      <c r="E53" s="582">
        <f>$C53</f>
        <v>0</v>
      </c>
      <c r="F53" s="572">
        <f>SUM(F54:F60)</f>
        <v>0</v>
      </c>
      <c r="G53" s="572">
        <f>SUM(G54:G60)</f>
        <v>0</v>
      </c>
      <c r="H53" s="572">
        <f t="shared" ref="H53:I53" si="107">SUM(H54:H60)</f>
        <v>0</v>
      </c>
      <c r="I53" s="572">
        <f t="shared" si="107"/>
        <v>0</v>
      </c>
      <c r="J53" s="573">
        <f>SUM(J54:J60)</f>
        <v>0</v>
      </c>
      <c r="K53" s="573">
        <f>SUM(K54:K60)</f>
        <v>0</v>
      </c>
      <c r="L53" s="568"/>
      <c r="M53" s="582">
        <f>$C53</f>
        <v>0</v>
      </c>
      <c r="N53" s="572">
        <f>SUM(N54:N60)</f>
        <v>0</v>
      </c>
      <c r="O53" s="572">
        <f>SUM(O54:O60)</f>
        <v>0</v>
      </c>
      <c r="P53" s="572">
        <f t="shared" ref="P53:Q53" si="108">SUM(P54:P60)</f>
        <v>0</v>
      </c>
      <c r="Q53" s="572">
        <f t="shared" si="108"/>
        <v>0</v>
      </c>
      <c r="R53" s="573">
        <f>SUM(R54:R60)</f>
        <v>0</v>
      </c>
      <c r="S53" s="573">
        <f>SUM(S54:S60)</f>
        <v>0</v>
      </c>
      <c r="T53" s="568"/>
      <c r="U53" s="582">
        <f>$C53</f>
        <v>0</v>
      </c>
      <c r="V53" s="572">
        <f>SUM(V54:V60)</f>
        <v>0</v>
      </c>
      <c r="W53" s="572">
        <f>SUM(W54:W60)</f>
        <v>0</v>
      </c>
      <c r="X53" s="572">
        <f t="shared" ref="X53:Y53" si="109">SUM(X54:X60)</f>
        <v>0</v>
      </c>
      <c r="Y53" s="572">
        <f t="shared" si="109"/>
        <v>0</v>
      </c>
      <c r="Z53" s="573">
        <f>SUM(Z54:Z60)</f>
        <v>0</v>
      </c>
      <c r="AA53" s="573">
        <f>SUM(AA54:AA60)</f>
        <v>0</v>
      </c>
      <c r="AB53" s="568"/>
      <c r="AC53" s="582">
        <f>$C53</f>
        <v>0</v>
      </c>
      <c r="AD53" s="572">
        <f>SUM(AD54:AD60)</f>
        <v>0</v>
      </c>
      <c r="AE53" s="572">
        <f>SUM(AE54:AE60)</f>
        <v>0</v>
      </c>
      <c r="AF53" s="572">
        <f t="shared" ref="AF53:AG53" si="110">SUM(AF54:AF60)</f>
        <v>0</v>
      </c>
      <c r="AG53" s="572">
        <f t="shared" si="110"/>
        <v>0</v>
      </c>
      <c r="AH53" s="573">
        <f>SUM(AH54:AH60)</f>
        <v>0</v>
      </c>
      <c r="AI53" s="573">
        <f>SUM(AI54:AI60)</f>
        <v>0</v>
      </c>
      <c r="AJ53" s="568"/>
      <c r="AK53" s="574">
        <f>SUM(AK54:AK60)</f>
        <v>0</v>
      </c>
      <c r="AL53" s="572">
        <f>SUM(AL54:AL60)</f>
        <v>0</v>
      </c>
      <c r="AM53" s="572">
        <f t="shared" ref="AM53:AN53" si="111">SUM(AM54:AM60)</f>
        <v>0</v>
      </c>
      <c r="AN53" s="572">
        <f t="shared" si="111"/>
        <v>0</v>
      </c>
      <c r="AO53" s="572">
        <f>SUM(AO54:AO60)</f>
        <v>0</v>
      </c>
      <c r="AP53" s="573">
        <f>SUM(AP54:AP60)</f>
        <v>0</v>
      </c>
    </row>
    <row r="54" spans="1:42">
      <c r="A54" s="583">
        <v>70.010000000000005</v>
      </c>
      <c r="B54" s="584" t="s">
        <v>50</v>
      </c>
      <c r="C54" s="577">
        <f t="shared" ref="C54:E60" si="112">C$53</f>
        <v>0</v>
      </c>
      <c r="D54" s="568"/>
      <c r="E54" s="577">
        <f t="shared" si="112"/>
        <v>0</v>
      </c>
      <c r="F54" s="579">
        <f>'PMOC BY Adj'!C54*$E54</f>
        <v>0</v>
      </c>
      <c r="G54" s="579">
        <f>'PMOC BY Adj'!D54*$E54</f>
        <v>0</v>
      </c>
      <c r="H54" s="579">
        <f>'PMOC BY Adj'!E54*$E54</f>
        <v>0</v>
      </c>
      <c r="I54" s="579">
        <f>'PMOC BY Adj'!F54*$E54</f>
        <v>0</v>
      </c>
      <c r="J54" s="580">
        <f t="shared" ref="J54:J60" si="113">SUM(G54:I54)</f>
        <v>0</v>
      </c>
      <c r="K54" s="580">
        <f t="shared" ref="K54:K60" si="114">SUM(F54,J54)</f>
        <v>0</v>
      </c>
      <c r="L54" s="568"/>
      <c r="M54" s="577">
        <f t="shared" ref="M54:M60" si="115">M$53</f>
        <v>0</v>
      </c>
      <c r="N54" s="579">
        <f>'PMOC BY Adj'!J54*$M54</f>
        <v>0</v>
      </c>
      <c r="O54" s="579">
        <f>'PMOC BY Adj'!K54*$M54</f>
        <v>0</v>
      </c>
      <c r="P54" s="579">
        <f>'PMOC BY Adj'!L54*$M54</f>
        <v>0</v>
      </c>
      <c r="Q54" s="579">
        <f>'PMOC BY Adj'!M54*$M54</f>
        <v>0</v>
      </c>
      <c r="R54" s="580">
        <f t="shared" ref="R54:R60" si="116">SUM(O54:Q54)</f>
        <v>0</v>
      </c>
      <c r="S54" s="580">
        <f t="shared" ref="S54:S60" si="117">SUM(N54,R54)</f>
        <v>0</v>
      </c>
      <c r="T54" s="568"/>
      <c r="U54" s="577">
        <f t="shared" ref="U54:U60" si="118">U$53</f>
        <v>0</v>
      </c>
      <c r="V54" s="579">
        <f>'PMOC BY Adj'!Q54*$U54</f>
        <v>0</v>
      </c>
      <c r="W54" s="579">
        <f>'PMOC BY Adj'!R54*$U54</f>
        <v>0</v>
      </c>
      <c r="X54" s="579">
        <f>'PMOC BY Adj'!S54*$U54</f>
        <v>0</v>
      </c>
      <c r="Y54" s="579">
        <f>'PMOC BY Adj'!T54*$U54</f>
        <v>0</v>
      </c>
      <c r="Z54" s="580">
        <f t="shared" ref="Z54:Z60" si="119">SUM(W54:Y54)</f>
        <v>0</v>
      </c>
      <c r="AA54" s="580">
        <f t="shared" ref="AA54:AA60" si="120">SUM(V54,Z54)</f>
        <v>0</v>
      </c>
      <c r="AB54" s="568"/>
      <c r="AC54" s="577">
        <f t="shared" ref="AC54:AC60" si="121">AC$53</f>
        <v>0</v>
      </c>
      <c r="AD54" s="579">
        <f>'PMOC BY Adj'!X54*$AC54</f>
        <v>0</v>
      </c>
      <c r="AE54" s="579">
        <f>'PMOC BY Adj'!Y54*$AC54</f>
        <v>0</v>
      </c>
      <c r="AF54" s="579">
        <f>'PMOC BY Adj'!Z54*$AC54</f>
        <v>0</v>
      </c>
      <c r="AG54" s="579">
        <f>'PMOC BY Adj'!AA54*$AC54</f>
        <v>0</v>
      </c>
      <c r="AH54" s="580">
        <f t="shared" ref="AH54:AH60" si="122">SUM(AE54:AG54)</f>
        <v>0</v>
      </c>
      <c r="AI54" s="580">
        <f t="shared" ref="AI54:AI60" si="123">SUM(AD54,AH54)</f>
        <v>0</v>
      </c>
      <c r="AJ54" s="568"/>
      <c r="AK54" s="581">
        <f t="shared" ref="AK54:AP60" si="124">SUM(F54,N54,V54,AD54)</f>
        <v>0</v>
      </c>
      <c r="AL54" s="541">
        <f t="shared" si="124"/>
        <v>0</v>
      </c>
      <c r="AM54" s="541">
        <f t="shared" si="124"/>
        <v>0</v>
      </c>
      <c r="AN54" s="541">
        <f t="shared" si="124"/>
        <v>0</v>
      </c>
      <c r="AO54" s="541">
        <f t="shared" si="124"/>
        <v>0</v>
      </c>
      <c r="AP54" s="580">
        <f t="shared" si="124"/>
        <v>0</v>
      </c>
    </row>
    <row r="55" spans="1:42">
      <c r="A55" s="583">
        <v>70.02</v>
      </c>
      <c r="B55" s="584" t="s">
        <v>51</v>
      </c>
      <c r="C55" s="577">
        <f t="shared" si="112"/>
        <v>0</v>
      </c>
      <c r="D55" s="568"/>
      <c r="E55" s="577">
        <f t="shared" si="112"/>
        <v>0</v>
      </c>
      <c r="F55" s="579">
        <f>'PMOC BY Adj'!C55*$E55</f>
        <v>0</v>
      </c>
      <c r="G55" s="579">
        <f>'PMOC BY Adj'!D55*$E55</f>
        <v>0</v>
      </c>
      <c r="H55" s="579">
        <f>'PMOC BY Adj'!E55*$E55</f>
        <v>0</v>
      </c>
      <c r="I55" s="579">
        <f>'PMOC BY Adj'!F55*$E55</f>
        <v>0</v>
      </c>
      <c r="J55" s="580">
        <f t="shared" si="113"/>
        <v>0</v>
      </c>
      <c r="K55" s="580">
        <f t="shared" si="114"/>
        <v>0</v>
      </c>
      <c r="L55" s="568"/>
      <c r="M55" s="577">
        <f t="shared" si="115"/>
        <v>0</v>
      </c>
      <c r="N55" s="579">
        <f>'PMOC BY Adj'!J55*$M55</f>
        <v>0</v>
      </c>
      <c r="O55" s="579">
        <f>'PMOC BY Adj'!K55*$M55</f>
        <v>0</v>
      </c>
      <c r="P55" s="579">
        <f>'PMOC BY Adj'!L55*$M55</f>
        <v>0</v>
      </c>
      <c r="Q55" s="579">
        <f>'PMOC BY Adj'!M55*$M55</f>
        <v>0</v>
      </c>
      <c r="R55" s="580">
        <f t="shared" si="116"/>
        <v>0</v>
      </c>
      <c r="S55" s="580">
        <f t="shared" si="117"/>
        <v>0</v>
      </c>
      <c r="T55" s="568"/>
      <c r="U55" s="577">
        <f t="shared" si="118"/>
        <v>0</v>
      </c>
      <c r="V55" s="579">
        <f>'PMOC BY Adj'!Q55*$U55</f>
        <v>0</v>
      </c>
      <c r="W55" s="579">
        <f>'PMOC BY Adj'!R55*$U55</f>
        <v>0</v>
      </c>
      <c r="X55" s="579">
        <f>'PMOC BY Adj'!S55*$U55</f>
        <v>0</v>
      </c>
      <c r="Y55" s="579">
        <f>'PMOC BY Adj'!T55*$U55</f>
        <v>0</v>
      </c>
      <c r="Z55" s="580">
        <f t="shared" si="119"/>
        <v>0</v>
      </c>
      <c r="AA55" s="580">
        <f t="shared" si="120"/>
        <v>0</v>
      </c>
      <c r="AB55" s="568"/>
      <c r="AC55" s="577">
        <f t="shared" si="121"/>
        <v>0</v>
      </c>
      <c r="AD55" s="579">
        <f>'PMOC BY Adj'!X55*$AC55</f>
        <v>0</v>
      </c>
      <c r="AE55" s="579">
        <f>'PMOC BY Adj'!Y55*$AC55</f>
        <v>0</v>
      </c>
      <c r="AF55" s="579">
        <f>'PMOC BY Adj'!Z55*$AC55</f>
        <v>0</v>
      </c>
      <c r="AG55" s="579">
        <f>'PMOC BY Adj'!AA55*$AC55</f>
        <v>0</v>
      </c>
      <c r="AH55" s="580">
        <f t="shared" si="122"/>
        <v>0</v>
      </c>
      <c r="AI55" s="580">
        <f t="shared" si="123"/>
        <v>0</v>
      </c>
      <c r="AJ55" s="568"/>
      <c r="AK55" s="581">
        <f t="shared" si="124"/>
        <v>0</v>
      </c>
      <c r="AL55" s="541">
        <f t="shared" si="124"/>
        <v>0</v>
      </c>
      <c r="AM55" s="541">
        <f t="shared" si="124"/>
        <v>0</v>
      </c>
      <c r="AN55" s="541">
        <f t="shared" si="124"/>
        <v>0</v>
      </c>
      <c r="AO55" s="541">
        <f t="shared" si="124"/>
        <v>0</v>
      </c>
      <c r="AP55" s="580">
        <f t="shared" si="124"/>
        <v>0</v>
      </c>
    </row>
    <row r="56" spans="1:42">
      <c r="A56" s="583">
        <v>70.03</v>
      </c>
      <c r="B56" s="584" t="s">
        <v>52</v>
      </c>
      <c r="C56" s="577">
        <f t="shared" si="112"/>
        <v>0</v>
      </c>
      <c r="D56" s="568"/>
      <c r="E56" s="577">
        <f t="shared" si="112"/>
        <v>0</v>
      </c>
      <c r="F56" s="579">
        <f>'PMOC BY Adj'!C56*$E56</f>
        <v>0</v>
      </c>
      <c r="G56" s="579">
        <f>'PMOC BY Adj'!D56*$E56</f>
        <v>0</v>
      </c>
      <c r="H56" s="579">
        <f>'PMOC BY Adj'!E56*$E56</f>
        <v>0</v>
      </c>
      <c r="I56" s="579">
        <f>'PMOC BY Adj'!F56*$E56</f>
        <v>0</v>
      </c>
      <c r="J56" s="580">
        <f t="shared" si="113"/>
        <v>0</v>
      </c>
      <c r="K56" s="580">
        <f t="shared" si="114"/>
        <v>0</v>
      </c>
      <c r="L56" s="568"/>
      <c r="M56" s="577">
        <f t="shared" si="115"/>
        <v>0</v>
      </c>
      <c r="N56" s="579">
        <f>'PMOC BY Adj'!J56*$M56</f>
        <v>0</v>
      </c>
      <c r="O56" s="579">
        <f>'PMOC BY Adj'!K56*$M56</f>
        <v>0</v>
      </c>
      <c r="P56" s="579">
        <f>'PMOC BY Adj'!L56*$M56</f>
        <v>0</v>
      </c>
      <c r="Q56" s="579">
        <f>'PMOC BY Adj'!M56*$M56</f>
        <v>0</v>
      </c>
      <c r="R56" s="580">
        <f t="shared" si="116"/>
        <v>0</v>
      </c>
      <c r="S56" s="580">
        <f t="shared" si="117"/>
        <v>0</v>
      </c>
      <c r="T56" s="568"/>
      <c r="U56" s="577">
        <f t="shared" si="118"/>
        <v>0</v>
      </c>
      <c r="V56" s="579">
        <f>'PMOC BY Adj'!Q56*$U56</f>
        <v>0</v>
      </c>
      <c r="W56" s="579">
        <f>'PMOC BY Adj'!R56*$U56</f>
        <v>0</v>
      </c>
      <c r="X56" s="579">
        <f>'PMOC BY Adj'!S56*$U56</f>
        <v>0</v>
      </c>
      <c r="Y56" s="579">
        <f>'PMOC BY Adj'!T56*$U56</f>
        <v>0</v>
      </c>
      <c r="Z56" s="580">
        <f t="shared" si="119"/>
        <v>0</v>
      </c>
      <c r="AA56" s="580">
        <f t="shared" si="120"/>
        <v>0</v>
      </c>
      <c r="AB56" s="568"/>
      <c r="AC56" s="577">
        <f t="shared" si="121"/>
        <v>0</v>
      </c>
      <c r="AD56" s="579">
        <f>'PMOC BY Adj'!X56*$AC56</f>
        <v>0</v>
      </c>
      <c r="AE56" s="579">
        <f>'PMOC BY Adj'!Y56*$AC56</f>
        <v>0</v>
      </c>
      <c r="AF56" s="579">
        <f>'PMOC BY Adj'!Z56*$AC56</f>
        <v>0</v>
      </c>
      <c r="AG56" s="579">
        <f>'PMOC BY Adj'!AA56*$AC56</f>
        <v>0</v>
      </c>
      <c r="AH56" s="580">
        <f t="shared" si="122"/>
        <v>0</v>
      </c>
      <c r="AI56" s="580">
        <f t="shared" si="123"/>
        <v>0</v>
      </c>
      <c r="AJ56" s="568"/>
      <c r="AK56" s="581">
        <f t="shared" si="124"/>
        <v>0</v>
      </c>
      <c r="AL56" s="541">
        <f t="shared" si="124"/>
        <v>0</v>
      </c>
      <c r="AM56" s="541">
        <f t="shared" si="124"/>
        <v>0</v>
      </c>
      <c r="AN56" s="541">
        <f t="shared" si="124"/>
        <v>0</v>
      </c>
      <c r="AO56" s="541">
        <f t="shared" si="124"/>
        <v>0</v>
      </c>
      <c r="AP56" s="580">
        <f t="shared" si="124"/>
        <v>0</v>
      </c>
    </row>
    <row r="57" spans="1:42">
      <c r="A57" s="583">
        <v>70.040000000000006</v>
      </c>
      <c r="B57" s="584" t="s">
        <v>53</v>
      </c>
      <c r="C57" s="577">
        <f t="shared" si="112"/>
        <v>0</v>
      </c>
      <c r="D57" s="568"/>
      <c r="E57" s="577">
        <f t="shared" si="112"/>
        <v>0</v>
      </c>
      <c r="F57" s="579">
        <f>'PMOC BY Adj'!C57*$E57</f>
        <v>0</v>
      </c>
      <c r="G57" s="579">
        <f>'PMOC BY Adj'!D57*$E57</f>
        <v>0</v>
      </c>
      <c r="H57" s="579">
        <f>'PMOC BY Adj'!E57*$E57</f>
        <v>0</v>
      </c>
      <c r="I57" s="579">
        <f>'PMOC BY Adj'!F57*$E57</f>
        <v>0</v>
      </c>
      <c r="J57" s="580">
        <f t="shared" si="113"/>
        <v>0</v>
      </c>
      <c r="K57" s="580">
        <f t="shared" si="114"/>
        <v>0</v>
      </c>
      <c r="L57" s="568"/>
      <c r="M57" s="577">
        <f t="shared" si="115"/>
        <v>0</v>
      </c>
      <c r="N57" s="579">
        <f>'PMOC BY Adj'!J57*$M57</f>
        <v>0</v>
      </c>
      <c r="O57" s="579">
        <f>'PMOC BY Adj'!K57*$M57</f>
        <v>0</v>
      </c>
      <c r="P57" s="579">
        <f>'PMOC BY Adj'!L57*$M57</f>
        <v>0</v>
      </c>
      <c r="Q57" s="579">
        <f>'PMOC BY Adj'!M57*$M57</f>
        <v>0</v>
      </c>
      <c r="R57" s="580">
        <f t="shared" si="116"/>
        <v>0</v>
      </c>
      <c r="S57" s="580">
        <f t="shared" si="117"/>
        <v>0</v>
      </c>
      <c r="T57" s="568"/>
      <c r="U57" s="577">
        <f t="shared" si="118"/>
        <v>0</v>
      </c>
      <c r="V57" s="579">
        <f>'PMOC BY Adj'!Q57*$U57</f>
        <v>0</v>
      </c>
      <c r="W57" s="579">
        <f>'PMOC BY Adj'!R57*$U57</f>
        <v>0</v>
      </c>
      <c r="X57" s="579">
        <f>'PMOC BY Adj'!S57*$U57</f>
        <v>0</v>
      </c>
      <c r="Y57" s="579">
        <f>'PMOC BY Adj'!T57*$U57</f>
        <v>0</v>
      </c>
      <c r="Z57" s="580">
        <f t="shared" si="119"/>
        <v>0</v>
      </c>
      <c r="AA57" s="580">
        <f t="shared" si="120"/>
        <v>0</v>
      </c>
      <c r="AB57" s="568"/>
      <c r="AC57" s="577">
        <f t="shared" si="121"/>
        <v>0</v>
      </c>
      <c r="AD57" s="579">
        <f>'PMOC BY Adj'!X57*$AC57</f>
        <v>0</v>
      </c>
      <c r="AE57" s="579">
        <f>'PMOC BY Adj'!Y57*$AC57</f>
        <v>0</v>
      </c>
      <c r="AF57" s="579">
        <f>'PMOC BY Adj'!Z57*$AC57</f>
        <v>0</v>
      </c>
      <c r="AG57" s="579">
        <f>'PMOC BY Adj'!AA57*$AC57</f>
        <v>0</v>
      </c>
      <c r="AH57" s="580">
        <f t="shared" si="122"/>
        <v>0</v>
      </c>
      <c r="AI57" s="580">
        <f t="shared" si="123"/>
        <v>0</v>
      </c>
      <c r="AJ57" s="568"/>
      <c r="AK57" s="581">
        <f t="shared" si="124"/>
        <v>0</v>
      </c>
      <c r="AL57" s="541">
        <f t="shared" si="124"/>
        <v>0</v>
      </c>
      <c r="AM57" s="541">
        <f t="shared" si="124"/>
        <v>0</v>
      </c>
      <c r="AN57" s="541">
        <f t="shared" si="124"/>
        <v>0</v>
      </c>
      <c r="AO57" s="541">
        <f t="shared" si="124"/>
        <v>0</v>
      </c>
      <c r="AP57" s="580">
        <f t="shared" si="124"/>
        <v>0</v>
      </c>
    </row>
    <row r="58" spans="1:42">
      <c r="A58" s="583">
        <v>70.05</v>
      </c>
      <c r="B58" s="584" t="s">
        <v>54</v>
      </c>
      <c r="C58" s="577">
        <f t="shared" si="112"/>
        <v>0</v>
      </c>
      <c r="D58" s="568"/>
      <c r="E58" s="577">
        <f t="shared" si="112"/>
        <v>0</v>
      </c>
      <c r="F58" s="579">
        <f>'PMOC BY Adj'!C58*$E58</f>
        <v>0</v>
      </c>
      <c r="G58" s="579">
        <f>'PMOC BY Adj'!D58*$E58</f>
        <v>0</v>
      </c>
      <c r="H58" s="579">
        <f>'PMOC BY Adj'!E58*$E58</f>
        <v>0</v>
      </c>
      <c r="I58" s="579">
        <f>'PMOC BY Adj'!F58*$E58</f>
        <v>0</v>
      </c>
      <c r="J58" s="580">
        <f t="shared" si="113"/>
        <v>0</v>
      </c>
      <c r="K58" s="580">
        <f t="shared" si="114"/>
        <v>0</v>
      </c>
      <c r="L58" s="568"/>
      <c r="M58" s="577">
        <f t="shared" si="115"/>
        <v>0</v>
      </c>
      <c r="N58" s="579">
        <f>'PMOC BY Adj'!J58*$M58</f>
        <v>0</v>
      </c>
      <c r="O58" s="579">
        <f>'PMOC BY Adj'!K58*$M58</f>
        <v>0</v>
      </c>
      <c r="P58" s="579">
        <f>'PMOC BY Adj'!L58*$M58</f>
        <v>0</v>
      </c>
      <c r="Q58" s="579">
        <f>'PMOC BY Adj'!M58*$M58</f>
        <v>0</v>
      </c>
      <c r="R58" s="580">
        <f t="shared" si="116"/>
        <v>0</v>
      </c>
      <c r="S58" s="580">
        <f t="shared" si="117"/>
        <v>0</v>
      </c>
      <c r="T58" s="568"/>
      <c r="U58" s="577">
        <f t="shared" si="118"/>
        <v>0</v>
      </c>
      <c r="V58" s="579">
        <f>'PMOC BY Adj'!Q58*$U58</f>
        <v>0</v>
      </c>
      <c r="W58" s="579">
        <f>'PMOC BY Adj'!R58*$U58</f>
        <v>0</v>
      </c>
      <c r="X58" s="579">
        <f>'PMOC BY Adj'!S58*$U58</f>
        <v>0</v>
      </c>
      <c r="Y58" s="579">
        <f>'PMOC BY Adj'!T58*$U58</f>
        <v>0</v>
      </c>
      <c r="Z58" s="580">
        <f t="shared" si="119"/>
        <v>0</v>
      </c>
      <c r="AA58" s="580">
        <f t="shared" si="120"/>
        <v>0</v>
      </c>
      <c r="AB58" s="568"/>
      <c r="AC58" s="577">
        <f t="shared" si="121"/>
        <v>0</v>
      </c>
      <c r="AD58" s="579">
        <f>'PMOC BY Adj'!X58*$AC58</f>
        <v>0</v>
      </c>
      <c r="AE58" s="579">
        <f>'PMOC BY Adj'!Y58*$AC58</f>
        <v>0</v>
      </c>
      <c r="AF58" s="579">
        <f>'PMOC BY Adj'!Z58*$AC58</f>
        <v>0</v>
      </c>
      <c r="AG58" s="579">
        <f>'PMOC BY Adj'!AA58*$AC58</f>
        <v>0</v>
      </c>
      <c r="AH58" s="580">
        <f t="shared" si="122"/>
        <v>0</v>
      </c>
      <c r="AI58" s="580">
        <f t="shared" si="123"/>
        <v>0</v>
      </c>
      <c r="AJ58" s="568"/>
      <c r="AK58" s="581">
        <f t="shared" si="124"/>
        <v>0</v>
      </c>
      <c r="AL58" s="541">
        <f t="shared" si="124"/>
        <v>0</v>
      </c>
      <c r="AM58" s="541">
        <f t="shared" si="124"/>
        <v>0</v>
      </c>
      <c r="AN58" s="541">
        <f t="shared" si="124"/>
        <v>0</v>
      </c>
      <c r="AO58" s="541">
        <f t="shared" si="124"/>
        <v>0</v>
      </c>
      <c r="AP58" s="580">
        <f t="shared" si="124"/>
        <v>0</v>
      </c>
    </row>
    <row r="59" spans="1:42">
      <c r="A59" s="583">
        <v>70.06</v>
      </c>
      <c r="B59" s="584" t="s">
        <v>55</v>
      </c>
      <c r="C59" s="577">
        <f t="shared" si="112"/>
        <v>0</v>
      </c>
      <c r="D59" s="568"/>
      <c r="E59" s="577">
        <f t="shared" si="112"/>
        <v>0</v>
      </c>
      <c r="F59" s="579">
        <f>'PMOC BY Adj'!C59*$E59</f>
        <v>0</v>
      </c>
      <c r="G59" s="579">
        <f>'PMOC BY Adj'!D59*$E59</f>
        <v>0</v>
      </c>
      <c r="H59" s="579">
        <f>'PMOC BY Adj'!E59*$E59</f>
        <v>0</v>
      </c>
      <c r="I59" s="579">
        <f>'PMOC BY Adj'!F59*$E59</f>
        <v>0</v>
      </c>
      <c r="J59" s="580">
        <f t="shared" si="113"/>
        <v>0</v>
      </c>
      <c r="K59" s="580">
        <f t="shared" si="114"/>
        <v>0</v>
      </c>
      <c r="L59" s="568"/>
      <c r="M59" s="577">
        <f t="shared" si="115"/>
        <v>0</v>
      </c>
      <c r="N59" s="579">
        <f>'PMOC BY Adj'!J59*$M59</f>
        <v>0</v>
      </c>
      <c r="O59" s="579">
        <f>'PMOC BY Adj'!K59*$M59</f>
        <v>0</v>
      </c>
      <c r="P59" s="579">
        <f>'PMOC BY Adj'!L59*$M59</f>
        <v>0</v>
      </c>
      <c r="Q59" s="579">
        <f>'PMOC BY Adj'!M59*$M59</f>
        <v>0</v>
      </c>
      <c r="R59" s="580">
        <f t="shared" si="116"/>
        <v>0</v>
      </c>
      <c r="S59" s="580">
        <f t="shared" si="117"/>
        <v>0</v>
      </c>
      <c r="T59" s="568"/>
      <c r="U59" s="577">
        <f t="shared" si="118"/>
        <v>0</v>
      </c>
      <c r="V59" s="579">
        <f>'PMOC BY Adj'!Q59*$U59</f>
        <v>0</v>
      </c>
      <c r="W59" s="579">
        <f>'PMOC BY Adj'!R59*$U59</f>
        <v>0</v>
      </c>
      <c r="X59" s="579">
        <f>'PMOC BY Adj'!S59*$U59</f>
        <v>0</v>
      </c>
      <c r="Y59" s="579">
        <f>'PMOC BY Adj'!T59*$U59</f>
        <v>0</v>
      </c>
      <c r="Z59" s="580">
        <f t="shared" si="119"/>
        <v>0</v>
      </c>
      <c r="AA59" s="580">
        <f t="shared" si="120"/>
        <v>0</v>
      </c>
      <c r="AB59" s="568"/>
      <c r="AC59" s="577">
        <f t="shared" si="121"/>
        <v>0</v>
      </c>
      <c r="AD59" s="579">
        <f>'PMOC BY Adj'!X59*$AC59</f>
        <v>0</v>
      </c>
      <c r="AE59" s="579">
        <f>'PMOC BY Adj'!Y59*$AC59</f>
        <v>0</v>
      </c>
      <c r="AF59" s="579">
        <f>'PMOC BY Adj'!Z59*$AC59</f>
        <v>0</v>
      </c>
      <c r="AG59" s="579">
        <f>'PMOC BY Adj'!AA59*$AC59</f>
        <v>0</v>
      </c>
      <c r="AH59" s="580">
        <f t="shared" si="122"/>
        <v>0</v>
      </c>
      <c r="AI59" s="580">
        <f t="shared" si="123"/>
        <v>0</v>
      </c>
      <c r="AJ59" s="568"/>
      <c r="AK59" s="581">
        <f t="shared" si="124"/>
        <v>0</v>
      </c>
      <c r="AL59" s="541">
        <f t="shared" si="124"/>
        <v>0</v>
      </c>
      <c r="AM59" s="541">
        <f t="shared" si="124"/>
        <v>0</v>
      </c>
      <c r="AN59" s="541">
        <f t="shared" si="124"/>
        <v>0</v>
      </c>
      <c r="AO59" s="541">
        <f t="shared" si="124"/>
        <v>0</v>
      </c>
      <c r="AP59" s="580">
        <f t="shared" si="124"/>
        <v>0</v>
      </c>
    </row>
    <row r="60" spans="1:42">
      <c r="A60" s="583">
        <v>70.069999999999993</v>
      </c>
      <c r="B60" s="584" t="s">
        <v>56</v>
      </c>
      <c r="C60" s="577">
        <f t="shared" si="112"/>
        <v>0</v>
      </c>
      <c r="D60" s="568"/>
      <c r="E60" s="577">
        <f t="shared" si="112"/>
        <v>0</v>
      </c>
      <c r="F60" s="579">
        <f>'PMOC BY Adj'!C60*$E60</f>
        <v>0</v>
      </c>
      <c r="G60" s="579">
        <f>'PMOC BY Adj'!D60*$E60</f>
        <v>0</v>
      </c>
      <c r="H60" s="579">
        <f>'PMOC BY Adj'!E60*$E60</f>
        <v>0</v>
      </c>
      <c r="I60" s="579">
        <f>'PMOC BY Adj'!F60*$E60</f>
        <v>0</v>
      </c>
      <c r="J60" s="580">
        <f t="shared" si="113"/>
        <v>0</v>
      </c>
      <c r="K60" s="580">
        <f t="shared" si="114"/>
        <v>0</v>
      </c>
      <c r="L60" s="568"/>
      <c r="M60" s="577">
        <f t="shared" si="115"/>
        <v>0</v>
      </c>
      <c r="N60" s="579">
        <f>'PMOC BY Adj'!J60*$M60</f>
        <v>0</v>
      </c>
      <c r="O60" s="579">
        <f>'PMOC BY Adj'!K60*$M60</f>
        <v>0</v>
      </c>
      <c r="P60" s="579">
        <f>'PMOC BY Adj'!L60*$M60</f>
        <v>0</v>
      </c>
      <c r="Q60" s="579">
        <f>'PMOC BY Adj'!M60*$M60</f>
        <v>0</v>
      </c>
      <c r="R60" s="580">
        <f t="shared" si="116"/>
        <v>0</v>
      </c>
      <c r="S60" s="580">
        <f t="shared" si="117"/>
        <v>0</v>
      </c>
      <c r="T60" s="568"/>
      <c r="U60" s="577">
        <f t="shared" si="118"/>
        <v>0</v>
      </c>
      <c r="V60" s="579">
        <f>'PMOC BY Adj'!Q60*$U60</f>
        <v>0</v>
      </c>
      <c r="W60" s="579">
        <f>'PMOC BY Adj'!R60*$U60</f>
        <v>0</v>
      </c>
      <c r="X60" s="579">
        <f>'PMOC BY Adj'!S60*$U60</f>
        <v>0</v>
      </c>
      <c r="Y60" s="579">
        <f>'PMOC BY Adj'!T60*$U60</f>
        <v>0</v>
      </c>
      <c r="Z60" s="580">
        <f t="shared" si="119"/>
        <v>0</v>
      </c>
      <c r="AA60" s="580">
        <f t="shared" si="120"/>
        <v>0</v>
      </c>
      <c r="AB60" s="568"/>
      <c r="AC60" s="577">
        <f t="shared" si="121"/>
        <v>0</v>
      </c>
      <c r="AD60" s="579">
        <f>'PMOC BY Adj'!X60*$AC60</f>
        <v>0</v>
      </c>
      <c r="AE60" s="579">
        <f>'PMOC BY Adj'!Y60*$AC60</f>
        <v>0</v>
      </c>
      <c r="AF60" s="579">
        <f>'PMOC BY Adj'!Z60*$AC60</f>
        <v>0</v>
      </c>
      <c r="AG60" s="579">
        <f>'PMOC BY Adj'!AA60*$AC60</f>
        <v>0</v>
      </c>
      <c r="AH60" s="580">
        <f t="shared" si="122"/>
        <v>0</v>
      </c>
      <c r="AI60" s="580">
        <f t="shared" si="123"/>
        <v>0</v>
      </c>
      <c r="AJ60" s="568"/>
      <c r="AK60" s="581">
        <f t="shared" si="124"/>
        <v>0</v>
      </c>
      <c r="AL60" s="541">
        <f t="shared" si="124"/>
        <v>0</v>
      </c>
      <c r="AM60" s="541">
        <f t="shared" si="124"/>
        <v>0</v>
      </c>
      <c r="AN60" s="541">
        <f t="shared" si="124"/>
        <v>0</v>
      </c>
      <c r="AO60" s="541">
        <f t="shared" si="124"/>
        <v>0</v>
      </c>
      <c r="AP60" s="580">
        <f t="shared" si="124"/>
        <v>0</v>
      </c>
    </row>
    <row r="61" spans="1:42" ht="15">
      <c r="A61" s="595" t="s">
        <v>174</v>
      </c>
      <c r="B61" s="596"/>
      <c r="C61" s="567">
        <f>'PMOC Globl Infl Adjst'!D36</f>
        <v>0</v>
      </c>
      <c r="D61" s="568"/>
      <c r="E61" s="582">
        <f>$C61</f>
        <v>0</v>
      </c>
      <c r="F61" s="572">
        <f>SUM(F62:F69)</f>
        <v>0</v>
      </c>
      <c r="G61" s="572">
        <f>SUM(G62:G69)</f>
        <v>0</v>
      </c>
      <c r="H61" s="572">
        <f t="shared" ref="H61:I61" si="125">SUM(H62:H69)</f>
        <v>0</v>
      </c>
      <c r="I61" s="572">
        <f t="shared" si="125"/>
        <v>0</v>
      </c>
      <c r="J61" s="573">
        <f>SUM(J62:J69)</f>
        <v>0</v>
      </c>
      <c r="K61" s="573">
        <f>SUM(K62:K69)</f>
        <v>0</v>
      </c>
      <c r="L61" s="568"/>
      <c r="M61" s="582">
        <f>$C61</f>
        <v>0</v>
      </c>
      <c r="N61" s="572">
        <f>SUM(N62:N69)</f>
        <v>0</v>
      </c>
      <c r="O61" s="572">
        <f>SUM(O62:O69)</f>
        <v>0</v>
      </c>
      <c r="P61" s="572">
        <f t="shared" ref="P61:Q61" si="126">SUM(P62:P69)</f>
        <v>0</v>
      </c>
      <c r="Q61" s="572">
        <f t="shared" si="126"/>
        <v>0</v>
      </c>
      <c r="R61" s="573">
        <f>SUM(R62:R69)</f>
        <v>0</v>
      </c>
      <c r="S61" s="573">
        <f>SUM(S62:S69)</f>
        <v>0</v>
      </c>
      <c r="T61" s="568"/>
      <c r="U61" s="582">
        <f>$C61</f>
        <v>0</v>
      </c>
      <c r="V61" s="572">
        <f>SUM(V62:V69)</f>
        <v>0</v>
      </c>
      <c r="W61" s="572">
        <f>SUM(W62:W69)</f>
        <v>0</v>
      </c>
      <c r="X61" s="572">
        <f t="shared" ref="X61:Y61" si="127">SUM(X62:X69)</f>
        <v>0</v>
      </c>
      <c r="Y61" s="572">
        <f t="shared" si="127"/>
        <v>0</v>
      </c>
      <c r="Z61" s="573">
        <f>SUM(Z62:Z69)</f>
        <v>0</v>
      </c>
      <c r="AA61" s="573">
        <f>SUM(AA62:AA69)</f>
        <v>0</v>
      </c>
      <c r="AB61" s="568"/>
      <c r="AC61" s="582">
        <f>$C61</f>
        <v>0</v>
      </c>
      <c r="AD61" s="572">
        <f>SUM(AD62:AD69)</f>
        <v>0</v>
      </c>
      <c r="AE61" s="572">
        <f>SUM(AE62:AE69)</f>
        <v>0</v>
      </c>
      <c r="AF61" s="572">
        <f t="shared" ref="AF61:AG61" si="128">SUM(AF62:AF69)</f>
        <v>0</v>
      </c>
      <c r="AG61" s="572">
        <f t="shared" si="128"/>
        <v>0</v>
      </c>
      <c r="AH61" s="573">
        <f>SUM(AH62:AH69)</f>
        <v>0</v>
      </c>
      <c r="AI61" s="573">
        <f>SUM(AI62:AI69)</f>
        <v>0</v>
      </c>
      <c r="AJ61" s="568"/>
      <c r="AK61" s="574">
        <f>SUM(AK62:AK69)</f>
        <v>0</v>
      </c>
      <c r="AL61" s="572">
        <f>SUM(AL62:AL69)</f>
        <v>0</v>
      </c>
      <c r="AM61" s="572">
        <f t="shared" ref="AM61:AN61" si="129">SUM(AM62:AM69)</f>
        <v>0</v>
      </c>
      <c r="AN61" s="572">
        <f t="shared" si="129"/>
        <v>0</v>
      </c>
      <c r="AO61" s="572">
        <f>SUM(AO62:AO69)</f>
        <v>0</v>
      </c>
      <c r="AP61" s="573">
        <f>SUM(AP62:AP69)</f>
        <v>0</v>
      </c>
    </row>
    <row r="62" spans="1:42">
      <c r="A62" s="597">
        <v>80.010000000000005</v>
      </c>
      <c r="B62" s="576" t="s">
        <v>143</v>
      </c>
      <c r="C62" s="577">
        <f t="shared" ref="C62:E69" si="130">C$61</f>
        <v>0</v>
      </c>
      <c r="D62" s="568"/>
      <c r="E62" s="577">
        <f t="shared" si="130"/>
        <v>0</v>
      </c>
      <c r="F62" s="579">
        <f>'PMOC BY Adj'!C62*$E62</f>
        <v>0</v>
      </c>
      <c r="G62" s="579">
        <f>'PMOC BY Adj'!D62*$E62</f>
        <v>0</v>
      </c>
      <c r="H62" s="579">
        <f>'PMOC BY Adj'!E62*$E62</f>
        <v>0</v>
      </c>
      <c r="I62" s="579">
        <f>'PMOC BY Adj'!F62*$E62</f>
        <v>0</v>
      </c>
      <c r="J62" s="580">
        <f t="shared" ref="J62:J69" si="131">SUM(G62:I62)</f>
        <v>0</v>
      </c>
      <c r="K62" s="580">
        <f t="shared" ref="K62:K69" si="132">SUM(F62,J62)</f>
        <v>0</v>
      </c>
      <c r="L62" s="568"/>
      <c r="M62" s="577">
        <f t="shared" ref="M62:M69" si="133">M$61</f>
        <v>0</v>
      </c>
      <c r="N62" s="579">
        <f>'PMOC BY Adj'!J62*$M62</f>
        <v>0</v>
      </c>
      <c r="O62" s="579">
        <f>'PMOC BY Adj'!K62*$M62</f>
        <v>0</v>
      </c>
      <c r="P62" s="579">
        <f>'PMOC BY Adj'!L62*$M62</f>
        <v>0</v>
      </c>
      <c r="Q62" s="579">
        <f>'PMOC BY Adj'!M62*$M62</f>
        <v>0</v>
      </c>
      <c r="R62" s="580">
        <f t="shared" ref="R62:R69" si="134">SUM(O62:Q62)</f>
        <v>0</v>
      </c>
      <c r="S62" s="580">
        <f t="shared" ref="S62:S69" si="135">SUM(N62,R62)</f>
        <v>0</v>
      </c>
      <c r="T62" s="568"/>
      <c r="U62" s="577">
        <f t="shared" ref="U62:U69" si="136">U$61</f>
        <v>0</v>
      </c>
      <c r="V62" s="579">
        <f>'PMOC BY Adj'!Q62*$U62</f>
        <v>0</v>
      </c>
      <c r="W62" s="579">
        <f>'PMOC BY Adj'!R62*$U62</f>
        <v>0</v>
      </c>
      <c r="X62" s="579">
        <f>'PMOC BY Adj'!S62*$U62</f>
        <v>0</v>
      </c>
      <c r="Y62" s="579">
        <f>'PMOC BY Adj'!T62*$U62</f>
        <v>0</v>
      </c>
      <c r="Z62" s="580">
        <f t="shared" ref="Z62:Z69" si="137">SUM(W62:Y62)</f>
        <v>0</v>
      </c>
      <c r="AA62" s="580">
        <f t="shared" ref="AA62:AA69" si="138">SUM(V62,Z62)</f>
        <v>0</v>
      </c>
      <c r="AB62" s="568"/>
      <c r="AC62" s="577">
        <f t="shared" ref="AC62:AC69" si="139">AC$61</f>
        <v>0</v>
      </c>
      <c r="AD62" s="579">
        <f>'PMOC BY Adj'!X62*$AC62</f>
        <v>0</v>
      </c>
      <c r="AE62" s="579">
        <f>'PMOC BY Adj'!Y62*$AC62</f>
        <v>0</v>
      </c>
      <c r="AF62" s="579">
        <f>'PMOC BY Adj'!Z62*$AC62</f>
        <v>0</v>
      </c>
      <c r="AG62" s="579">
        <f>'PMOC BY Adj'!AA62*$AC62</f>
        <v>0</v>
      </c>
      <c r="AH62" s="580">
        <f t="shared" ref="AH62:AH69" si="140">SUM(AE62:AG62)</f>
        <v>0</v>
      </c>
      <c r="AI62" s="580">
        <f t="shared" ref="AI62:AI69" si="141">SUM(AD62,AH62)</f>
        <v>0</v>
      </c>
      <c r="AJ62" s="568"/>
      <c r="AK62" s="581">
        <f t="shared" ref="AK62:AP69" si="142">SUM(F62,N62,V62,AD62)</f>
        <v>0</v>
      </c>
      <c r="AL62" s="541">
        <f t="shared" si="142"/>
        <v>0</v>
      </c>
      <c r="AM62" s="541">
        <f t="shared" si="142"/>
        <v>0</v>
      </c>
      <c r="AN62" s="541">
        <f t="shared" si="142"/>
        <v>0</v>
      </c>
      <c r="AO62" s="541">
        <f t="shared" si="142"/>
        <v>0</v>
      </c>
      <c r="AP62" s="580">
        <f t="shared" si="142"/>
        <v>0</v>
      </c>
    </row>
    <row r="63" spans="1:42">
      <c r="A63" s="597">
        <v>80.02</v>
      </c>
      <c r="B63" s="576" t="s">
        <v>175</v>
      </c>
      <c r="C63" s="577">
        <f t="shared" si="130"/>
        <v>0</v>
      </c>
      <c r="D63" s="568"/>
      <c r="E63" s="577">
        <f t="shared" si="130"/>
        <v>0</v>
      </c>
      <c r="F63" s="579">
        <f>'PMOC BY Adj'!C63*$E63</f>
        <v>0</v>
      </c>
      <c r="G63" s="579">
        <f>'PMOC BY Adj'!D63*$E63</f>
        <v>0</v>
      </c>
      <c r="H63" s="579">
        <f>'PMOC BY Adj'!E63*$E63</f>
        <v>0</v>
      </c>
      <c r="I63" s="579">
        <f>'PMOC BY Adj'!F63*$E63</f>
        <v>0</v>
      </c>
      <c r="J63" s="580">
        <f t="shared" si="131"/>
        <v>0</v>
      </c>
      <c r="K63" s="580">
        <f t="shared" si="132"/>
        <v>0</v>
      </c>
      <c r="L63" s="568"/>
      <c r="M63" s="577">
        <f t="shared" si="133"/>
        <v>0</v>
      </c>
      <c r="N63" s="579">
        <f>'PMOC BY Adj'!J63*$M63</f>
        <v>0</v>
      </c>
      <c r="O63" s="579">
        <f>'PMOC BY Adj'!K63*$M63</f>
        <v>0</v>
      </c>
      <c r="P63" s="579">
        <f>'PMOC BY Adj'!L63*$M63</f>
        <v>0</v>
      </c>
      <c r="Q63" s="579">
        <f>'PMOC BY Adj'!M63*$M63</f>
        <v>0</v>
      </c>
      <c r="R63" s="580">
        <f t="shared" si="134"/>
        <v>0</v>
      </c>
      <c r="S63" s="580">
        <f t="shared" si="135"/>
        <v>0</v>
      </c>
      <c r="T63" s="568"/>
      <c r="U63" s="577">
        <f t="shared" si="136"/>
        <v>0</v>
      </c>
      <c r="V63" s="579">
        <f>'PMOC BY Adj'!Q63*$U63</f>
        <v>0</v>
      </c>
      <c r="W63" s="579">
        <f>'PMOC BY Adj'!R63*$U63</f>
        <v>0</v>
      </c>
      <c r="X63" s="579">
        <f>'PMOC BY Adj'!S63*$U63</f>
        <v>0</v>
      </c>
      <c r="Y63" s="579">
        <f>'PMOC BY Adj'!T63*$U63</f>
        <v>0</v>
      </c>
      <c r="Z63" s="580">
        <f t="shared" si="137"/>
        <v>0</v>
      </c>
      <c r="AA63" s="580">
        <f t="shared" si="138"/>
        <v>0</v>
      </c>
      <c r="AB63" s="568"/>
      <c r="AC63" s="577">
        <f t="shared" si="139"/>
        <v>0</v>
      </c>
      <c r="AD63" s="579">
        <f>'PMOC BY Adj'!X63*$AC63</f>
        <v>0</v>
      </c>
      <c r="AE63" s="579">
        <f>'PMOC BY Adj'!Y63*$AC63</f>
        <v>0</v>
      </c>
      <c r="AF63" s="579">
        <f>'PMOC BY Adj'!Z63*$AC63</f>
        <v>0</v>
      </c>
      <c r="AG63" s="579">
        <f>'PMOC BY Adj'!AA63*$AC63</f>
        <v>0</v>
      </c>
      <c r="AH63" s="580">
        <f t="shared" si="140"/>
        <v>0</v>
      </c>
      <c r="AI63" s="580">
        <f t="shared" si="141"/>
        <v>0</v>
      </c>
      <c r="AJ63" s="568"/>
      <c r="AK63" s="581">
        <f t="shared" si="142"/>
        <v>0</v>
      </c>
      <c r="AL63" s="541">
        <f t="shared" si="142"/>
        <v>0</v>
      </c>
      <c r="AM63" s="541">
        <f t="shared" si="142"/>
        <v>0</v>
      </c>
      <c r="AN63" s="541">
        <f t="shared" si="142"/>
        <v>0</v>
      </c>
      <c r="AO63" s="541">
        <f t="shared" si="142"/>
        <v>0</v>
      </c>
      <c r="AP63" s="580">
        <f t="shared" si="142"/>
        <v>0</v>
      </c>
    </row>
    <row r="64" spans="1:42">
      <c r="A64" s="597">
        <v>80.03</v>
      </c>
      <c r="B64" s="576" t="s">
        <v>57</v>
      </c>
      <c r="C64" s="577">
        <f t="shared" si="130"/>
        <v>0</v>
      </c>
      <c r="D64" s="568"/>
      <c r="E64" s="577">
        <f t="shared" si="130"/>
        <v>0</v>
      </c>
      <c r="F64" s="579">
        <f>'PMOC BY Adj'!C64*$E64</f>
        <v>0</v>
      </c>
      <c r="G64" s="579">
        <f>'PMOC BY Adj'!D64*$E64</f>
        <v>0</v>
      </c>
      <c r="H64" s="579">
        <f>'PMOC BY Adj'!E64*$E64</f>
        <v>0</v>
      </c>
      <c r="I64" s="579">
        <f>'PMOC BY Adj'!F64*$E64</f>
        <v>0</v>
      </c>
      <c r="J64" s="580">
        <f t="shared" si="131"/>
        <v>0</v>
      </c>
      <c r="K64" s="580">
        <f t="shared" si="132"/>
        <v>0</v>
      </c>
      <c r="L64" s="568"/>
      <c r="M64" s="577">
        <f t="shared" si="133"/>
        <v>0</v>
      </c>
      <c r="N64" s="579">
        <f>'PMOC BY Adj'!J64*$M64</f>
        <v>0</v>
      </c>
      <c r="O64" s="579">
        <f>'PMOC BY Adj'!K64*$M64</f>
        <v>0</v>
      </c>
      <c r="P64" s="579">
        <f>'PMOC BY Adj'!L64*$M64</f>
        <v>0</v>
      </c>
      <c r="Q64" s="579">
        <f>'PMOC BY Adj'!M64*$M64</f>
        <v>0</v>
      </c>
      <c r="R64" s="580">
        <f t="shared" si="134"/>
        <v>0</v>
      </c>
      <c r="S64" s="580">
        <f t="shared" si="135"/>
        <v>0</v>
      </c>
      <c r="T64" s="568"/>
      <c r="U64" s="577">
        <f t="shared" si="136"/>
        <v>0</v>
      </c>
      <c r="V64" s="579">
        <f>'PMOC BY Adj'!Q64*$U64</f>
        <v>0</v>
      </c>
      <c r="W64" s="579">
        <f>'PMOC BY Adj'!R64*$U64</f>
        <v>0</v>
      </c>
      <c r="X64" s="579">
        <f>'PMOC BY Adj'!S64*$U64</f>
        <v>0</v>
      </c>
      <c r="Y64" s="579">
        <f>'PMOC BY Adj'!T64*$U64</f>
        <v>0</v>
      </c>
      <c r="Z64" s="580">
        <f t="shared" si="137"/>
        <v>0</v>
      </c>
      <c r="AA64" s="580">
        <f t="shared" si="138"/>
        <v>0</v>
      </c>
      <c r="AB64" s="568"/>
      <c r="AC64" s="577">
        <f t="shared" si="139"/>
        <v>0</v>
      </c>
      <c r="AD64" s="579">
        <f>'PMOC BY Adj'!X64*$AC64</f>
        <v>0</v>
      </c>
      <c r="AE64" s="579">
        <f>'PMOC BY Adj'!Y64*$AC64</f>
        <v>0</v>
      </c>
      <c r="AF64" s="579">
        <f>'PMOC BY Adj'!Z64*$AC64</f>
        <v>0</v>
      </c>
      <c r="AG64" s="579">
        <f>'PMOC BY Adj'!AA64*$AC64</f>
        <v>0</v>
      </c>
      <c r="AH64" s="580">
        <f t="shared" si="140"/>
        <v>0</v>
      </c>
      <c r="AI64" s="580">
        <f t="shared" si="141"/>
        <v>0</v>
      </c>
      <c r="AJ64" s="568"/>
      <c r="AK64" s="581">
        <f t="shared" si="142"/>
        <v>0</v>
      </c>
      <c r="AL64" s="541">
        <f t="shared" si="142"/>
        <v>0</v>
      </c>
      <c r="AM64" s="541">
        <f t="shared" si="142"/>
        <v>0</v>
      </c>
      <c r="AN64" s="541">
        <f t="shared" si="142"/>
        <v>0</v>
      </c>
      <c r="AO64" s="541">
        <f t="shared" si="142"/>
        <v>0</v>
      </c>
      <c r="AP64" s="580">
        <f t="shared" si="142"/>
        <v>0</v>
      </c>
    </row>
    <row r="65" spans="1:42">
      <c r="A65" s="597">
        <v>80.040000000000006</v>
      </c>
      <c r="B65" s="576" t="s">
        <v>58</v>
      </c>
      <c r="C65" s="577">
        <f t="shared" si="130"/>
        <v>0</v>
      </c>
      <c r="D65" s="568"/>
      <c r="E65" s="577">
        <f t="shared" si="130"/>
        <v>0</v>
      </c>
      <c r="F65" s="579">
        <f>'PMOC BY Adj'!C65*$E65</f>
        <v>0</v>
      </c>
      <c r="G65" s="579">
        <f>'PMOC BY Adj'!D65*$E65</f>
        <v>0</v>
      </c>
      <c r="H65" s="579">
        <f>'PMOC BY Adj'!E65*$E65</f>
        <v>0</v>
      </c>
      <c r="I65" s="579">
        <f>'PMOC BY Adj'!F65*$E65</f>
        <v>0</v>
      </c>
      <c r="J65" s="580">
        <f t="shared" si="131"/>
        <v>0</v>
      </c>
      <c r="K65" s="580">
        <f t="shared" si="132"/>
        <v>0</v>
      </c>
      <c r="L65" s="568"/>
      <c r="M65" s="577">
        <f t="shared" si="133"/>
        <v>0</v>
      </c>
      <c r="N65" s="579">
        <f>'PMOC BY Adj'!J65*$M65</f>
        <v>0</v>
      </c>
      <c r="O65" s="579">
        <f>'PMOC BY Adj'!K65*$M65</f>
        <v>0</v>
      </c>
      <c r="P65" s="579">
        <f>'PMOC BY Adj'!L65*$M65</f>
        <v>0</v>
      </c>
      <c r="Q65" s="579">
        <f>'PMOC BY Adj'!M65*$M65</f>
        <v>0</v>
      </c>
      <c r="R65" s="580">
        <f t="shared" si="134"/>
        <v>0</v>
      </c>
      <c r="S65" s="580">
        <f t="shared" si="135"/>
        <v>0</v>
      </c>
      <c r="T65" s="568"/>
      <c r="U65" s="577">
        <f t="shared" si="136"/>
        <v>0</v>
      </c>
      <c r="V65" s="579">
        <f>'PMOC BY Adj'!Q65*$U65</f>
        <v>0</v>
      </c>
      <c r="W65" s="579">
        <f>'PMOC BY Adj'!R65*$U65</f>
        <v>0</v>
      </c>
      <c r="X65" s="579">
        <f>'PMOC BY Adj'!S65*$U65</f>
        <v>0</v>
      </c>
      <c r="Y65" s="579">
        <f>'PMOC BY Adj'!T65*$U65</f>
        <v>0</v>
      </c>
      <c r="Z65" s="580">
        <f t="shared" si="137"/>
        <v>0</v>
      </c>
      <c r="AA65" s="580">
        <f t="shared" si="138"/>
        <v>0</v>
      </c>
      <c r="AB65" s="568"/>
      <c r="AC65" s="577">
        <f t="shared" si="139"/>
        <v>0</v>
      </c>
      <c r="AD65" s="579">
        <f>'PMOC BY Adj'!X65*$AC65</f>
        <v>0</v>
      </c>
      <c r="AE65" s="579">
        <f>'PMOC BY Adj'!Y65*$AC65</f>
        <v>0</v>
      </c>
      <c r="AF65" s="579">
        <f>'PMOC BY Adj'!Z65*$AC65</f>
        <v>0</v>
      </c>
      <c r="AG65" s="579">
        <f>'PMOC BY Adj'!AA65*$AC65</f>
        <v>0</v>
      </c>
      <c r="AH65" s="580">
        <f t="shared" si="140"/>
        <v>0</v>
      </c>
      <c r="AI65" s="580">
        <f t="shared" si="141"/>
        <v>0</v>
      </c>
      <c r="AJ65" s="568"/>
      <c r="AK65" s="581">
        <f t="shared" si="142"/>
        <v>0</v>
      </c>
      <c r="AL65" s="541">
        <f t="shared" si="142"/>
        <v>0</v>
      </c>
      <c r="AM65" s="541">
        <f t="shared" si="142"/>
        <v>0</v>
      </c>
      <c r="AN65" s="541">
        <f t="shared" si="142"/>
        <v>0</v>
      </c>
      <c r="AO65" s="541">
        <f t="shared" si="142"/>
        <v>0</v>
      </c>
      <c r="AP65" s="580">
        <f t="shared" si="142"/>
        <v>0</v>
      </c>
    </row>
    <row r="66" spans="1:42">
      <c r="A66" s="597">
        <v>80.05</v>
      </c>
      <c r="B66" s="576" t="s">
        <v>59</v>
      </c>
      <c r="C66" s="577">
        <f t="shared" si="130"/>
        <v>0</v>
      </c>
      <c r="D66" s="568"/>
      <c r="E66" s="577">
        <f t="shared" si="130"/>
        <v>0</v>
      </c>
      <c r="F66" s="579">
        <f>'PMOC BY Adj'!C66*$E66</f>
        <v>0</v>
      </c>
      <c r="G66" s="579">
        <f>'PMOC BY Adj'!D66*$E66</f>
        <v>0</v>
      </c>
      <c r="H66" s="579">
        <f>'PMOC BY Adj'!E66*$E66</f>
        <v>0</v>
      </c>
      <c r="I66" s="579">
        <f>'PMOC BY Adj'!F66*$E66</f>
        <v>0</v>
      </c>
      <c r="J66" s="580">
        <f t="shared" si="131"/>
        <v>0</v>
      </c>
      <c r="K66" s="580">
        <f t="shared" si="132"/>
        <v>0</v>
      </c>
      <c r="L66" s="568"/>
      <c r="M66" s="577">
        <f t="shared" si="133"/>
        <v>0</v>
      </c>
      <c r="N66" s="579">
        <f>'PMOC BY Adj'!J66*$M66</f>
        <v>0</v>
      </c>
      <c r="O66" s="579">
        <f>'PMOC BY Adj'!K66*$M66</f>
        <v>0</v>
      </c>
      <c r="P66" s="579">
        <f>'PMOC BY Adj'!L66*$M66</f>
        <v>0</v>
      </c>
      <c r="Q66" s="579">
        <f>'PMOC BY Adj'!M66*$M66</f>
        <v>0</v>
      </c>
      <c r="R66" s="580">
        <f t="shared" si="134"/>
        <v>0</v>
      </c>
      <c r="S66" s="580">
        <f t="shared" si="135"/>
        <v>0</v>
      </c>
      <c r="T66" s="568"/>
      <c r="U66" s="577">
        <f t="shared" si="136"/>
        <v>0</v>
      </c>
      <c r="V66" s="579">
        <f>'PMOC BY Adj'!Q66*$U66</f>
        <v>0</v>
      </c>
      <c r="W66" s="579">
        <f>'PMOC BY Adj'!R66*$U66</f>
        <v>0</v>
      </c>
      <c r="X66" s="579">
        <f>'PMOC BY Adj'!S66*$U66</f>
        <v>0</v>
      </c>
      <c r="Y66" s="579">
        <f>'PMOC BY Adj'!T66*$U66</f>
        <v>0</v>
      </c>
      <c r="Z66" s="580">
        <f t="shared" si="137"/>
        <v>0</v>
      </c>
      <c r="AA66" s="580">
        <f t="shared" si="138"/>
        <v>0</v>
      </c>
      <c r="AB66" s="568"/>
      <c r="AC66" s="577">
        <f t="shared" si="139"/>
        <v>0</v>
      </c>
      <c r="AD66" s="579">
        <f>'PMOC BY Adj'!X66*$AC66</f>
        <v>0</v>
      </c>
      <c r="AE66" s="579">
        <f>'PMOC BY Adj'!Y66*$AC66</f>
        <v>0</v>
      </c>
      <c r="AF66" s="579">
        <f>'PMOC BY Adj'!Z66*$AC66</f>
        <v>0</v>
      </c>
      <c r="AG66" s="579">
        <f>'PMOC BY Adj'!AA66*$AC66</f>
        <v>0</v>
      </c>
      <c r="AH66" s="580">
        <f t="shared" si="140"/>
        <v>0</v>
      </c>
      <c r="AI66" s="580">
        <f t="shared" si="141"/>
        <v>0</v>
      </c>
      <c r="AJ66" s="568"/>
      <c r="AK66" s="581">
        <f t="shared" si="142"/>
        <v>0</v>
      </c>
      <c r="AL66" s="541">
        <f t="shared" si="142"/>
        <v>0</v>
      </c>
      <c r="AM66" s="541">
        <f t="shared" si="142"/>
        <v>0</v>
      </c>
      <c r="AN66" s="541">
        <f t="shared" si="142"/>
        <v>0</v>
      </c>
      <c r="AO66" s="541">
        <f t="shared" si="142"/>
        <v>0</v>
      </c>
      <c r="AP66" s="580">
        <f t="shared" si="142"/>
        <v>0</v>
      </c>
    </row>
    <row r="67" spans="1:42">
      <c r="A67" s="597">
        <v>80.06</v>
      </c>
      <c r="B67" s="576" t="s">
        <v>60</v>
      </c>
      <c r="C67" s="577">
        <f t="shared" si="130"/>
        <v>0</v>
      </c>
      <c r="D67" s="568"/>
      <c r="E67" s="577">
        <f t="shared" si="130"/>
        <v>0</v>
      </c>
      <c r="F67" s="579">
        <f>'PMOC BY Adj'!C67*$E67</f>
        <v>0</v>
      </c>
      <c r="G67" s="579">
        <f>'PMOC BY Adj'!D67*$E67</f>
        <v>0</v>
      </c>
      <c r="H67" s="579">
        <f>'PMOC BY Adj'!E67*$E67</f>
        <v>0</v>
      </c>
      <c r="I67" s="579">
        <f>'PMOC BY Adj'!F67*$E67</f>
        <v>0</v>
      </c>
      <c r="J67" s="580">
        <f t="shared" si="131"/>
        <v>0</v>
      </c>
      <c r="K67" s="580">
        <f t="shared" si="132"/>
        <v>0</v>
      </c>
      <c r="L67" s="568"/>
      <c r="M67" s="577">
        <f t="shared" si="133"/>
        <v>0</v>
      </c>
      <c r="N67" s="579">
        <f>'PMOC BY Adj'!J67*$M67</f>
        <v>0</v>
      </c>
      <c r="O67" s="579">
        <f>'PMOC BY Adj'!K67*$M67</f>
        <v>0</v>
      </c>
      <c r="P67" s="579">
        <f>'PMOC BY Adj'!L67*$M67</f>
        <v>0</v>
      </c>
      <c r="Q67" s="579">
        <f>'PMOC BY Adj'!M67*$M67</f>
        <v>0</v>
      </c>
      <c r="R67" s="580">
        <f t="shared" si="134"/>
        <v>0</v>
      </c>
      <c r="S67" s="580">
        <f t="shared" si="135"/>
        <v>0</v>
      </c>
      <c r="T67" s="568"/>
      <c r="U67" s="577">
        <f t="shared" si="136"/>
        <v>0</v>
      </c>
      <c r="V67" s="579">
        <f>'PMOC BY Adj'!Q67*$U67</f>
        <v>0</v>
      </c>
      <c r="W67" s="579">
        <f>'PMOC BY Adj'!R67*$U67</f>
        <v>0</v>
      </c>
      <c r="X67" s="579">
        <f>'PMOC BY Adj'!S67*$U67</f>
        <v>0</v>
      </c>
      <c r="Y67" s="579">
        <f>'PMOC BY Adj'!T67*$U67</f>
        <v>0</v>
      </c>
      <c r="Z67" s="580">
        <f t="shared" si="137"/>
        <v>0</v>
      </c>
      <c r="AA67" s="580">
        <f t="shared" si="138"/>
        <v>0</v>
      </c>
      <c r="AB67" s="568"/>
      <c r="AC67" s="577">
        <f t="shared" si="139"/>
        <v>0</v>
      </c>
      <c r="AD67" s="579">
        <f>'PMOC BY Adj'!X67*$AC67</f>
        <v>0</v>
      </c>
      <c r="AE67" s="579">
        <f>'PMOC BY Adj'!Y67*$AC67</f>
        <v>0</v>
      </c>
      <c r="AF67" s="579">
        <f>'PMOC BY Adj'!Z67*$AC67</f>
        <v>0</v>
      </c>
      <c r="AG67" s="579">
        <f>'PMOC BY Adj'!AA67*$AC67</f>
        <v>0</v>
      </c>
      <c r="AH67" s="580">
        <f t="shared" si="140"/>
        <v>0</v>
      </c>
      <c r="AI67" s="580">
        <f t="shared" si="141"/>
        <v>0</v>
      </c>
      <c r="AJ67" s="568"/>
      <c r="AK67" s="581">
        <f t="shared" si="142"/>
        <v>0</v>
      </c>
      <c r="AL67" s="541">
        <f t="shared" si="142"/>
        <v>0</v>
      </c>
      <c r="AM67" s="541">
        <f t="shared" si="142"/>
        <v>0</v>
      </c>
      <c r="AN67" s="541">
        <f t="shared" si="142"/>
        <v>0</v>
      </c>
      <c r="AO67" s="541">
        <f t="shared" si="142"/>
        <v>0</v>
      </c>
      <c r="AP67" s="580">
        <f t="shared" si="142"/>
        <v>0</v>
      </c>
    </row>
    <row r="68" spans="1:42">
      <c r="A68" s="597">
        <v>80.069999999999993</v>
      </c>
      <c r="B68" s="576" t="s">
        <v>61</v>
      </c>
      <c r="C68" s="577">
        <f t="shared" si="130"/>
        <v>0</v>
      </c>
      <c r="D68" s="568"/>
      <c r="E68" s="577">
        <f t="shared" si="130"/>
        <v>0</v>
      </c>
      <c r="F68" s="579">
        <f>'PMOC BY Adj'!C68*$E68</f>
        <v>0</v>
      </c>
      <c r="G68" s="579">
        <f>'PMOC BY Adj'!D68*$E68</f>
        <v>0</v>
      </c>
      <c r="H68" s="579">
        <f>'PMOC BY Adj'!E68*$E68</f>
        <v>0</v>
      </c>
      <c r="I68" s="579">
        <f>'PMOC BY Adj'!F68*$E68</f>
        <v>0</v>
      </c>
      <c r="J68" s="580">
        <f t="shared" si="131"/>
        <v>0</v>
      </c>
      <c r="K68" s="580">
        <f t="shared" si="132"/>
        <v>0</v>
      </c>
      <c r="L68" s="568"/>
      <c r="M68" s="577">
        <f t="shared" si="133"/>
        <v>0</v>
      </c>
      <c r="N68" s="579">
        <f>'PMOC BY Adj'!J68*$M68</f>
        <v>0</v>
      </c>
      <c r="O68" s="579">
        <f>'PMOC BY Adj'!K68*$M68</f>
        <v>0</v>
      </c>
      <c r="P68" s="579">
        <f>'PMOC BY Adj'!L68*$M68</f>
        <v>0</v>
      </c>
      <c r="Q68" s="579">
        <f>'PMOC BY Adj'!M68*$M68</f>
        <v>0</v>
      </c>
      <c r="R68" s="580">
        <f t="shared" si="134"/>
        <v>0</v>
      </c>
      <c r="S68" s="580">
        <f t="shared" si="135"/>
        <v>0</v>
      </c>
      <c r="T68" s="568"/>
      <c r="U68" s="577">
        <f t="shared" si="136"/>
        <v>0</v>
      </c>
      <c r="V68" s="579">
        <f>'PMOC BY Adj'!Q68*$U68</f>
        <v>0</v>
      </c>
      <c r="W68" s="579">
        <f>'PMOC BY Adj'!R68*$U68</f>
        <v>0</v>
      </c>
      <c r="X68" s="579">
        <f>'PMOC BY Adj'!S68*$U68</f>
        <v>0</v>
      </c>
      <c r="Y68" s="579">
        <f>'PMOC BY Adj'!T68*$U68</f>
        <v>0</v>
      </c>
      <c r="Z68" s="580">
        <f t="shared" si="137"/>
        <v>0</v>
      </c>
      <c r="AA68" s="580">
        <f t="shared" si="138"/>
        <v>0</v>
      </c>
      <c r="AB68" s="568"/>
      <c r="AC68" s="577">
        <f t="shared" si="139"/>
        <v>0</v>
      </c>
      <c r="AD68" s="579">
        <f>'PMOC BY Adj'!X68*$AC68</f>
        <v>0</v>
      </c>
      <c r="AE68" s="579">
        <f>'PMOC BY Adj'!Y68*$AC68</f>
        <v>0</v>
      </c>
      <c r="AF68" s="579">
        <f>'PMOC BY Adj'!Z68*$AC68</f>
        <v>0</v>
      </c>
      <c r="AG68" s="579">
        <f>'PMOC BY Adj'!AA68*$AC68</f>
        <v>0</v>
      </c>
      <c r="AH68" s="580">
        <f t="shared" si="140"/>
        <v>0</v>
      </c>
      <c r="AI68" s="580">
        <f t="shared" si="141"/>
        <v>0</v>
      </c>
      <c r="AJ68" s="568"/>
      <c r="AK68" s="581">
        <f t="shared" si="142"/>
        <v>0</v>
      </c>
      <c r="AL68" s="541">
        <f t="shared" si="142"/>
        <v>0</v>
      </c>
      <c r="AM68" s="541">
        <f t="shared" si="142"/>
        <v>0</v>
      </c>
      <c r="AN68" s="541">
        <f t="shared" si="142"/>
        <v>0</v>
      </c>
      <c r="AO68" s="541">
        <f t="shared" si="142"/>
        <v>0</v>
      </c>
      <c r="AP68" s="580">
        <f t="shared" si="142"/>
        <v>0</v>
      </c>
    </row>
    <row r="69" spans="1:42" ht="13.5" thickBot="1">
      <c r="A69" s="597">
        <v>80.08</v>
      </c>
      <c r="B69" s="576" t="s">
        <v>62</v>
      </c>
      <c r="C69" s="577">
        <f t="shared" si="130"/>
        <v>0</v>
      </c>
      <c r="D69" s="568"/>
      <c r="E69" s="577">
        <f t="shared" si="130"/>
        <v>0</v>
      </c>
      <c r="F69" s="579">
        <f>'PMOC BY Adj'!C69*$E69</f>
        <v>0</v>
      </c>
      <c r="G69" s="579">
        <f>'PMOC BY Adj'!D69*$E69</f>
        <v>0</v>
      </c>
      <c r="H69" s="579">
        <f>'PMOC BY Adj'!E69*$E69</f>
        <v>0</v>
      </c>
      <c r="I69" s="579">
        <f>'PMOC BY Adj'!F69*$E69</f>
        <v>0</v>
      </c>
      <c r="J69" s="580">
        <f t="shared" si="131"/>
        <v>0</v>
      </c>
      <c r="K69" s="580">
        <f t="shared" si="132"/>
        <v>0</v>
      </c>
      <c r="L69" s="568"/>
      <c r="M69" s="577">
        <f t="shared" si="133"/>
        <v>0</v>
      </c>
      <c r="N69" s="579">
        <f>'PMOC BY Adj'!J69*$M69</f>
        <v>0</v>
      </c>
      <c r="O69" s="579">
        <f>'PMOC BY Adj'!K69*$M69</f>
        <v>0</v>
      </c>
      <c r="P69" s="579">
        <f>'PMOC BY Adj'!L69*$M69</f>
        <v>0</v>
      </c>
      <c r="Q69" s="579">
        <f>'PMOC BY Adj'!M69*$M69</f>
        <v>0</v>
      </c>
      <c r="R69" s="580">
        <f t="shared" si="134"/>
        <v>0</v>
      </c>
      <c r="S69" s="580">
        <f t="shared" si="135"/>
        <v>0</v>
      </c>
      <c r="T69" s="568"/>
      <c r="U69" s="577">
        <f t="shared" si="136"/>
        <v>0</v>
      </c>
      <c r="V69" s="579">
        <f>'PMOC BY Adj'!Q69*$U69</f>
        <v>0</v>
      </c>
      <c r="W69" s="579">
        <f>'PMOC BY Adj'!R69*$U69</f>
        <v>0</v>
      </c>
      <c r="X69" s="579">
        <f>'PMOC BY Adj'!S69*$U69</f>
        <v>0</v>
      </c>
      <c r="Y69" s="579">
        <f>'PMOC BY Adj'!T69*$U69</f>
        <v>0</v>
      </c>
      <c r="Z69" s="580">
        <f t="shared" si="137"/>
        <v>0</v>
      </c>
      <c r="AA69" s="580">
        <f t="shared" si="138"/>
        <v>0</v>
      </c>
      <c r="AB69" s="568"/>
      <c r="AC69" s="577">
        <f t="shared" si="139"/>
        <v>0</v>
      </c>
      <c r="AD69" s="579">
        <f>'PMOC BY Adj'!X69*$AC69</f>
        <v>0</v>
      </c>
      <c r="AE69" s="579">
        <f>'PMOC BY Adj'!Y69*$AC69</f>
        <v>0</v>
      </c>
      <c r="AF69" s="579">
        <f>'PMOC BY Adj'!Z69*$AC69</f>
        <v>0</v>
      </c>
      <c r="AG69" s="579">
        <f>'PMOC BY Adj'!AA69*$AC69</f>
        <v>0</v>
      </c>
      <c r="AH69" s="580">
        <f t="shared" si="140"/>
        <v>0</v>
      </c>
      <c r="AI69" s="580">
        <f t="shared" si="141"/>
        <v>0</v>
      </c>
      <c r="AJ69" s="568"/>
      <c r="AK69" s="581">
        <f t="shared" si="142"/>
        <v>0</v>
      </c>
      <c r="AL69" s="541">
        <f t="shared" si="142"/>
        <v>0</v>
      </c>
      <c r="AM69" s="541">
        <f t="shared" si="142"/>
        <v>0</v>
      </c>
      <c r="AN69" s="541">
        <f t="shared" si="142"/>
        <v>0</v>
      </c>
      <c r="AO69" s="541">
        <f t="shared" si="142"/>
        <v>0</v>
      </c>
      <c r="AP69" s="580">
        <f t="shared" si="142"/>
        <v>0</v>
      </c>
    </row>
    <row r="70" spans="1:42" ht="15.75" thickBot="1">
      <c r="A70" s="1079" t="s">
        <v>176</v>
      </c>
      <c r="B70" s="1080"/>
      <c r="C70" s="1081"/>
      <c r="D70" s="598"/>
      <c r="E70" s="599"/>
      <c r="F70" s="600">
        <f>SUM(F49,F50,F53,F61)</f>
        <v>0</v>
      </c>
      <c r="G70" s="600">
        <f>SUM(G49,G50,G53,G61)</f>
        <v>0</v>
      </c>
      <c r="H70" s="600">
        <f t="shared" ref="H70:I70" si="143">SUM(H49,H50,H53,H61)</f>
        <v>0</v>
      </c>
      <c r="I70" s="600">
        <f t="shared" si="143"/>
        <v>0</v>
      </c>
      <c r="J70" s="601">
        <f>SUM(J49,J50,J53,J61)</f>
        <v>0</v>
      </c>
      <c r="K70" s="601">
        <f>SUM(K49,K50,K53,K61)</f>
        <v>0</v>
      </c>
      <c r="L70" s="598"/>
      <c r="M70" s="599"/>
      <c r="N70" s="600">
        <f>SUM(N49,N50,N53,N61)</f>
        <v>0</v>
      </c>
      <c r="O70" s="600">
        <f>SUM(O49,O50,O53,O61)</f>
        <v>0</v>
      </c>
      <c r="P70" s="600">
        <f t="shared" ref="P70:Q70" si="144">SUM(P49,P50,P53,P61)</f>
        <v>0</v>
      </c>
      <c r="Q70" s="600">
        <f t="shared" si="144"/>
        <v>0</v>
      </c>
      <c r="R70" s="601">
        <f>SUM(R49,R50,R53,R61)</f>
        <v>0</v>
      </c>
      <c r="S70" s="601">
        <f>SUM(S49,S50,S53,S61)</f>
        <v>0</v>
      </c>
      <c r="T70" s="598"/>
      <c r="U70" s="599"/>
      <c r="V70" s="600">
        <f>SUM(V49,V50,V53,V61)</f>
        <v>0</v>
      </c>
      <c r="W70" s="600">
        <f>SUM(W49,W50,W53,W61)</f>
        <v>0</v>
      </c>
      <c r="X70" s="600">
        <f t="shared" ref="X70:Y70" si="145">SUM(X49,X50,X53,X61)</f>
        <v>0</v>
      </c>
      <c r="Y70" s="600">
        <f t="shared" si="145"/>
        <v>0</v>
      </c>
      <c r="Z70" s="601">
        <f>SUM(Z49,Z50,Z53,Z61)</f>
        <v>0</v>
      </c>
      <c r="AA70" s="601">
        <f>SUM(AA49,AA50,AA53,AA61)</f>
        <v>0</v>
      </c>
      <c r="AB70" s="598"/>
      <c r="AC70" s="599"/>
      <c r="AD70" s="600">
        <f>SUM(AD49,AD50,AD53,AD61)</f>
        <v>0</v>
      </c>
      <c r="AE70" s="600">
        <f>SUM(AE49,AE50,AE53,AE61)</f>
        <v>0</v>
      </c>
      <c r="AF70" s="600">
        <f t="shared" ref="AF70:AG70" si="146">SUM(AF49,AF50,AF53,AF61)</f>
        <v>0</v>
      </c>
      <c r="AG70" s="600">
        <f t="shared" si="146"/>
        <v>0</v>
      </c>
      <c r="AH70" s="601">
        <f>SUM(AH49,AH50,AH53,AH61)</f>
        <v>0</v>
      </c>
      <c r="AI70" s="601">
        <f>SUM(AI49,AI50,AI53,AI61)</f>
        <v>0</v>
      </c>
      <c r="AJ70" s="598"/>
      <c r="AK70" s="599">
        <f>SUM(AK49,AK50,AK53,AK61)</f>
        <v>0</v>
      </c>
      <c r="AL70" s="600">
        <f>SUM(AL49,AL50,AL53,AL61)</f>
        <v>0</v>
      </c>
      <c r="AM70" s="600">
        <f t="shared" ref="AM70:AN70" si="147">SUM(AM49,AM50,AM53,AM61)</f>
        <v>0</v>
      </c>
      <c r="AN70" s="600">
        <f t="shared" si="147"/>
        <v>0</v>
      </c>
      <c r="AO70" s="600">
        <f>SUM(AO49,AO50,AO53,AO61)</f>
        <v>0</v>
      </c>
      <c r="AP70" s="601">
        <f>SUM(AP49,AP50,AP53,AP61)</f>
        <v>0</v>
      </c>
    </row>
  </sheetData>
  <sheetProtection algorithmName="SHA-512" hashValue="sQK4RHnzvB8HvM/+PKwFk2HOrFK2aV3wgd3/ZnBIfh7OKXXeVImQu4KoQEFgh19v+mDcGlPWlI33MR9MLqKmoQ==" saltValue="972e8KwRXZ4ccYgE4Wr8BQ==" spinCount="100000" sheet="1" formatCells="0" formatColumns="0" formatRows="0" insertColumns="0" insertRows="0"/>
  <mergeCells count="8">
    <mergeCell ref="A1:D1"/>
    <mergeCell ref="A49:C49"/>
    <mergeCell ref="A70:C70"/>
    <mergeCell ref="AK2:AP2"/>
    <mergeCell ref="E2:K2"/>
    <mergeCell ref="M2:S2"/>
    <mergeCell ref="U2:AA2"/>
    <mergeCell ref="AC2:AI2"/>
  </mergeCells>
  <pageMargins left="0.7" right="0.7" top="0.75" bottom="0.75" header="0.3" footer="0.3"/>
  <pageSetup orientation="portrait" horizontalDpi="0" verticalDpi="0"/>
  <ignoredErrors>
    <ignoredError sqref="AH18:AI26 AK18:AP26 AK32:AP61 AK27:AO31 AH32:AI61 AH27:AH31" formula="1"/>
    <ignoredError sqref="Z54:AA60 Z18:AA26 Z61:AA61 Z53:AA53 R18:S26 J18:K26 J32:K61 J27:J31 Z32:AA52 Z27:Z31 R32:S61 R27:R31" formula="1" unlockedFormula="1"/>
    <ignoredError sqref="E4:AC17 E18:I47 L18:Q47 T18:Y40 T54:Y60 T53:Y53 AB53:AC53 T61:Y61 AB61:AC61 AB18:AC52 AB54:AC60 E49:I61 E48 L49:Q61 L48:M48 T49:Y52 T48:U48 T42:Y47 T41:U41" unlockedFormula="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3" tint="0.59999389629810485"/>
  </sheetPr>
  <dimension ref="A1:M28"/>
  <sheetViews>
    <sheetView workbookViewId="0">
      <selection activeCell="I24" sqref="I24:L24"/>
    </sheetView>
  </sheetViews>
  <sheetFormatPr defaultColWidth="11.42578125" defaultRowHeight="12.75"/>
  <cols>
    <col min="1" max="1" width="2.85546875" style="505" customWidth="1"/>
  </cols>
  <sheetData>
    <row r="1" spans="13:13" s="505" customFormat="1"/>
    <row r="8" spans="13:13">
      <c r="M8" s="4"/>
    </row>
    <row r="9" spans="13:13">
      <c r="M9" s="4"/>
    </row>
    <row r="22" spans="9:12" s="508" customFormat="1"/>
    <row r="23" spans="9:12" ht="13.5" thickBot="1"/>
    <row r="24" spans="9:12" ht="13.5" thickBot="1">
      <c r="I24" s="1085" t="s">
        <v>225</v>
      </c>
      <c r="J24" s="1086"/>
      <c r="K24" s="1086"/>
      <c r="L24" s="1087"/>
    </row>
    <row r="25" spans="9:12">
      <c r="I25" s="1091" t="s">
        <v>74</v>
      </c>
      <c r="J25" s="1092"/>
      <c r="K25" s="1092"/>
      <c r="L25" s="1093"/>
    </row>
    <row r="26" spans="9:12">
      <c r="I26" s="1094" t="s">
        <v>228</v>
      </c>
      <c r="J26" s="1095"/>
      <c r="K26" s="1095"/>
      <c r="L26" s="507">
        <v>1.5</v>
      </c>
    </row>
    <row r="27" spans="9:12" ht="13.5" thickBot="1">
      <c r="I27" s="1094" t="s">
        <v>229</v>
      </c>
      <c r="J27" s="1095"/>
      <c r="K27" s="1095"/>
      <c r="L27" s="507">
        <v>5.0999999999999996</v>
      </c>
    </row>
    <row r="28" spans="9:12" ht="13.5" thickBot="1">
      <c r="I28" s="1088" t="s">
        <v>138</v>
      </c>
      <c r="J28" s="1089"/>
      <c r="K28" s="1089"/>
      <c r="L28" s="1090"/>
    </row>
  </sheetData>
  <sheetProtection algorithmName="SHA-512" hashValue="UlD+UgAkzhUJ0VbFEbWt7stJl4XYeWBQF+jAzIZhXY6WZpsSItwxIhr/9hQZK4z4E3kQeQg1h5hIWP6OFGq4JA==" saltValue="gGdLCFkpRMNmKw3kPLCOBg==" spinCount="100000" sheet="1" scenarios="1" formatCells="0" formatColumns="0" formatRows="0"/>
  <mergeCells count="5">
    <mergeCell ref="I24:L24"/>
    <mergeCell ref="I28:L28"/>
    <mergeCell ref="I25:L25"/>
    <mergeCell ref="I26:K26"/>
    <mergeCell ref="I27:K27"/>
  </mergeCells>
  <phoneticPr fontId="6" type="noConversion"/>
  <hyperlinks>
    <hyperlink ref="I24:L24" r:id="rId1" display="Beta Distribution Link -  Click here." xr:uid="{EDCBD8B8-62CD-894C-9835-4F209B9DC2BB}"/>
  </hyperlinks>
  <pageMargins left="0.75" right="0.75" top="1" bottom="1" header="0.5" footer="0.5"/>
  <pageSetup paperSize="0" orientation="portrait" horizontalDpi="4294967292" verticalDpi="4294967292"/>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3" tint="0.59999389629810485"/>
  </sheetPr>
  <dimension ref="A1"/>
  <sheetViews>
    <sheetView zoomScale="85" zoomScaleNormal="85" workbookViewId="0"/>
  </sheetViews>
  <sheetFormatPr defaultColWidth="11.42578125" defaultRowHeight="12.75"/>
  <cols>
    <col min="1" max="1" width="2.85546875" customWidth="1"/>
    <col min="9" max="9" width="6.140625" customWidth="1"/>
  </cols>
  <sheetData/>
  <sheetProtection algorithmName="SHA-512" hashValue="nmyLOnbUHl1z5+Bdod8UhM0ds2OsXLd5jgzqSeHQTq/DYGZI387pAA8z77eAUfbtgOrvDg2gRLepEWILZL2+Ig==" saltValue="x4u3yVBGOu8GJddeufVQyg==" spinCount="100000" sheet="1" scenarios="1" formatCells="0" formatColumns="0" formatRows="0"/>
  <pageMargins left="0.75" right="0.75" top="1" bottom="1" header="0.5" footer="0.5"/>
  <pageSetup orientation="portrait" horizontalDpi="4294967292" verticalDpi="4294967292"/>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4ECD-249B-B240-AAF1-F48630956CEA}">
  <sheetPr codeName="Sheet19">
    <tabColor theme="3" tint="0.59999389629810485"/>
  </sheetPr>
  <dimension ref="A1"/>
  <sheetViews>
    <sheetView workbookViewId="0">
      <selection activeCell="M35" sqref="M35"/>
    </sheetView>
  </sheetViews>
  <sheetFormatPr defaultColWidth="11.42578125" defaultRowHeight="12.75"/>
  <cols>
    <col min="1" max="1" width="3" style="508" customWidth="1"/>
  </cols>
  <sheetData>
    <row r="1" s="508" customFormat="1"/>
  </sheetData>
  <sheetProtection algorithmName="SHA-512" hashValue="tsBEv68Wzf+AaNvqvHha8jll66+Fn61+erdy9oIGkKE/PISWAU+GQvw7qVJ9PvVNllHDzbvevyfxuAEHTEKaJQ==" saltValue="QlwjKM+SmeAJ1es8CHZZww==" spinCount="100000" sheet="1" formatCells="0" formatColumns="0" formatRows="0"/>
  <pageMargins left="0.7" right="0.7" top="0.75" bottom="0.75" header="0.3" footer="0.3"/>
  <pageSetup orientation="portrait"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3" tint="0.59999389629810485"/>
  </sheetPr>
  <dimension ref="A1:AG106"/>
  <sheetViews>
    <sheetView zoomScale="85" zoomScaleNormal="8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2.75"/>
  <cols>
    <col min="1" max="1" width="8.85546875" style="242"/>
    <col min="2" max="2" width="54.42578125" style="242" customWidth="1"/>
    <col min="3" max="3" width="10.85546875" style="242" customWidth="1"/>
    <col min="4" max="4" width="3.42578125" style="242" customWidth="1"/>
    <col min="5" max="19" width="6.5703125" style="242" customWidth="1"/>
    <col min="20" max="20" width="52.85546875" style="242" customWidth="1"/>
    <col min="21" max="21" width="2.140625" style="242" customWidth="1"/>
    <col min="22" max="22" width="12" style="242" customWidth="1"/>
    <col min="23" max="25" width="10.85546875" style="242" customWidth="1"/>
    <col min="26" max="26" width="5.85546875" style="242" customWidth="1"/>
    <col min="27" max="28" width="10.85546875" style="242" customWidth="1"/>
    <col min="29" max="29" width="1.5703125" style="242" customWidth="1"/>
    <col min="30" max="32" width="10.85546875" style="242" customWidth="1"/>
    <col min="33" max="16384" width="8.85546875" style="242"/>
  </cols>
  <sheetData>
    <row r="1" spans="1:32" ht="87" customHeight="1" thickBot="1">
      <c r="A1" s="1117" t="str">
        <f ca="1">MID(CELL("filename",A1), FIND("]", CELL("filename", A1))+ 1, 255)&amp;":  Refer to Base Uncertainty and Project-specific Instructions worksheets and OP40 before completing this worksheet;
"&amp;"1) Enter uncertainty Beta values from addenda in the workbook, based on risk profile progress;
2) Enter Specific Risk Beta changes to individual SCC/Risk Types, by assessing Beta values using the Project-Specific Risk worksheet or other method;
"&amp;"3) Note reasons for changes in the Adjustment comments column"</f>
        <v>Risk Assessment (1):  Refer to Base Uncertainty and Project-specific Instructions worksheets and OP40 before completing this worksheet;
1) Enter uncertainty Beta values from addenda in the workbook, based on risk profile progress;
2) Enter Specific Risk Beta changes to individual SCC/Risk Types, by assessing Beta values using the Project-Specific Risk worksheet or other method;
3) Note reasons for changes in the Adjustment comments column</v>
      </c>
      <c r="B1" s="1118"/>
      <c r="C1" s="1118"/>
      <c r="D1" s="1118"/>
      <c r="E1" s="1118"/>
      <c r="F1" s="1118"/>
      <c r="G1" s="1118"/>
      <c r="H1" s="1118"/>
      <c r="I1" s="764"/>
      <c r="J1" s="764"/>
      <c r="K1" s="764"/>
      <c r="L1" s="764"/>
      <c r="M1" s="764"/>
      <c r="N1" s="764"/>
      <c r="O1" s="764"/>
      <c r="P1" s="764"/>
      <c r="Q1" s="764"/>
      <c r="R1" s="764"/>
      <c r="S1" s="764"/>
      <c r="T1" s="764"/>
      <c r="U1" s="764"/>
      <c r="V1" s="782"/>
      <c r="W1" s="782"/>
      <c r="X1" s="782"/>
      <c r="Y1" s="782"/>
      <c r="Z1" s="782"/>
      <c r="AA1" s="782"/>
      <c r="AB1" s="782"/>
      <c r="AC1" s="1099"/>
      <c r="AD1" s="1099"/>
      <c r="AE1" s="1099"/>
      <c r="AF1" s="1099"/>
    </row>
    <row r="2" spans="1:32" ht="23.1" customHeight="1" thickBot="1">
      <c r="A2" s="1108" t="str">
        <f>PMRP1ShrtName</f>
        <v>Transit project</v>
      </c>
      <c r="B2" s="1109"/>
      <c r="C2" s="1109"/>
      <c r="D2" s="657"/>
      <c r="E2" s="1110" t="s">
        <v>536</v>
      </c>
      <c r="F2" s="1111"/>
      <c r="G2" s="1112"/>
      <c r="H2" s="1110" t="s">
        <v>539</v>
      </c>
      <c r="I2" s="1111"/>
      <c r="J2" s="1113"/>
      <c r="K2" s="1110" t="s">
        <v>540</v>
      </c>
      <c r="L2" s="1111"/>
      <c r="M2" s="1113"/>
      <c r="N2" s="1110" t="s">
        <v>541</v>
      </c>
      <c r="O2" s="1111"/>
      <c r="P2" s="1113"/>
      <c r="Q2" s="1111" t="s">
        <v>542</v>
      </c>
      <c r="R2" s="1111"/>
      <c r="S2" s="1112"/>
      <c r="T2" s="657"/>
      <c r="U2" s="657"/>
      <c r="V2" s="657"/>
      <c r="W2" s="657"/>
      <c r="X2" s="657"/>
      <c r="Y2" s="657"/>
      <c r="Z2" s="657"/>
      <c r="AA2" s="657"/>
      <c r="AB2" s="657"/>
      <c r="AC2" s="657"/>
      <c r="AD2" s="657"/>
      <c r="AE2" s="657"/>
      <c r="AF2" s="657"/>
    </row>
    <row r="3" spans="1:32" s="305" customFormat="1" ht="38.1" customHeight="1">
      <c r="A3" s="300" t="s">
        <v>11</v>
      </c>
      <c r="B3" s="301" t="s">
        <v>12</v>
      </c>
      <c r="C3" s="302" t="s">
        <v>72</v>
      </c>
      <c r="D3" s="299"/>
      <c r="E3" s="300" t="s">
        <v>538</v>
      </c>
      <c r="F3" s="301" t="s">
        <v>537</v>
      </c>
      <c r="G3" s="302" t="s">
        <v>84</v>
      </c>
      <c r="H3" s="300" t="s">
        <v>538</v>
      </c>
      <c r="I3" s="301" t="s">
        <v>537</v>
      </c>
      <c r="J3" s="302" t="s">
        <v>85</v>
      </c>
      <c r="K3" s="300" t="s">
        <v>538</v>
      </c>
      <c r="L3" s="301" t="s">
        <v>537</v>
      </c>
      <c r="M3" s="302" t="s">
        <v>85</v>
      </c>
      <c r="N3" s="300" t="s">
        <v>538</v>
      </c>
      <c r="O3" s="301" t="s">
        <v>537</v>
      </c>
      <c r="P3" s="302" t="s">
        <v>87</v>
      </c>
      <c r="Q3" s="300" t="s">
        <v>538</v>
      </c>
      <c r="R3" s="301" t="s">
        <v>537</v>
      </c>
      <c r="S3" s="302" t="s">
        <v>553</v>
      </c>
      <c r="T3" s="776" t="s">
        <v>535</v>
      </c>
      <c r="U3" s="299"/>
      <c r="V3" s="300" t="s">
        <v>1</v>
      </c>
      <c r="W3" s="301" t="s">
        <v>71</v>
      </c>
      <c r="X3" s="301" t="s">
        <v>73</v>
      </c>
      <c r="Y3" s="302" t="s">
        <v>7</v>
      </c>
      <c r="Z3" s="303"/>
      <c r="AA3" s="300" t="s">
        <v>0</v>
      </c>
      <c r="AB3" s="302" t="s">
        <v>77</v>
      </c>
      <c r="AC3" s="785"/>
      <c r="AD3" s="300" t="s">
        <v>77</v>
      </c>
      <c r="AE3" s="301" t="s">
        <v>78</v>
      </c>
      <c r="AF3" s="302" t="s">
        <v>79</v>
      </c>
    </row>
    <row r="4" spans="1:32">
      <c r="A4" s="513" t="s">
        <v>165</v>
      </c>
      <c r="B4" s="517"/>
      <c r="C4" s="307"/>
      <c r="D4" s="308"/>
      <c r="E4" s="309"/>
      <c r="F4" s="310"/>
      <c r="G4" s="311"/>
      <c r="H4" s="309"/>
      <c r="I4" s="310"/>
      <c r="J4" s="311"/>
      <c r="K4" s="309"/>
      <c r="L4" s="310"/>
      <c r="M4" s="311"/>
      <c r="N4" s="309"/>
      <c r="O4" s="310"/>
      <c r="P4" s="311"/>
      <c r="Q4" s="777"/>
      <c r="R4" s="777"/>
      <c r="S4" s="779"/>
      <c r="T4" s="780"/>
      <c r="U4" s="312"/>
      <c r="V4" s="313"/>
      <c r="W4" s="314"/>
      <c r="X4" s="314"/>
      <c r="Y4" s="307"/>
      <c r="Z4" s="303"/>
      <c r="AA4" s="315">
        <v>0</v>
      </c>
      <c r="AB4" s="316">
        <f>IF('Risk Assessment (1)'!RA_lwrbnd,'Risk Assessment (1)'!RA_lwrbnd,0)</f>
        <v>0</v>
      </c>
      <c r="AC4" s="314"/>
      <c r="AD4" s="317">
        <f>RA_lwrbnd</f>
        <v>0</v>
      </c>
      <c r="AE4" s="318" t="e">
        <f t="shared" ref="AE4:AE14" si="0">BETADIST(AD4,RA_alpha,RA_beta,RA_lwrbnd,RA_uprbnd)</f>
        <v>#NUM!</v>
      </c>
      <c r="AF4" s="319" t="e">
        <f>AE4</f>
        <v>#NUM!</v>
      </c>
    </row>
    <row r="5" spans="1:32">
      <c r="A5" s="513">
        <v>10.01</v>
      </c>
      <c r="B5" s="517" t="s">
        <v>15</v>
      </c>
      <c r="C5" s="514">
        <f>'PMOC Profl Infl Adj'!K5</f>
        <v>0</v>
      </c>
      <c r="D5" s="320"/>
      <c r="E5" s="787">
        <v>0</v>
      </c>
      <c r="F5" s="788">
        <v>0</v>
      </c>
      <c r="G5" s="789">
        <f t="shared" ref="G5:G48" si="1">SUM(E5:F5)+RA_global_rqts_adj</f>
        <v>0</v>
      </c>
      <c r="H5" s="787">
        <v>0</v>
      </c>
      <c r="I5" s="788">
        <v>0</v>
      </c>
      <c r="J5" s="789">
        <f t="shared" ref="J5:J48" si="2">SUM(H5:I5)+RA_global_dsgn_adj</f>
        <v>0</v>
      </c>
      <c r="K5" s="787">
        <v>0</v>
      </c>
      <c r="L5" s="788">
        <v>0</v>
      </c>
      <c r="M5" s="789">
        <f t="shared" ref="M5:M48" si="3">SUM(K5:L5)+RA_global_mkt_adj</f>
        <v>0</v>
      </c>
      <c r="N5" s="787">
        <v>0</v>
      </c>
      <c r="O5" s="788">
        <v>0</v>
      </c>
      <c r="P5" s="789">
        <f t="shared" ref="P5:P48" si="4">SUM(N5:O5)+RA_global_constr_adj</f>
        <v>0</v>
      </c>
      <c r="Q5" s="787">
        <v>0</v>
      </c>
      <c r="R5" s="788">
        <v>0</v>
      </c>
      <c r="S5" s="789">
        <f>SUM(Q5:R5)</f>
        <v>0</v>
      </c>
      <c r="T5" s="786"/>
      <c r="U5" s="312"/>
      <c r="V5" s="321">
        <f t="shared" ref="V5:V17" si="5">1+SUM(G5,J5,M5,P5,S5)</f>
        <v>1</v>
      </c>
      <c r="W5" s="322">
        <f t="shared" ref="W5:W17" si="6">C5*V5</f>
        <v>0</v>
      </c>
      <c r="X5" s="323">
        <f t="shared" ref="X5:X17" si="7">IF(C5,BETAINV(0.5,RA_alpha,RA_beta,C5,W5),0)</f>
        <v>0</v>
      </c>
      <c r="Y5" s="324">
        <f t="shared" ref="Y5:Y17" si="8">((RA_alpha/(RA_alpha+RA_beta))*(W5-C5))+C5</f>
        <v>0</v>
      </c>
      <c r="Z5" s="303"/>
      <c r="AA5" s="325">
        <v>0.1</v>
      </c>
      <c r="AB5" s="326">
        <f t="shared" ref="AB5:AB14" si="9">IF(RA_lwrbnd,BETAINV(AA5,RA_alpha,RA_beta,RA_lwrbnd,RA_uprbnd),0)</f>
        <v>0</v>
      </c>
      <c r="AC5" s="314"/>
      <c r="AD5" s="317">
        <f t="shared" ref="AD5:AD13" si="10">AD4+((RA_uprbnd-RA_lwrbnd)/10)</f>
        <v>0</v>
      </c>
      <c r="AE5" s="327" t="e">
        <f t="shared" si="0"/>
        <v>#NUM!</v>
      </c>
      <c r="AF5" s="328" t="e">
        <f>AE5-AE4</f>
        <v>#NUM!</v>
      </c>
    </row>
    <row r="6" spans="1:32">
      <c r="A6" s="513">
        <v>10.02</v>
      </c>
      <c r="B6" s="517" t="s">
        <v>16</v>
      </c>
      <c r="C6" s="515">
        <f>'PMOC Profl Infl Adj'!K6</f>
        <v>0</v>
      </c>
      <c r="D6" s="320"/>
      <c r="E6" s="790">
        <v>0</v>
      </c>
      <c r="F6" s="791">
        <v>0</v>
      </c>
      <c r="G6" s="792">
        <f t="shared" si="1"/>
        <v>0</v>
      </c>
      <c r="H6" s="790">
        <v>0</v>
      </c>
      <c r="I6" s="791">
        <v>0</v>
      </c>
      <c r="J6" s="792">
        <f t="shared" si="2"/>
        <v>0</v>
      </c>
      <c r="K6" s="790">
        <v>0</v>
      </c>
      <c r="L6" s="791">
        <v>0</v>
      </c>
      <c r="M6" s="792">
        <f t="shared" si="3"/>
        <v>0</v>
      </c>
      <c r="N6" s="790">
        <v>0</v>
      </c>
      <c r="O6" s="791">
        <v>0</v>
      </c>
      <c r="P6" s="792">
        <f t="shared" si="4"/>
        <v>0</v>
      </c>
      <c r="Q6" s="790">
        <v>0</v>
      </c>
      <c r="R6" s="791">
        <v>0</v>
      </c>
      <c r="S6" s="792">
        <f t="shared" ref="S6:S48" si="11">SUM(Q6:R6)</f>
        <v>0</v>
      </c>
      <c r="T6" s="780"/>
      <c r="U6" s="312"/>
      <c r="V6" s="329">
        <f t="shared" si="5"/>
        <v>1</v>
      </c>
      <c r="W6" s="330">
        <f t="shared" si="6"/>
        <v>0</v>
      </c>
      <c r="X6" s="331">
        <f t="shared" si="7"/>
        <v>0</v>
      </c>
      <c r="Y6" s="332">
        <f t="shared" si="8"/>
        <v>0</v>
      </c>
      <c r="Z6" s="303"/>
      <c r="AA6" s="325">
        <v>0.2</v>
      </c>
      <c r="AB6" s="326">
        <f t="shared" si="9"/>
        <v>0</v>
      </c>
      <c r="AC6" s="314"/>
      <c r="AD6" s="317">
        <f t="shared" si="10"/>
        <v>0</v>
      </c>
      <c r="AE6" s="327" t="e">
        <f t="shared" si="0"/>
        <v>#NUM!</v>
      </c>
      <c r="AF6" s="328" t="e">
        <f t="shared" ref="AF6:AF13" si="12">AE6-AE5</f>
        <v>#NUM!</v>
      </c>
    </row>
    <row r="7" spans="1:32">
      <c r="A7" s="513">
        <v>10.029999999999999</v>
      </c>
      <c r="B7" s="517" t="s">
        <v>17</v>
      </c>
      <c r="C7" s="515">
        <f>'PMOC Profl Infl Adj'!K7</f>
        <v>0</v>
      </c>
      <c r="D7" s="320"/>
      <c r="E7" s="790">
        <v>0</v>
      </c>
      <c r="F7" s="791">
        <v>0</v>
      </c>
      <c r="G7" s="792">
        <f t="shared" si="1"/>
        <v>0</v>
      </c>
      <c r="H7" s="790">
        <v>0</v>
      </c>
      <c r="I7" s="791">
        <v>0</v>
      </c>
      <c r="J7" s="792">
        <f t="shared" si="2"/>
        <v>0</v>
      </c>
      <c r="K7" s="790">
        <v>0</v>
      </c>
      <c r="L7" s="791">
        <v>0</v>
      </c>
      <c r="M7" s="792">
        <f t="shared" si="3"/>
        <v>0</v>
      </c>
      <c r="N7" s="790">
        <v>0</v>
      </c>
      <c r="O7" s="791">
        <v>0</v>
      </c>
      <c r="P7" s="792">
        <f t="shared" si="4"/>
        <v>0</v>
      </c>
      <c r="Q7" s="790">
        <v>0</v>
      </c>
      <c r="R7" s="791">
        <v>0</v>
      </c>
      <c r="S7" s="792">
        <f t="shared" si="11"/>
        <v>0</v>
      </c>
      <c r="T7" s="780"/>
      <c r="U7" s="312"/>
      <c r="V7" s="329">
        <f t="shared" si="5"/>
        <v>1</v>
      </c>
      <c r="W7" s="330">
        <f t="shared" si="6"/>
        <v>0</v>
      </c>
      <c r="X7" s="331">
        <f t="shared" si="7"/>
        <v>0</v>
      </c>
      <c r="Y7" s="332">
        <f t="shared" si="8"/>
        <v>0</v>
      </c>
      <c r="Z7" s="303"/>
      <c r="AA7" s="325">
        <v>0.3</v>
      </c>
      <c r="AB7" s="326">
        <f t="shared" si="9"/>
        <v>0</v>
      </c>
      <c r="AC7" s="314"/>
      <c r="AD7" s="317">
        <f t="shared" si="10"/>
        <v>0</v>
      </c>
      <c r="AE7" s="327" t="e">
        <f t="shared" si="0"/>
        <v>#NUM!</v>
      </c>
      <c r="AF7" s="328" t="e">
        <f t="shared" si="12"/>
        <v>#NUM!</v>
      </c>
    </row>
    <row r="8" spans="1:32">
      <c r="A8" s="513">
        <v>10.039999999999999</v>
      </c>
      <c r="B8" s="517" t="s">
        <v>18</v>
      </c>
      <c r="C8" s="515">
        <f>'PMOC Profl Infl Adj'!K8</f>
        <v>0</v>
      </c>
      <c r="D8" s="320"/>
      <c r="E8" s="790">
        <v>0</v>
      </c>
      <c r="F8" s="791">
        <v>0</v>
      </c>
      <c r="G8" s="792">
        <f t="shared" si="1"/>
        <v>0</v>
      </c>
      <c r="H8" s="790">
        <v>0</v>
      </c>
      <c r="I8" s="791">
        <v>0</v>
      </c>
      <c r="J8" s="792">
        <f t="shared" si="2"/>
        <v>0</v>
      </c>
      <c r="K8" s="790">
        <v>0</v>
      </c>
      <c r="L8" s="791">
        <v>0</v>
      </c>
      <c r="M8" s="792">
        <f t="shared" si="3"/>
        <v>0</v>
      </c>
      <c r="N8" s="790">
        <v>0</v>
      </c>
      <c r="O8" s="791">
        <v>0</v>
      </c>
      <c r="P8" s="792">
        <f t="shared" si="4"/>
        <v>0</v>
      </c>
      <c r="Q8" s="790">
        <v>0</v>
      </c>
      <c r="R8" s="791">
        <v>0</v>
      </c>
      <c r="S8" s="792">
        <f t="shared" si="11"/>
        <v>0</v>
      </c>
      <c r="T8" s="780"/>
      <c r="U8" s="312"/>
      <c r="V8" s="329">
        <f t="shared" si="5"/>
        <v>1</v>
      </c>
      <c r="W8" s="330">
        <f t="shared" si="6"/>
        <v>0</v>
      </c>
      <c r="X8" s="331">
        <f t="shared" si="7"/>
        <v>0</v>
      </c>
      <c r="Y8" s="332">
        <f t="shared" si="8"/>
        <v>0</v>
      </c>
      <c r="Z8" s="303"/>
      <c r="AA8" s="325">
        <v>0.4</v>
      </c>
      <c r="AB8" s="326">
        <f t="shared" si="9"/>
        <v>0</v>
      </c>
      <c r="AC8" s="314"/>
      <c r="AD8" s="317">
        <f t="shared" si="10"/>
        <v>0</v>
      </c>
      <c r="AE8" s="327" t="e">
        <f t="shared" si="0"/>
        <v>#NUM!</v>
      </c>
      <c r="AF8" s="328" t="e">
        <f t="shared" si="12"/>
        <v>#NUM!</v>
      </c>
    </row>
    <row r="9" spans="1:32">
      <c r="A9" s="513">
        <v>10.050000000000001</v>
      </c>
      <c r="B9" s="517" t="s">
        <v>19</v>
      </c>
      <c r="C9" s="515">
        <f>'PMOC Profl Infl Adj'!K9</f>
        <v>0</v>
      </c>
      <c r="D9" s="320"/>
      <c r="E9" s="790">
        <v>0</v>
      </c>
      <c r="F9" s="791">
        <v>0</v>
      </c>
      <c r="G9" s="792">
        <f t="shared" si="1"/>
        <v>0</v>
      </c>
      <c r="H9" s="790">
        <v>0</v>
      </c>
      <c r="I9" s="791">
        <v>0</v>
      </c>
      <c r="J9" s="792">
        <f t="shared" si="2"/>
        <v>0</v>
      </c>
      <c r="K9" s="790">
        <v>0</v>
      </c>
      <c r="L9" s="791">
        <v>0</v>
      </c>
      <c r="M9" s="792">
        <f t="shared" si="3"/>
        <v>0</v>
      </c>
      <c r="N9" s="790">
        <v>0</v>
      </c>
      <c r="O9" s="791">
        <v>0</v>
      </c>
      <c r="P9" s="792">
        <f t="shared" si="4"/>
        <v>0</v>
      </c>
      <c r="Q9" s="790">
        <v>0</v>
      </c>
      <c r="R9" s="791">
        <v>0</v>
      </c>
      <c r="S9" s="792">
        <f t="shared" si="11"/>
        <v>0</v>
      </c>
      <c r="T9" s="780"/>
      <c r="U9" s="312"/>
      <c r="V9" s="329">
        <f t="shared" si="5"/>
        <v>1</v>
      </c>
      <c r="W9" s="330">
        <f t="shared" si="6"/>
        <v>0</v>
      </c>
      <c r="X9" s="331">
        <f t="shared" si="7"/>
        <v>0</v>
      </c>
      <c r="Y9" s="332">
        <f t="shared" si="8"/>
        <v>0</v>
      </c>
      <c r="Z9" s="303"/>
      <c r="AA9" s="325">
        <v>0.5</v>
      </c>
      <c r="AB9" s="326">
        <f t="shared" si="9"/>
        <v>0</v>
      </c>
      <c r="AC9" s="314"/>
      <c r="AD9" s="317">
        <f t="shared" si="10"/>
        <v>0</v>
      </c>
      <c r="AE9" s="327" t="e">
        <f t="shared" si="0"/>
        <v>#NUM!</v>
      </c>
      <c r="AF9" s="328" t="e">
        <f t="shared" si="12"/>
        <v>#NUM!</v>
      </c>
    </row>
    <row r="10" spans="1:32">
      <c r="A10" s="513">
        <v>10.06</v>
      </c>
      <c r="B10" s="517" t="s">
        <v>20</v>
      </c>
      <c r="C10" s="515">
        <f>'PMOC Profl Infl Adj'!K10</f>
        <v>0</v>
      </c>
      <c r="D10" s="320"/>
      <c r="E10" s="790">
        <v>0</v>
      </c>
      <c r="F10" s="791">
        <v>0</v>
      </c>
      <c r="G10" s="792">
        <f t="shared" si="1"/>
        <v>0</v>
      </c>
      <c r="H10" s="790">
        <v>0</v>
      </c>
      <c r="I10" s="791">
        <v>0</v>
      </c>
      <c r="J10" s="792">
        <f t="shared" si="2"/>
        <v>0</v>
      </c>
      <c r="K10" s="790">
        <v>0</v>
      </c>
      <c r="L10" s="791">
        <v>0</v>
      </c>
      <c r="M10" s="792">
        <f t="shared" si="3"/>
        <v>0</v>
      </c>
      <c r="N10" s="790">
        <v>0</v>
      </c>
      <c r="O10" s="791">
        <v>0</v>
      </c>
      <c r="P10" s="792">
        <f t="shared" si="4"/>
        <v>0</v>
      </c>
      <c r="Q10" s="790">
        <v>0</v>
      </c>
      <c r="R10" s="791">
        <v>0</v>
      </c>
      <c r="S10" s="792">
        <f t="shared" si="11"/>
        <v>0</v>
      </c>
      <c r="T10" s="780"/>
      <c r="U10" s="312"/>
      <c r="V10" s="329">
        <f t="shared" si="5"/>
        <v>1</v>
      </c>
      <c r="W10" s="330">
        <f t="shared" si="6"/>
        <v>0</v>
      </c>
      <c r="X10" s="331">
        <f t="shared" si="7"/>
        <v>0</v>
      </c>
      <c r="Y10" s="332">
        <f t="shared" si="8"/>
        <v>0</v>
      </c>
      <c r="Z10" s="303"/>
      <c r="AA10" s="325">
        <v>0.6</v>
      </c>
      <c r="AB10" s="326">
        <f t="shared" si="9"/>
        <v>0</v>
      </c>
      <c r="AC10" s="314"/>
      <c r="AD10" s="317">
        <f t="shared" si="10"/>
        <v>0</v>
      </c>
      <c r="AE10" s="327" t="e">
        <f t="shared" si="0"/>
        <v>#NUM!</v>
      </c>
      <c r="AF10" s="328" t="e">
        <f t="shared" si="12"/>
        <v>#NUM!</v>
      </c>
    </row>
    <row r="11" spans="1:32">
      <c r="A11" s="513">
        <v>10.07</v>
      </c>
      <c r="B11" s="517" t="s">
        <v>21</v>
      </c>
      <c r="C11" s="515">
        <f>'PMOC Profl Infl Adj'!K11</f>
        <v>0</v>
      </c>
      <c r="D11" s="320"/>
      <c r="E11" s="790">
        <v>0</v>
      </c>
      <c r="F11" s="791">
        <v>0</v>
      </c>
      <c r="G11" s="792">
        <f t="shared" si="1"/>
        <v>0</v>
      </c>
      <c r="H11" s="790">
        <v>0</v>
      </c>
      <c r="I11" s="791">
        <v>0</v>
      </c>
      <c r="J11" s="792">
        <f t="shared" si="2"/>
        <v>0</v>
      </c>
      <c r="K11" s="790">
        <v>0</v>
      </c>
      <c r="L11" s="791">
        <v>0</v>
      </c>
      <c r="M11" s="792">
        <f t="shared" si="3"/>
        <v>0</v>
      </c>
      <c r="N11" s="790">
        <v>0</v>
      </c>
      <c r="O11" s="791">
        <v>0</v>
      </c>
      <c r="P11" s="792">
        <f t="shared" si="4"/>
        <v>0</v>
      </c>
      <c r="Q11" s="790">
        <v>0</v>
      </c>
      <c r="R11" s="791">
        <v>0</v>
      </c>
      <c r="S11" s="792">
        <f t="shared" si="11"/>
        <v>0</v>
      </c>
      <c r="T11" s="780"/>
      <c r="U11" s="312"/>
      <c r="V11" s="329">
        <f t="shared" si="5"/>
        <v>1</v>
      </c>
      <c r="W11" s="330">
        <f t="shared" si="6"/>
        <v>0</v>
      </c>
      <c r="X11" s="331">
        <f t="shared" si="7"/>
        <v>0</v>
      </c>
      <c r="Y11" s="332">
        <f t="shared" si="8"/>
        <v>0</v>
      </c>
      <c r="Z11" s="303"/>
      <c r="AA11" s="325">
        <v>0.65</v>
      </c>
      <c r="AB11" s="326">
        <f t="shared" si="9"/>
        <v>0</v>
      </c>
      <c r="AC11" s="314"/>
      <c r="AD11" s="317">
        <f t="shared" si="10"/>
        <v>0</v>
      </c>
      <c r="AE11" s="327" t="e">
        <f t="shared" si="0"/>
        <v>#NUM!</v>
      </c>
      <c r="AF11" s="328" t="e">
        <f t="shared" si="12"/>
        <v>#NUM!</v>
      </c>
    </row>
    <row r="12" spans="1:32">
      <c r="A12" s="513">
        <v>10.08</v>
      </c>
      <c r="B12" s="517" t="s">
        <v>22</v>
      </c>
      <c r="C12" s="515">
        <f>'PMOC Profl Infl Adj'!K12</f>
        <v>0</v>
      </c>
      <c r="D12" s="320"/>
      <c r="E12" s="790">
        <v>0</v>
      </c>
      <c r="F12" s="791">
        <v>0</v>
      </c>
      <c r="G12" s="792">
        <f t="shared" si="1"/>
        <v>0</v>
      </c>
      <c r="H12" s="790">
        <v>0</v>
      </c>
      <c r="I12" s="791">
        <v>0</v>
      </c>
      <c r="J12" s="792">
        <f t="shared" si="2"/>
        <v>0</v>
      </c>
      <c r="K12" s="790">
        <v>0</v>
      </c>
      <c r="L12" s="791">
        <v>0</v>
      </c>
      <c r="M12" s="792">
        <f t="shared" si="3"/>
        <v>0</v>
      </c>
      <c r="N12" s="790">
        <v>0</v>
      </c>
      <c r="O12" s="791">
        <v>0</v>
      </c>
      <c r="P12" s="792">
        <f t="shared" si="4"/>
        <v>0</v>
      </c>
      <c r="Q12" s="790">
        <v>0</v>
      </c>
      <c r="R12" s="791">
        <v>0</v>
      </c>
      <c r="S12" s="792">
        <f t="shared" si="11"/>
        <v>0</v>
      </c>
      <c r="T12" s="780"/>
      <c r="U12" s="312"/>
      <c r="V12" s="329">
        <f t="shared" si="5"/>
        <v>1</v>
      </c>
      <c r="W12" s="330">
        <f t="shared" si="6"/>
        <v>0</v>
      </c>
      <c r="X12" s="331">
        <f t="shared" si="7"/>
        <v>0</v>
      </c>
      <c r="Y12" s="332">
        <f t="shared" si="8"/>
        <v>0</v>
      </c>
      <c r="Z12" s="303"/>
      <c r="AA12" s="325">
        <v>0.7</v>
      </c>
      <c r="AB12" s="326">
        <f t="shared" si="9"/>
        <v>0</v>
      </c>
      <c r="AC12" s="314"/>
      <c r="AD12" s="317">
        <f t="shared" si="10"/>
        <v>0</v>
      </c>
      <c r="AE12" s="327" t="e">
        <f t="shared" si="0"/>
        <v>#NUM!</v>
      </c>
      <c r="AF12" s="328" t="e">
        <f t="shared" si="12"/>
        <v>#NUM!</v>
      </c>
    </row>
    <row r="13" spans="1:32">
      <c r="A13" s="513">
        <v>10.09</v>
      </c>
      <c r="B13" s="517" t="s">
        <v>23</v>
      </c>
      <c r="C13" s="515">
        <f>'PMOC Profl Infl Adj'!K13</f>
        <v>0</v>
      </c>
      <c r="D13" s="320"/>
      <c r="E13" s="790">
        <v>0</v>
      </c>
      <c r="F13" s="791">
        <v>0</v>
      </c>
      <c r="G13" s="792">
        <f t="shared" si="1"/>
        <v>0</v>
      </c>
      <c r="H13" s="790">
        <v>0</v>
      </c>
      <c r="I13" s="791">
        <v>0</v>
      </c>
      <c r="J13" s="792">
        <f t="shared" si="2"/>
        <v>0</v>
      </c>
      <c r="K13" s="790">
        <v>0</v>
      </c>
      <c r="L13" s="791">
        <v>0</v>
      </c>
      <c r="M13" s="792">
        <f t="shared" si="3"/>
        <v>0</v>
      </c>
      <c r="N13" s="790">
        <v>0</v>
      </c>
      <c r="O13" s="791">
        <v>0</v>
      </c>
      <c r="P13" s="792">
        <f t="shared" si="4"/>
        <v>0</v>
      </c>
      <c r="Q13" s="790">
        <v>0</v>
      </c>
      <c r="R13" s="791">
        <v>0</v>
      </c>
      <c r="S13" s="792">
        <f t="shared" si="11"/>
        <v>0</v>
      </c>
      <c r="T13" s="780"/>
      <c r="U13" s="312"/>
      <c r="V13" s="329">
        <f t="shared" si="5"/>
        <v>1</v>
      </c>
      <c r="W13" s="330">
        <f t="shared" si="6"/>
        <v>0</v>
      </c>
      <c r="X13" s="331">
        <f t="shared" si="7"/>
        <v>0</v>
      </c>
      <c r="Y13" s="332">
        <f t="shared" si="8"/>
        <v>0</v>
      </c>
      <c r="Z13" s="303"/>
      <c r="AA13" s="325">
        <v>0.8</v>
      </c>
      <c r="AB13" s="326">
        <f t="shared" si="9"/>
        <v>0</v>
      </c>
      <c r="AC13" s="314"/>
      <c r="AD13" s="317">
        <f t="shared" si="10"/>
        <v>0</v>
      </c>
      <c r="AE13" s="327" t="e">
        <f t="shared" si="0"/>
        <v>#NUM!</v>
      </c>
      <c r="AF13" s="328" t="e">
        <f t="shared" si="12"/>
        <v>#NUM!</v>
      </c>
    </row>
    <row r="14" spans="1:32" ht="13.5" thickBot="1">
      <c r="A14" s="513">
        <v>10.1</v>
      </c>
      <c r="B14" s="517" t="s">
        <v>24</v>
      </c>
      <c r="C14" s="515">
        <f>'PMOC Profl Infl Adj'!K14</f>
        <v>0</v>
      </c>
      <c r="D14" s="320"/>
      <c r="E14" s="790">
        <v>0</v>
      </c>
      <c r="F14" s="791">
        <v>0</v>
      </c>
      <c r="G14" s="792">
        <f t="shared" si="1"/>
        <v>0</v>
      </c>
      <c r="H14" s="790">
        <v>0</v>
      </c>
      <c r="I14" s="791">
        <v>0</v>
      </c>
      <c r="J14" s="792">
        <f t="shared" si="2"/>
        <v>0</v>
      </c>
      <c r="K14" s="790">
        <v>0</v>
      </c>
      <c r="L14" s="791">
        <v>0</v>
      </c>
      <c r="M14" s="792">
        <f t="shared" si="3"/>
        <v>0</v>
      </c>
      <c r="N14" s="790">
        <v>0</v>
      </c>
      <c r="O14" s="791">
        <v>0</v>
      </c>
      <c r="P14" s="792">
        <f t="shared" si="4"/>
        <v>0</v>
      </c>
      <c r="Q14" s="790">
        <v>0</v>
      </c>
      <c r="R14" s="791">
        <v>0</v>
      </c>
      <c r="S14" s="792">
        <f t="shared" si="11"/>
        <v>0</v>
      </c>
      <c r="T14" s="780"/>
      <c r="U14" s="312"/>
      <c r="V14" s="329">
        <f t="shared" si="5"/>
        <v>1</v>
      </c>
      <c r="W14" s="330">
        <f t="shared" si="6"/>
        <v>0</v>
      </c>
      <c r="X14" s="331">
        <f t="shared" si="7"/>
        <v>0</v>
      </c>
      <c r="Y14" s="332">
        <f t="shared" si="8"/>
        <v>0</v>
      </c>
      <c r="Z14" s="303"/>
      <c r="AA14" s="325">
        <v>0.9</v>
      </c>
      <c r="AB14" s="326">
        <f t="shared" si="9"/>
        <v>0</v>
      </c>
      <c r="AC14" s="314"/>
      <c r="AD14" s="333">
        <f>RA_uprbnd</f>
        <v>0</v>
      </c>
      <c r="AE14" s="334" t="e">
        <f t="shared" si="0"/>
        <v>#NUM!</v>
      </c>
      <c r="AF14" s="335" t="e">
        <f>AE14-AE13</f>
        <v>#NUM!</v>
      </c>
    </row>
    <row r="15" spans="1:32" ht="13.5" thickBot="1">
      <c r="A15" s="513">
        <v>10.11</v>
      </c>
      <c r="B15" s="517" t="s">
        <v>25</v>
      </c>
      <c r="C15" s="515">
        <f>'PMOC Profl Infl Adj'!K15</f>
        <v>0</v>
      </c>
      <c r="D15" s="320"/>
      <c r="E15" s="790">
        <v>0</v>
      </c>
      <c r="F15" s="791">
        <v>0</v>
      </c>
      <c r="G15" s="792">
        <f t="shared" si="1"/>
        <v>0</v>
      </c>
      <c r="H15" s="790">
        <v>0</v>
      </c>
      <c r="I15" s="791">
        <v>0</v>
      </c>
      <c r="J15" s="792">
        <f t="shared" si="2"/>
        <v>0</v>
      </c>
      <c r="K15" s="790">
        <v>0</v>
      </c>
      <c r="L15" s="791">
        <v>0</v>
      </c>
      <c r="M15" s="792">
        <f t="shared" si="3"/>
        <v>0</v>
      </c>
      <c r="N15" s="790">
        <v>0</v>
      </c>
      <c r="O15" s="791">
        <v>0</v>
      </c>
      <c r="P15" s="792">
        <f t="shared" si="4"/>
        <v>0</v>
      </c>
      <c r="Q15" s="790">
        <v>0</v>
      </c>
      <c r="R15" s="791">
        <v>0</v>
      </c>
      <c r="S15" s="792">
        <f t="shared" si="11"/>
        <v>0</v>
      </c>
      <c r="T15" s="780"/>
      <c r="U15" s="312"/>
      <c r="V15" s="329">
        <f t="shared" si="5"/>
        <v>1</v>
      </c>
      <c r="W15" s="330">
        <f t="shared" si="6"/>
        <v>0</v>
      </c>
      <c r="X15" s="331">
        <f t="shared" si="7"/>
        <v>0</v>
      </c>
      <c r="Y15" s="332">
        <f t="shared" si="8"/>
        <v>0</v>
      </c>
      <c r="Z15" s="303"/>
      <c r="AA15" s="336">
        <v>1</v>
      </c>
      <c r="AB15" s="337">
        <f>RA_uprbnd</f>
        <v>0</v>
      </c>
      <c r="AC15" s="314"/>
      <c r="AD15" s="338"/>
      <c r="AE15" s="339"/>
      <c r="AF15" s="340"/>
    </row>
    <row r="16" spans="1:32">
      <c r="A16" s="513">
        <v>10.119999999999999</v>
      </c>
      <c r="B16" s="517" t="s">
        <v>26</v>
      </c>
      <c r="C16" s="515">
        <f>'PMOC Profl Infl Adj'!K16</f>
        <v>0</v>
      </c>
      <c r="D16" s="320"/>
      <c r="E16" s="790">
        <v>0</v>
      </c>
      <c r="F16" s="791">
        <v>0</v>
      </c>
      <c r="G16" s="792">
        <f t="shared" si="1"/>
        <v>0</v>
      </c>
      <c r="H16" s="790">
        <v>0</v>
      </c>
      <c r="I16" s="791">
        <v>0</v>
      </c>
      <c r="J16" s="792">
        <f t="shared" si="2"/>
        <v>0</v>
      </c>
      <c r="K16" s="790">
        <v>0</v>
      </c>
      <c r="L16" s="791">
        <v>0</v>
      </c>
      <c r="M16" s="792">
        <f t="shared" si="3"/>
        <v>0</v>
      </c>
      <c r="N16" s="790">
        <v>0</v>
      </c>
      <c r="O16" s="791">
        <v>0</v>
      </c>
      <c r="P16" s="792">
        <f t="shared" si="4"/>
        <v>0</v>
      </c>
      <c r="Q16" s="790">
        <v>0</v>
      </c>
      <c r="R16" s="791">
        <v>0</v>
      </c>
      <c r="S16" s="792">
        <f t="shared" si="11"/>
        <v>0</v>
      </c>
      <c r="T16" s="780"/>
      <c r="U16" s="312"/>
      <c r="V16" s="329">
        <f t="shared" si="5"/>
        <v>1</v>
      </c>
      <c r="W16" s="330">
        <f t="shared" si="6"/>
        <v>0</v>
      </c>
      <c r="X16" s="331">
        <f t="shared" si="7"/>
        <v>0</v>
      </c>
      <c r="Y16" s="332">
        <f t="shared" si="8"/>
        <v>0</v>
      </c>
      <c r="Z16" s="303"/>
      <c r="AA16" s="341"/>
      <c r="AB16" s="342"/>
      <c r="AC16" s="267"/>
      <c r="AD16" s="267"/>
      <c r="AE16" s="267"/>
      <c r="AF16" s="343"/>
    </row>
    <row r="17" spans="1:32" ht="13.5" thickBot="1">
      <c r="A17" s="513">
        <v>10.130000000000001</v>
      </c>
      <c r="B17" s="517" t="s">
        <v>27</v>
      </c>
      <c r="C17" s="516">
        <f>'PMOC Profl Infl Adj'!K17</f>
        <v>0</v>
      </c>
      <c r="D17" s="320"/>
      <c r="E17" s="793">
        <v>0</v>
      </c>
      <c r="F17" s="794">
        <v>0</v>
      </c>
      <c r="G17" s="795">
        <f t="shared" si="1"/>
        <v>0</v>
      </c>
      <c r="H17" s="793">
        <v>0</v>
      </c>
      <c r="I17" s="794">
        <v>0</v>
      </c>
      <c r="J17" s="795">
        <f t="shared" si="2"/>
        <v>0</v>
      </c>
      <c r="K17" s="793">
        <v>0</v>
      </c>
      <c r="L17" s="794">
        <v>0</v>
      </c>
      <c r="M17" s="795">
        <f t="shared" si="3"/>
        <v>0</v>
      </c>
      <c r="N17" s="793">
        <v>0</v>
      </c>
      <c r="O17" s="794">
        <v>0</v>
      </c>
      <c r="P17" s="795">
        <f t="shared" si="4"/>
        <v>0</v>
      </c>
      <c r="Q17" s="793">
        <v>0</v>
      </c>
      <c r="R17" s="794">
        <v>0</v>
      </c>
      <c r="S17" s="795">
        <f t="shared" si="11"/>
        <v>0</v>
      </c>
      <c r="T17" s="780"/>
      <c r="U17" s="312"/>
      <c r="V17" s="344">
        <f t="shared" si="5"/>
        <v>1</v>
      </c>
      <c r="W17" s="345">
        <f t="shared" si="6"/>
        <v>0</v>
      </c>
      <c r="X17" s="346">
        <f t="shared" si="7"/>
        <v>0</v>
      </c>
      <c r="Y17" s="347">
        <f t="shared" si="8"/>
        <v>0</v>
      </c>
      <c r="Z17" s="303"/>
      <c r="AA17" s="341"/>
      <c r="AB17" s="267"/>
      <c r="AC17" s="267"/>
      <c r="AD17" s="267"/>
      <c r="AE17" s="267"/>
      <c r="AF17" s="343"/>
    </row>
    <row r="18" spans="1:32" ht="13.5" thickBot="1">
      <c r="A18" s="513" t="s">
        <v>167</v>
      </c>
      <c r="B18" s="517"/>
      <c r="C18" s="307"/>
      <c r="D18" s="308"/>
      <c r="E18" s="796">
        <v>0</v>
      </c>
      <c r="F18" s="797">
        <v>0</v>
      </c>
      <c r="G18" s="798">
        <f>SUM(E18:F18)+RA_global_rqts_adj</f>
        <v>0</v>
      </c>
      <c r="H18" s="796">
        <v>0</v>
      </c>
      <c r="I18" s="797">
        <v>0</v>
      </c>
      <c r="J18" s="798">
        <f>SUM(H18:I18)+RA_global_dsgn_adj</f>
        <v>0</v>
      </c>
      <c r="K18" s="796">
        <v>0</v>
      </c>
      <c r="L18" s="797">
        <v>0</v>
      </c>
      <c r="M18" s="798">
        <f>SUM(K18:L18)+RA_global_mkt_adj</f>
        <v>0</v>
      </c>
      <c r="N18" s="796">
        <v>0</v>
      </c>
      <c r="O18" s="797">
        <v>0</v>
      </c>
      <c r="P18" s="798">
        <f>SUM(N18:O18)+RA_global_constr_adj</f>
        <v>0</v>
      </c>
      <c r="Q18" s="796">
        <v>0</v>
      </c>
      <c r="R18" s="797">
        <v>0</v>
      </c>
      <c r="S18" s="799">
        <f>SUM(Q18:R18)</f>
        <v>0</v>
      </c>
      <c r="T18" s="780"/>
      <c r="U18" s="312"/>
      <c r="V18" s="313"/>
      <c r="W18" s="314"/>
      <c r="X18" s="314"/>
      <c r="Y18" s="307"/>
      <c r="Z18" s="303"/>
      <c r="AA18" s="348">
        <f>RA_lwrrange</f>
        <v>0.4</v>
      </c>
      <c r="AB18" s="349">
        <f>IF(RA_lwrbnd,BETAINV(AA18,RA_alpha,RA_beta,RA_lwrbnd,RA_uprbnd),0)</f>
        <v>0</v>
      </c>
      <c r="AC18" s="1100" t="s">
        <v>136</v>
      </c>
      <c r="AD18" s="1100"/>
      <c r="AE18" s="1100"/>
      <c r="AF18" s="1101"/>
    </row>
    <row r="19" spans="1:32" ht="13.5" thickBot="1">
      <c r="A19" s="513">
        <v>20.010000000000002</v>
      </c>
      <c r="B19" s="517" t="s">
        <v>63</v>
      </c>
      <c r="C19" s="514">
        <f>'PMOC Profl Infl Adj'!K19</f>
        <v>0</v>
      </c>
      <c r="D19" s="320"/>
      <c r="E19" s="787">
        <v>0</v>
      </c>
      <c r="F19" s="788">
        <v>0</v>
      </c>
      <c r="G19" s="789">
        <f t="shared" si="1"/>
        <v>0</v>
      </c>
      <c r="H19" s="790">
        <v>0</v>
      </c>
      <c r="I19" s="791">
        <v>0</v>
      </c>
      <c r="J19" s="789">
        <f t="shared" si="2"/>
        <v>0</v>
      </c>
      <c r="K19" s="787">
        <v>0</v>
      </c>
      <c r="L19" s="788">
        <v>0</v>
      </c>
      <c r="M19" s="789">
        <f t="shared" si="3"/>
        <v>0</v>
      </c>
      <c r="N19" s="787">
        <v>0</v>
      </c>
      <c r="O19" s="788">
        <v>0</v>
      </c>
      <c r="P19" s="789">
        <f t="shared" si="4"/>
        <v>0</v>
      </c>
      <c r="Q19" s="787">
        <v>0</v>
      </c>
      <c r="R19" s="788">
        <v>0</v>
      </c>
      <c r="S19" s="789">
        <f t="shared" si="11"/>
        <v>0</v>
      </c>
      <c r="T19" s="780"/>
      <c r="U19" s="312"/>
      <c r="V19" s="321">
        <f t="shared" ref="V19:V25" si="13">1+SUM(G19,J19,M19,P19,S19)</f>
        <v>1</v>
      </c>
      <c r="W19" s="322">
        <f t="shared" ref="W19:W25" si="14">C19*V19</f>
        <v>0</v>
      </c>
      <c r="X19" s="323">
        <f t="shared" ref="X19:X25" si="15">IF(C19,BETAINV(0.5,RA_alpha,RA_beta,C19,W19),0)</f>
        <v>0</v>
      </c>
      <c r="Y19" s="324">
        <f t="shared" ref="Y19:Y25" si="16">((RA_alpha/(RA_alpha+RA_beta))*(W19-C19))+C19</f>
        <v>0</v>
      </c>
      <c r="Z19" s="303"/>
      <c r="AA19" s="348">
        <f>RA_contingency_percent</f>
        <v>0.65</v>
      </c>
      <c r="AB19" s="349">
        <f>IF(RA_lwrbnd,BETAINV(AA19,RA_alpha,RA_beta,RA_lwrbnd,RA_uprbnd),0)</f>
        <v>0</v>
      </c>
      <c r="AC19" s="350" t="s">
        <v>83</v>
      </c>
      <c r="AD19" s="350"/>
      <c r="AE19" s="350"/>
      <c r="AF19" s="351"/>
    </row>
    <row r="20" spans="1:32" ht="13.5" thickBot="1">
      <c r="A20" s="513">
        <v>20.02</v>
      </c>
      <c r="B20" s="517" t="s">
        <v>64</v>
      </c>
      <c r="C20" s="515">
        <f>'PMOC Profl Infl Adj'!K20</f>
        <v>0</v>
      </c>
      <c r="D20" s="320"/>
      <c r="E20" s="790">
        <v>0</v>
      </c>
      <c r="F20" s="791">
        <v>0</v>
      </c>
      <c r="G20" s="792">
        <f t="shared" si="1"/>
        <v>0</v>
      </c>
      <c r="H20" s="790">
        <v>0</v>
      </c>
      <c r="I20" s="791">
        <v>0</v>
      </c>
      <c r="J20" s="792">
        <f t="shared" si="2"/>
        <v>0</v>
      </c>
      <c r="K20" s="790">
        <v>0</v>
      </c>
      <c r="L20" s="791">
        <v>0</v>
      </c>
      <c r="M20" s="792">
        <f t="shared" si="3"/>
        <v>0</v>
      </c>
      <c r="N20" s="790">
        <v>0</v>
      </c>
      <c r="O20" s="791">
        <v>0</v>
      </c>
      <c r="P20" s="792">
        <f t="shared" si="4"/>
        <v>0</v>
      </c>
      <c r="Q20" s="790">
        <v>0</v>
      </c>
      <c r="R20" s="791">
        <v>0</v>
      </c>
      <c r="S20" s="792">
        <f t="shared" si="11"/>
        <v>0</v>
      </c>
      <c r="T20" s="780"/>
      <c r="U20" s="312"/>
      <c r="V20" s="329">
        <f t="shared" si="13"/>
        <v>1</v>
      </c>
      <c r="W20" s="330">
        <f t="shared" si="14"/>
        <v>0</v>
      </c>
      <c r="X20" s="331">
        <f t="shared" si="15"/>
        <v>0</v>
      </c>
      <c r="Y20" s="332">
        <f t="shared" si="16"/>
        <v>0</v>
      </c>
      <c r="Z20" s="303"/>
      <c r="AA20" s="348">
        <f>RA_uprrange</f>
        <v>0.8</v>
      </c>
      <c r="AB20" s="349">
        <f>IF(RA_lwrbnd,BETAINV(AA20,RA_alpha,RA_beta,RA_lwrbnd,RA_uprbnd),0)</f>
        <v>0</v>
      </c>
      <c r="AC20" s="350" t="s">
        <v>137</v>
      </c>
      <c r="AD20" s="350"/>
      <c r="AE20" s="350"/>
      <c r="AF20" s="351"/>
    </row>
    <row r="21" spans="1:32" ht="12.95" customHeight="1">
      <c r="A21" s="513">
        <v>20.03</v>
      </c>
      <c r="B21" s="517" t="s">
        <v>65</v>
      </c>
      <c r="C21" s="515">
        <f>'PMOC Profl Infl Adj'!K21</f>
        <v>0</v>
      </c>
      <c r="D21" s="320"/>
      <c r="E21" s="790">
        <v>0</v>
      </c>
      <c r="F21" s="791">
        <v>0</v>
      </c>
      <c r="G21" s="792">
        <f t="shared" si="1"/>
        <v>0</v>
      </c>
      <c r="H21" s="790">
        <v>0</v>
      </c>
      <c r="I21" s="791">
        <v>0</v>
      </c>
      <c r="J21" s="792">
        <f t="shared" si="2"/>
        <v>0</v>
      </c>
      <c r="K21" s="790">
        <v>0</v>
      </c>
      <c r="L21" s="791">
        <v>0</v>
      </c>
      <c r="M21" s="792">
        <f t="shared" si="3"/>
        <v>0</v>
      </c>
      <c r="N21" s="790">
        <v>0</v>
      </c>
      <c r="O21" s="791">
        <v>0</v>
      </c>
      <c r="P21" s="792">
        <f t="shared" si="4"/>
        <v>0</v>
      </c>
      <c r="Q21" s="790">
        <v>0</v>
      </c>
      <c r="R21" s="791">
        <v>0</v>
      </c>
      <c r="S21" s="792">
        <f t="shared" si="11"/>
        <v>0</v>
      </c>
      <c r="T21" s="780"/>
      <c r="U21" s="312"/>
      <c r="V21" s="329">
        <f t="shared" si="13"/>
        <v>1</v>
      </c>
      <c r="W21" s="330">
        <f t="shared" si="14"/>
        <v>0</v>
      </c>
      <c r="X21" s="331">
        <f t="shared" si="15"/>
        <v>0</v>
      </c>
      <c r="Y21" s="332">
        <f t="shared" si="16"/>
        <v>0</v>
      </c>
      <c r="Z21" s="303"/>
      <c r="AA21" s="352"/>
      <c r="AB21" s="353"/>
      <c r="AC21" s="353"/>
      <c r="AD21" s="353"/>
      <c r="AE21" s="353"/>
      <c r="AF21" s="354"/>
    </row>
    <row r="22" spans="1:32">
      <c r="A22" s="513">
        <v>20.04</v>
      </c>
      <c r="B22" s="517" t="s">
        <v>66</v>
      </c>
      <c r="C22" s="515">
        <f>'PMOC Profl Infl Adj'!K22</f>
        <v>0</v>
      </c>
      <c r="D22" s="320"/>
      <c r="E22" s="790">
        <v>0</v>
      </c>
      <c r="F22" s="791">
        <v>0</v>
      </c>
      <c r="G22" s="792">
        <f t="shared" si="1"/>
        <v>0</v>
      </c>
      <c r="H22" s="790">
        <v>0</v>
      </c>
      <c r="I22" s="791">
        <v>0</v>
      </c>
      <c r="J22" s="792">
        <f t="shared" si="2"/>
        <v>0</v>
      </c>
      <c r="K22" s="790">
        <v>0</v>
      </c>
      <c r="L22" s="791">
        <v>0</v>
      </c>
      <c r="M22" s="792">
        <f t="shared" si="3"/>
        <v>0</v>
      </c>
      <c r="N22" s="790">
        <v>0</v>
      </c>
      <c r="O22" s="791">
        <v>0</v>
      </c>
      <c r="P22" s="792">
        <f t="shared" si="4"/>
        <v>0</v>
      </c>
      <c r="Q22" s="790">
        <v>0</v>
      </c>
      <c r="R22" s="791">
        <v>0</v>
      </c>
      <c r="S22" s="792">
        <f t="shared" si="11"/>
        <v>0</v>
      </c>
      <c r="T22" s="780"/>
      <c r="U22" s="312"/>
      <c r="V22" s="329">
        <f t="shared" si="13"/>
        <v>1</v>
      </c>
      <c r="W22" s="330">
        <f t="shared" si="14"/>
        <v>0</v>
      </c>
      <c r="X22" s="331">
        <f t="shared" si="15"/>
        <v>0</v>
      </c>
      <c r="Y22" s="332">
        <f t="shared" si="16"/>
        <v>0</v>
      </c>
      <c r="Z22" s="303"/>
      <c r="AA22" s="352"/>
      <c r="AB22" s="353"/>
      <c r="AC22" s="353"/>
      <c r="AD22" s="353"/>
      <c r="AE22" s="353"/>
      <c r="AF22" s="354"/>
    </row>
    <row r="23" spans="1:32">
      <c r="A23" s="513">
        <v>20.05</v>
      </c>
      <c r="B23" s="517" t="s">
        <v>67</v>
      </c>
      <c r="C23" s="515">
        <f>'PMOC Profl Infl Adj'!K23</f>
        <v>0</v>
      </c>
      <c r="D23" s="320"/>
      <c r="E23" s="790">
        <v>0</v>
      </c>
      <c r="F23" s="791">
        <v>0</v>
      </c>
      <c r="G23" s="792">
        <f t="shared" si="1"/>
        <v>0</v>
      </c>
      <c r="H23" s="790">
        <v>0</v>
      </c>
      <c r="I23" s="791">
        <v>0</v>
      </c>
      <c r="J23" s="792">
        <f t="shared" si="2"/>
        <v>0</v>
      </c>
      <c r="K23" s="790">
        <v>0</v>
      </c>
      <c r="L23" s="791">
        <v>0</v>
      </c>
      <c r="M23" s="792">
        <f t="shared" si="3"/>
        <v>0</v>
      </c>
      <c r="N23" s="790">
        <v>0</v>
      </c>
      <c r="O23" s="791">
        <v>0</v>
      </c>
      <c r="P23" s="792">
        <f t="shared" si="4"/>
        <v>0</v>
      </c>
      <c r="Q23" s="790">
        <v>0</v>
      </c>
      <c r="R23" s="791">
        <v>0</v>
      </c>
      <c r="S23" s="792">
        <f t="shared" si="11"/>
        <v>0</v>
      </c>
      <c r="T23" s="780"/>
      <c r="U23" s="312"/>
      <c r="V23" s="329">
        <f t="shared" si="13"/>
        <v>1</v>
      </c>
      <c r="W23" s="330">
        <f t="shared" si="14"/>
        <v>0</v>
      </c>
      <c r="X23" s="331">
        <f t="shared" si="15"/>
        <v>0</v>
      </c>
      <c r="Y23" s="332">
        <f t="shared" si="16"/>
        <v>0</v>
      </c>
      <c r="Z23" s="303"/>
      <c r="AA23" s="355"/>
      <c r="AB23" s="353"/>
      <c r="AC23" s="353"/>
      <c r="AD23" s="353"/>
      <c r="AE23" s="353"/>
      <c r="AF23" s="354"/>
    </row>
    <row r="24" spans="1:32">
      <c r="A24" s="513">
        <v>20.059999999999999</v>
      </c>
      <c r="B24" s="517" t="s">
        <v>68</v>
      </c>
      <c r="C24" s="515">
        <f>'PMOC Profl Infl Adj'!K24</f>
        <v>0</v>
      </c>
      <c r="D24" s="320"/>
      <c r="E24" s="790">
        <v>0</v>
      </c>
      <c r="F24" s="791">
        <v>0</v>
      </c>
      <c r="G24" s="792">
        <f t="shared" si="1"/>
        <v>0</v>
      </c>
      <c r="H24" s="790">
        <v>0</v>
      </c>
      <c r="I24" s="791">
        <v>0</v>
      </c>
      <c r="J24" s="792">
        <f t="shared" si="2"/>
        <v>0</v>
      </c>
      <c r="K24" s="790">
        <v>0</v>
      </c>
      <c r="L24" s="791">
        <v>0</v>
      </c>
      <c r="M24" s="792">
        <f t="shared" si="3"/>
        <v>0</v>
      </c>
      <c r="N24" s="790">
        <v>0</v>
      </c>
      <c r="O24" s="791">
        <v>0</v>
      </c>
      <c r="P24" s="792">
        <f t="shared" si="4"/>
        <v>0</v>
      </c>
      <c r="Q24" s="790">
        <v>0</v>
      </c>
      <c r="R24" s="791">
        <v>0</v>
      </c>
      <c r="S24" s="792">
        <f t="shared" si="11"/>
        <v>0</v>
      </c>
      <c r="T24" s="780"/>
      <c r="U24" s="312"/>
      <c r="V24" s="329">
        <f t="shared" si="13"/>
        <v>1</v>
      </c>
      <c r="W24" s="330">
        <f t="shared" si="14"/>
        <v>0</v>
      </c>
      <c r="X24" s="331">
        <f t="shared" si="15"/>
        <v>0</v>
      </c>
      <c r="Y24" s="332">
        <f t="shared" si="16"/>
        <v>0</v>
      </c>
      <c r="Z24" s="303"/>
      <c r="AA24" s="355"/>
      <c r="AB24" s="353"/>
      <c r="AC24" s="353"/>
      <c r="AD24" s="353"/>
      <c r="AE24" s="353"/>
      <c r="AF24" s="354"/>
    </row>
    <row r="25" spans="1:32">
      <c r="A25" s="513">
        <v>20.07</v>
      </c>
      <c r="B25" s="517" t="s">
        <v>69</v>
      </c>
      <c r="C25" s="516">
        <f>'PMOC Profl Infl Adj'!K25</f>
        <v>0</v>
      </c>
      <c r="D25" s="320"/>
      <c r="E25" s="793">
        <v>0</v>
      </c>
      <c r="F25" s="794">
        <v>0</v>
      </c>
      <c r="G25" s="795">
        <f t="shared" si="1"/>
        <v>0</v>
      </c>
      <c r="H25" s="793">
        <v>0</v>
      </c>
      <c r="I25" s="794">
        <v>0</v>
      </c>
      <c r="J25" s="795">
        <f t="shared" si="2"/>
        <v>0</v>
      </c>
      <c r="K25" s="793">
        <v>0</v>
      </c>
      <c r="L25" s="794">
        <v>0</v>
      </c>
      <c r="M25" s="795">
        <f t="shared" si="3"/>
        <v>0</v>
      </c>
      <c r="N25" s="793">
        <v>0</v>
      </c>
      <c r="O25" s="794">
        <v>0</v>
      </c>
      <c r="P25" s="795">
        <f t="shared" si="4"/>
        <v>0</v>
      </c>
      <c r="Q25" s="793">
        <v>0</v>
      </c>
      <c r="R25" s="794">
        <v>0</v>
      </c>
      <c r="S25" s="795">
        <f t="shared" si="11"/>
        <v>0</v>
      </c>
      <c r="T25" s="780"/>
      <c r="U25" s="312"/>
      <c r="V25" s="344">
        <f t="shared" si="13"/>
        <v>1</v>
      </c>
      <c r="W25" s="345">
        <f t="shared" si="14"/>
        <v>0</v>
      </c>
      <c r="X25" s="346">
        <f t="shared" si="15"/>
        <v>0</v>
      </c>
      <c r="Y25" s="347">
        <f t="shared" si="16"/>
        <v>0</v>
      </c>
      <c r="Z25" s="303"/>
      <c r="AA25" s="355"/>
      <c r="AB25" s="353"/>
      <c r="AC25" s="353"/>
      <c r="AD25" s="353"/>
      <c r="AE25" s="353"/>
      <c r="AF25" s="354"/>
    </row>
    <row r="26" spans="1:32">
      <c r="A26" s="513" t="s">
        <v>168</v>
      </c>
      <c r="B26" s="517"/>
      <c r="C26" s="307"/>
      <c r="D26" s="308"/>
      <c r="E26" s="796">
        <v>0</v>
      </c>
      <c r="F26" s="797">
        <v>0</v>
      </c>
      <c r="G26" s="798">
        <f>SUM(E26:F26)+RA_global_rqts_adj</f>
        <v>0</v>
      </c>
      <c r="H26" s="796">
        <v>0</v>
      </c>
      <c r="I26" s="797">
        <v>0</v>
      </c>
      <c r="J26" s="798">
        <f>SUM(H26:I26)+RA_global_dsgn_adj</f>
        <v>0</v>
      </c>
      <c r="K26" s="796">
        <v>0</v>
      </c>
      <c r="L26" s="797">
        <v>0</v>
      </c>
      <c r="M26" s="798">
        <f>SUM(K26:L26)+RA_global_mkt_adj</f>
        <v>0</v>
      </c>
      <c r="N26" s="796">
        <v>0</v>
      </c>
      <c r="O26" s="797">
        <v>0</v>
      </c>
      <c r="P26" s="798">
        <f>SUM(N26:O26)+RA_global_constr_adj</f>
        <v>0</v>
      </c>
      <c r="Q26" s="796">
        <v>0</v>
      </c>
      <c r="R26" s="797">
        <v>0</v>
      </c>
      <c r="S26" s="799">
        <f>SUM(Q26:R26)</f>
        <v>0</v>
      </c>
      <c r="T26" s="780"/>
      <c r="U26" s="312"/>
      <c r="V26" s="313"/>
      <c r="W26" s="314"/>
      <c r="X26" s="314"/>
      <c r="Y26" s="307"/>
      <c r="Z26" s="303"/>
      <c r="AA26" s="355"/>
      <c r="AB26" s="353"/>
      <c r="AC26" s="353"/>
      <c r="AD26" s="353"/>
      <c r="AE26" s="353"/>
      <c r="AF26" s="354"/>
    </row>
    <row r="27" spans="1:32">
      <c r="A27" s="513">
        <v>30.01</v>
      </c>
      <c r="B27" s="517" t="s">
        <v>28</v>
      </c>
      <c r="C27" s="514">
        <f>'PMOC Profl Infl Adj'!K27</f>
        <v>0</v>
      </c>
      <c r="D27" s="320"/>
      <c r="E27" s="787">
        <v>0</v>
      </c>
      <c r="F27" s="788">
        <v>0</v>
      </c>
      <c r="G27" s="789">
        <f t="shared" si="1"/>
        <v>0</v>
      </c>
      <c r="H27" s="787">
        <v>0</v>
      </c>
      <c r="I27" s="788">
        <v>0</v>
      </c>
      <c r="J27" s="789">
        <f t="shared" si="2"/>
        <v>0</v>
      </c>
      <c r="K27" s="787">
        <v>0</v>
      </c>
      <c r="L27" s="788">
        <v>0</v>
      </c>
      <c r="M27" s="789">
        <f t="shared" si="3"/>
        <v>0</v>
      </c>
      <c r="N27" s="787">
        <v>0</v>
      </c>
      <c r="O27" s="788">
        <v>0</v>
      </c>
      <c r="P27" s="789">
        <f t="shared" si="4"/>
        <v>0</v>
      </c>
      <c r="Q27" s="787">
        <v>0</v>
      </c>
      <c r="R27" s="788">
        <v>0</v>
      </c>
      <c r="S27" s="789">
        <f t="shared" si="11"/>
        <v>0</v>
      </c>
      <c r="T27" s="780"/>
      <c r="U27" s="312"/>
      <c r="V27" s="321">
        <f>1+SUM(G27,J27,M27,P27,S27)</f>
        <v>1</v>
      </c>
      <c r="W27" s="322">
        <f>C27*V27</f>
        <v>0</v>
      </c>
      <c r="X27" s="323">
        <f>IF(C27,BETAINV(0.5,RA_alpha,RA_beta,C27,W27),0)</f>
        <v>0</v>
      </c>
      <c r="Y27" s="324">
        <f>((RA_alpha/(RA_alpha+RA_beta))*(W27-C27))+C27</f>
        <v>0</v>
      </c>
      <c r="Z27" s="303"/>
      <c r="AA27" s="355"/>
      <c r="AB27" s="353"/>
      <c r="AC27" s="353"/>
      <c r="AD27" s="353"/>
      <c r="AE27" s="353"/>
      <c r="AF27" s="354"/>
    </row>
    <row r="28" spans="1:32">
      <c r="A28" s="513">
        <v>30.02</v>
      </c>
      <c r="B28" s="517" t="s">
        <v>29</v>
      </c>
      <c r="C28" s="515">
        <f>'PMOC Profl Infl Adj'!K28</f>
        <v>0</v>
      </c>
      <c r="D28" s="320"/>
      <c r="E28" s="790">
        <v>0</v>
      </c>
      <c r="F28" s="791">
        <v>0</v>
      </c>
      <c r="G28" s="792">
        <f t="shared" si="1"/>
        <v>0</v>
      </c>
      <c r="H28" s="790">
        <v>0</v>
      </c>
      <c r="I28" s="791">
        <v>0</v>
      </c>
      <c r="J28" s="792">
        <f t="shared" si="2"/>
        <v>0</v>
      </c>
      <c r="K28" s="790">
        <v>0</v>
      </c>
      <c r="L28" s="791">
        <v>0</v>
      </c>
      <c r="M28" s="792">
        <f t="shared" si="3"/>
        <v>0</v>
      </c>
      <c r="N28" s="790">
        <v>0</v>
      </c>
      <c r="O28" s="791">
        <v>0</v>
      </c>
      <c r="P28" s="792">
        <f t="shared" si="4"/>
        <v>0</v>
      </c>
      <c r="Q28" s="790">
        <v>0</v>
      </c>
      <c r="R28" s="791">
        <v>0</v>
      </c>
      <c r="S28" s="792">
        <f t="shared" si="11"/>
        <v>0</v>
      </c>
      <c r="T28" s="780"/>
      <c r="U28" s="312"/>
      <c r="V28" s="329">
        <f>1+SUM(G28,J28,M28,P28,S28)</f>
        <v>1</v>
      </c>
      <c r="W28" s="330">
        <f>C28*V28</f>
        <v>0</v>
      </c>
      <c r="X28" s="331">
        <f>IF(C28,BETAINV(0.5,RA_alpha,RA_beta,C28,W28),0)</f>
        <v>0</v>
      </c>
      <c r="Y28" s="332">
        <f>((RA_alpha/(RA_alpha+RA_beta))*(W28-C28))+C28</f>
        <v>0</v>
      </c>
      <c r="Z28" s="303"/>
      <c r="AA28" s="355"/>
      <c r="AB28" s="353"/>
      <c r="AC28" s="353"/>
      <c r="AD28" s="353"/>
      <c r="AE28" s="353"/>
      <c r="AF28" s="354"/>
    </row>
    <row r="29" spans="1:32">
      <c r="A29" s="513">
        <v>30.03</v>
      </c>
      <c r="B29" s="517" t="s">
        <v>30</v>
      </c>
      <c r="C29" s="515">
        <f>'PMOC Profl Infl Adj'!K29</f>
        <v>0</v>
      </c>
      <c r="D29" s="320"/>
      <c r="E29" s="790">
        <v>0</v>
      </c>
      <c r="F29" s="791">
        <v>0</v>
      </c>
      <c r="G29" s="792">
        <f t="shared" si="1"/>
        <v>0</v>
      </c>
      <c r="H29" s="790">
        <v>0</v>
      </c>
      <c r="I29" s="791">
        <v>0</v>
      </c>
      <c r="J29" s="792">
        <f t="shared" si="2"/>
        <v>0</v>
      </c>
      <c r="K29" s="790">
        <v>0</v>
      </c>
      <c r="L29" s="791">
        <v>0</v>
      </c>
      <c r="M29" s="792">
        <f t="shared" si="3"/>
        <v>0</v>
      </c>
      <c r="N29" s="790">
        <v>0</v>
      </c>
      <c r="O29" s="791">
        <v>0</v>
      </c>
      <c r="P29" s="792">
        <f t="shared" si="4"/>
        <v>0</v>
      </c>
      <c r="Q29" s="790">
        <v>0</v>
      </c>
      <c r="R29" s="791">
        <v>0</v>
      </c>
      <c r="S29" s="792">
        <f t="shared" si="11"/>
        <v>0</v>
      </c>
      <c r="T29" s="780"/>
      <c r="U29" s="312"/>
      <c r="V29" s="329">
        <f>1+SUM(G29,J29,M29,P29,S29)</f>
        <v>1</v>
      </c>
      <c r="W29" s="330">
        <f>C29*V29</f>
        <v>0</v>
      </c>
      <c r="X29" s="331">
        <f>IF(C29,BETAINV(0.5,RA_alpha,RA_beta,C29,W29),0)</f>
        <v>0</v>
      </c>
      <c r="Y29" s="332">
        <f>((RA_alpha/(RA_alpha+RA_beta))*(W29-C29))+C29</f>
        <v>0</v>
      </c>
      <c r="Z29" s="303"/>
      <c r="AA29" s="355"/>
      <c r="AB29" s="353"/>
      <c r="AC29" s="353"/>
      <c r="AD29" s="353"/>
      <c r="AE29" s="353"/>
      <c r="AF29" s="354"/>
    </row>
    <row r="30" spans="1:32">
      <c r="A30" s="513">
        <v>30.04</v>
      </c>
      <c r="B30" s="517" t="s">
        <v>31</v>
      </c>
      <c r="C30" s="515">
        <f>'PMOC Profl Infl Adj'!K30</f>
        <v>0</v>
      </c>
      <c r="D30" s="320"/>
      <c r="E30" s="790">
        <v>0</v>
      </c>
      <c r="F30" s="791">
        <v>0</v>
      </c>
      <c r="G30" s="792">
        <f t="shared" si="1"/>
        <v>0</v>
      </c>
      <c r="H30" s="790">
        <v>0</v>
      </c>
      <c r="I30" s="791">
        <v>0</v>
      </c>
      <c r="J30" s="792">
        <f t="shared" si="2"/>
        <v>0</v>
      </c>
      <c r="K30" s="790">
        <v>0</v>
      </c>
      <c r="L30" s="791">
        <v>0</v>
      </c>
      <c r="M30" s="792">
        <f t="shared" si="3"/>
        <v>0</v>
      </c>
      <c r="N30" s="790">
        <v>0</v>
      </c>
      <c r="O30" s="791">
        <v>0</v>
      </c>
      <c r="P30" s="792">
        <f t="shared" si="4"/>
        <v>0</v>
      </c>
      <c r="Q30" s="790">
        <v>0</v>
      </c>
      <c r="R30" s="791">
        <v>0</v>
      </c>
      <c r="S30" s="792">
        <f t="shared" si="11"/>
        <v>0</v>
      </c>
      <c r="T30" s="780"/>
      <c r="U30" s="312"/>
      <c r="V30" s="329">
        <f>1+SUM(G30,J30,M30,P30,S30)</f>
        <v>1</v>
      </c>
      <c r="W30" s="330">
        <f>C30*V30</f>
        <v>0</v>
      </c>
      <c r="X30" s="331">
        <f>IF(C30,BETAINV(0.5,RA_alpha,RA_beta,C30,W30),0)</f>
        <v>0</v>
      </c>
      <c r="Y30" s="332">
        <f>((RA_alpha/(RA_alpha+RA_beta))*(W30-C30))+C30</f>
        <v>0</v>
      </c>
      <c r="Z30" s="303"/>
      <c r="AA30" s="355"/>
      <c r="AB30" s="353"/>
      <c r="AC30" s="353"/>
      <c r="AD30" s="353"/>
      <c r="AE30" s="353"/>
      <c r="AF30" s="354"/>
    </row>
    <row r="31" spans="1:32">
      <c r="A31" s="513">
        <v>30.05</v>
      </c>
      <c r="B31" s="517" t="s">
        <v>32</v>
      </c>
      <c r="C31" s="516">
        <f>'PMOC Profl Infl Adj'!K31</f>
        <v>0</v>
      </c>
      <c r="D31" s="320"/>
      <c r="E31" s="793">
        <v>0</v>
      </c>
      <c r="F31" s="794">
        <v>0</v>
      </c>
      <c r="G31" s="795">
        <f t="shared" si="1"/>
        <v>0</v>
      </c>
      <c r="H31" s="793">
        <v>0</v>
      </c>
      <c r="I31" s="794">
        <v>0</v>
      </c>
      <c r="J31" s="795">
        <f t="shared" si="2"/>
        <v>0</v>
      </c>
      <c r="K31" s="793">
        <v>0</v>
      </c>
      <c r="L31" s="794">
        <v>0</v>
      </c>
      <c r="M31" s="795">
        <f t="shared" si="3"/>
        <v>0</v>
      </c>
      <c r="N31" s="793">
        <v>0</v>
      </c>
      <c r="O31" s="794">
        <v>0</v>
      </c>
      <c r="P31" s="795">
        <f t="shared" si="4"/>
        <v>0</v>
      </c>
      <c r="Q31" s="793">
        <v>0</v>
      </c>
      <c r="R31" s="794">
        <v>0</v>
      </c>
      <c r="S31" s="795">
        <f t="shared" si="11"/>
        <v>0</v>
      </c>
      <c r="T31" s="780"/>
      <c r="U31" s="312"/>
      <c r="V31" s="344">
        <f>1+SUM(G31,J31,M31,P31,S31)</f>
        <v>1</v>
      </c>
      <c r="W31" s="345">
        <f>C31*V31</f>
        <v>0</v>
      </c>
      <c r="X31" s="346">
        <f>IF(C31,BETAINV(0.5,RA_alpha,RA_beta,C31,W31),0)</f>
        <v>0</v>
      </c>
      <c r="Y31" s="347">
        <f>((RA_alpha/(RA_alpha+RA_beta))*(W31-C31))+C31</f>
        <v>0</v>
      </c>
      <c r="Z31" s="303"/>
      <c r="AA31" s="355"/>
      <c r="AB31" s="353"/>
      <c r="AC31" s="353"/>
      <c r="AD31" s="353"/>
      <c r="AE31" s="353"/>
      <c r="AF31" s="354"/>
    </row>
    <row r="32" spans="1:32">
      <c r="A32" s="513" t="s">
        <v>169</v>
      </c>
      <c r="B32" s="517"/>
      <c r="C32" s="1018"/>
      <c r="D32" s="308"/>
      <c r="E32" s="796">
        <v>0</v>
      </c>
      <c r="F32" s="797">
        <v>0</v>
      </c>
      <c r="G32" s="798">
        <f>SUM(E32:F32)+RA_global_rqts_adj</f>
        <v>0</v>
      </c>
      <c r="H32" s="796">
        <v>0</v>
      </c>
      <c r="I32" s="797">
        <v>0</v>
      </c>
      <c r="J32" s="798">
        <f>SUM(H32:I32)+RA_global_dsgn_adj</f>
        <v>0</v>
      </c>
      <c r="K32" s="796">
        <v>0</v>
      </c>
      <c r="L32" s="797">
        <v>0</v>
      </c>
      <c r="M32" s="798">
        <f>SUM(K32:L32)+RA_global_mkt_adj</f>
        <v>0</v>
      </c>
      <c r="N32" s="796">
        <v>0</v>
      </c>
      <c r="O32" s="797">
        <v>0</v>
      </c>
      <c r="P32" s="798">
        <f>SUM(N32:O32)+RA_global_constr_adj</f>
        <v>0</v>
      </c>
      <c r="Q32" s="796">
        <v>0</v>
      </c>
      <c r="R32" s="797">
        <v>0</v>
      </c>
      <c r="S32" s="799">
        <f>SUM(Q32:R32)</f>
        <v>0</v>
      </c>
      <c r="T32" s="780"/>
      <c r="U32" s="312"/>
      <c r="V32" s="313"/>
      <c r="W32" s="314"/>
      <c r="X32" s="314"/>
      <c r="Y32" s="307"/>
      <c r="Z32" s="303"/>
      <c r="AA32" s="355"/>
      <c r="AB32" s="353"/>
      <c r="AC32" s="353"/>
      <c r="AD32" s="353"/>
      <c r="AE32" s="353"/>
      <c r="AF32" s="354"/>
    </row>
    <row r="33" spans="1:32">
      <c r="A33" s="513">
        <v>40.01</v>
      </c>
      <c r="B33" s="517" t="s">
        <v>33</v>
      </c>
      <c r="C33" s="514">
        <f>'PMOC Profl Infl Adj'!K33</f>
        <v>0</v>
      </c>
      <c r="D33" s="320"/>
      <c r="E33" s="787">
        <v>0</v>
      </c>
      <c r="F33" s="788">
        <v>0</v>
      </c>
      <c r="G33" s="789">
        <f t="shared" si="1"/>
        <v>0</v>
      </c>
      <c r="H33" s="787">
        <v>0</v>
      </c>
      <c r="I33" s="788">
        <v>0</v>
      </c>
      <c r="J33" s="789">
        <f t="shared" si="2"/>
        <v>0</v>
      </c>
      <c r="K33" s="787">
        <v>0</v>
      </c>
      <c r="L33" s="788">
        <v>0</v>
      </c>
      <c r="M33" s="789">
        <f t="shared" si="3"/>
        <v>0</v>
      </c>
      <c r="N33" s="787">
        <v>0</v>
      </c>
      <c r="O33" s="788">
        <v>0</v>
      </c>
      <c r="P33" s="789">
        <f t="shared" si="4"/>
        <v>0</v>
      </c>
      <c r="Q33" s="787">
        <v>0</v>
      </c>
      <c r="R33" s="788">
        <v>0</v>
      </c>
      <c r="S33" s="789">
        <f t="shared" si="11"/>
        <v>0</v>
      </c>
      <c r="T33" s="780"/>
      <c r="U33" s="312"/>
      <c r="V33" s="321">
        <f t="shared" ref="V33:V40" si="17">1+SUM(G33,J33,M33,P33,S33)</f>
        <v>1</v>
      </c>
      <c r="W33" s="322">
        <f t="shared" ref="W33:W40" si="18">C33*V33</f>
        <v>0</v>
      </c>
      <c r="X33" s="323">
        <f t="shared" ref="X33:X40" si="19">IF(C33,BETAINV(0.5,RA_alpha,RA_beta,C33,W33),0)</f>
        <v>0</v>
      </c>
      <c r="Y33" s="324">
        <f t="shared" ref="Y33:Y40" si="20">((RA_alpha/(RA_alpha+RA_beta))*(W33-C33))+C33</f>
        <v>0</v>
      </c>
      <c r="Z33" s="303"/>
      <c r="AA33" s="355"/>
      <c r="AB33" s="353"/>
      <c r="AC33" s="353"/>
      <c r="AD33" s="353"/>
      <c r="AE33" s="353"/>
      <c r="AF33" s="354"/>
    </row>
    <row r="34" spans="1:32">
      <c r="A34" s="513">
        <v>40.020000000000003</v>
      </c>
      <c r="B34" s="517" t="s">
        <v>34</v>
      </c>
      <c r="C34" s="515">
        <f>'PMOC Profl Infl Adj'!K34</f>
        <v>0</v>
      </c>
      <c r="D34" s="320"/>
      <c r="E34" s="790">
        <v>0</v>
      </c>
      <c r="F34" s="791">
        <v>0</v>
      </c>
      <c r="G34" s="792">
        <f t="shared" si="1"/>
        <v>0</v>
      </c>
      <c r="H34" s="790">
        <v>0</v>
      </c>
      <c r="I34" s="791">
        <v>0</v>
      </c>
      <c r="J34" s="792">
        <f t="shared" si="2"/>
        <v>0</v>
      </c>
      <c r="K34" s="790">
        <v>0</v>
      </c>
      <c r="L34" s="791">
        <v>0</v>
      </c>
      <c r="M34" s="792">
        <f t="shared" si="3"/>
        <v>0</v>
      </c>
      <c r="N34" s="790">
        <v>0</v>
      </c>
      <c r="O34" s="791">
        <v>0</v>
      </c>
      <c r="P34" s="792">
        <f t="shared" si="4"/>
        <v>0</v>
      </c>
      <c r="Q34" s="790">
        <v>0</v>
      </c>
      <c r="R34" s="791">
        <v>0</v>
      </c>
      <c r="S34" s="792">
        <f t="shared" si="11"/>
        <v>0</v>
      </c>
      <c r="T34" s="780"/>
      <c r="U34" s="312"/>
      <c r="V34" s="329">
        <f t="shared" si="17"/>
        <v>1</v>
      </c>
      <c r="W34" s="330">
        <f t="shared" si="18"/>
        <v>0</v>
      </c>
      <c r="X34" s="331">
        <f t="shared" si="19"/>
        <v>0</v>
      </c>
      <c r="Y34" s="332">
        <f t="shared" si="20"/>
        <v>0</v>
      </c>
      <c r="Z34" s="303"/>
      <c r="AA34" s="355"/>
      <c r="AB34" s="353"/>
      <c r="AC34" s="353"/>
      <c r="AD34" s="353"/>
      <c r="AE34" s="353"/>
      <c r="AF34" s="354"/>
    </row>
    <row r="35" spans="1:32">
      <c r="A35" s="513">
        <v>40.03</v>
      </c>
      <c r="B35" s="517" t="s">
        <v>35</v>
      </c>
      <c r="C35" s="515">
        <f>'PMOC Profl Infl Adj'!K35</f>
        <v>0</v>
      </c>
      <c r="D35" s="320"/>
      <c r="E35" s="790">
        <v>0</v>
      </c>
      <c r="F35" s="791">
        <v>0</v>
      </c>
      <c r="G35" s="792">
        <f t="shared" si="1"/>
        <v>0</v>
      </c>
      <c r="H35" s="790">
        <v>0</v>
      </c>
      <c r="I35" s="791">
        <v>0</v>
      </c>
      <c r="J35" s="792">
        <f t="shared" si="2"/>
        <v>0</v>
      </c>
      <c r="K35" s="790">
        <v>0</v>
      </c>
      <c r="L35" s="791">
        <v>0</v>
      </c>
      <c r="M35" s="792">
        <f t="shared" si="3"/>
        <v>0</v>
      </c>
      <c r="N35" s="790">
        <v>0</v>
      </c>
      <c r="O35" s="791">
        <v>0</v>
      </c>
      <c r="P35" s="792">
        <f t="shared" si="4"/>
        <v>0</v>
      </c>
      <c r="Q35" s="790">
        <v>0</v>
      </c>
      <c r="R35" s="791">
        <v>0</v>
      </c>
      <c r="S35" s="792">
        <f t="shared" si="11"/>
        <v>0</v>
      </c>
      <c r="T35" s="780"/>
      <c r="U35" s="312"/>
      <c r="V35" s="329">
        <f t="shared" si="17"/>
        <v>1</v>
      </c>
      <c r="W35" s="330">
        <f t="shared" si="18"/>
        <v>0</v>
      </c>
      <c r="X35" s="331">
        <f t="shared" si="19"/>
        <v>0</v>
      </c>
      <c r="Y35" s="332">
        <f t="shared" si="20"/>
        <v>0</v>
      </c>
      <c r="Z35" s="303"/>
      <c r="AA35" s="355"/>
      <c r="AB35" s="353"/>
      <c r="AC35" s="353"/>
      <c r="AD35" s="353"/>
      <c r="AE35" s="353"/>
      <c r="AF35" s="354"/>
    </row>
    <row r="36" spans="1:32">
      <c r="A36" s="513">
        <v>40.04</v>
      </c>
      <c r="B36" s="517" t="s">
        <v>36</v>
      </c>
      <c r="C36" s="515">
        <f>'PMOC Profl Infl Adj'!K36</f>
        <v>0</v>
      </c>
      <c r="D36" s="320"/>
      <c r="E36" s="790">
        <v>0</v>
      </c>
      <c r="F36" s="791">
        <v>0</v>
      </c>
      <c r="G36" s="792">
        <f t="shared" si="1"/>
        <v>0</v>
      </c>
      <c r="H36" s="790">
        <v>0</v>
      </c>
      <c r="I36" s="791">
        <v>0</v>
      </c>
      <c r="J36" s="792">
        <f t="shared" si="2"/>
        <v>0</v>
      </c>
      <c r="K36" s="790">
        <v>0</v>
      </c>
      <c r="L36" s="791">
        <v>0</v>
      </c>
      <c r="M36" s="792">
        <f t="shared" si="3"/>
        <v>0</v>
      </c>
      <c r="N36" s="790">
        <v>0</v>
      </c>
      <c r="O36" s="791">
        <v>0</v>
      </c>
      <c r="P36" s="792">
        <f t="shared" si="4"/>
        <v>0</v>
      </c>
      <c r="Q36" s="790">
        <v>0</v>
      </c>
      <c r="R36" s="791">
        <v>0</v>
      </c>
      <c r="S36" s="792">
        <f t="shared" si="11"/>
        <v>0</v>
      </c>
      <c r="T36" s="780"/>
      <c r="U36" s="312"/>
      <c r="V36" s="329">
        <f t="shared" si="17"/>
        <v>1</v>
      </c>
      <c r="W36" s="330">
        <f t="shared" si="18"/>
        <v>0</v>
      </c>
      <c r="X36" s="331">
        <f t="shared" si="19"/>
        <v>0</v>
      </c>
      <c r="Y36" s="332">
        <f t="shared" si="20"/>
        <v>0</v>
      </c>
      <c r="Z36" s="303"/>
      <c r="AA36" s="355"/>
      <c r="AB36" s="353"/>
      <c r="AC36" s="353"/>
      <c r="AD36" s="353"/>
      <c r="AE36" s="353"/>
      <c r="AF36" s="354"/>
    </row>
    <row r="37" spans="1:32">
      <c r="A37" s="513">
        <v>40.049999999999997</v>
      </c>
      <c r="B37" s="517" t="s">
        <v>37</v>
      </c>
      <c r="C37" s="515">
        <f>'PMOC Profl Infl Adj'!K37</f>
        <v>0</v>
      </c>
      <c r="D37" s="320"/>
      <c r="E37" s="790">
        <v>0</v>
      </c>
      <c r="F37" s="791">
        <v>0</v>
      </c>
      <c r="G37" s="792">
        <f t="shared" si="1"/>
        <v>0</v>
      </c>
      <c r="H37" s="790">
        <v>0</v>
      </c>
      <c r="I37" s="791">
        <v>0</v>
      </c>
      <c r="J37" s="792">
        <f t="shared" si="2"/>
        <v>0</v>
      </c>
      <c r="K37" s="790">
        <v>0</v>
      </c>
      <c r="L37" s="791">
        <v>0</v>
      </c>
      <c r="M37" s="792">
        <f t="shared" si="3"/>
        <v>0</v>
      </c>
      <c r="N37" s="790">
        <v>0</v>
      </c>
      <c r="O37" s="791">
        <v>0</v>
      </c>
      <c r="P37" s="792">
        <f t="shared" si="4"/>
        <v>0</v>
      </c>
      <c r="Q37" s="790">
        <v>0</v>
      </c>
      <c r="R37" s="791">
        <v>0</v>
      </c>
      <c r="S37" s="792">
        <f t="shared" si="11"/>
        <v>0</v>
      </c>
      <c r="T37" s="780"/>
      <c r="U37" s="312"/>
      <c r="V37" s="329">
        <f t="shared" si="17"/>
        <v>1</v>
      </c>
      <c r="W37" s="330">
        <f t="shared" si="18"/>
        <v>0</v>
      </c>
      <c r="X37" s="331">
        <f t="shared" si="19"/>
        <v>0</v>
      </c>
      <c r="Y37" s="332">
        <f t="shared" si="20"/>
        <v>0</v>
      </c>
      <c r="Z37" s="303"/>
      <c r="AA37" s="355"/>
      <c r="AB37" s="353"/>
      <c r="AC37" s="353"/>
      <c r="AD37" s="353"/>
      <c r="AE37" s="353"/>
      <c r="AF37" s="354"/>
    </row>
    <row r="38" spans="1:32">
      <c r="A38" s="513">
        <v>40.06</v>
      </c>
      <c r="B38" s="517" t="s">
        <v>38</v>
      </c>
      <c r="C38" s="515">
        <f>'PMOC Profl Infl Adj'!K38</f>
        <v>0</v>
      </c>
      <c r="D38" s="320"/>
      <c r="E38" s="790">
        <v>0</v>
      </c>
      <c r="F38" s="791">
        <v>0</v>
      </c>
      <c r="G38" s="792">
        <f t="shared" si="1"/>
        <v>0</v>
      </c>
      <c r="H38" s="790">
        <v>0</v>
      </c>
      <c r="I38" s="791">
        <v>0</v>
      </c>
      <c r="J38" s="792">
        <f t="shared" si="2"/>
        <v>0</v>
      </c>
      <c r="K38" s="790">
        <v>0</v>
      </c>
      <c r="L38" s="791">
        <v>0</v>
      </c>
      <c r="M38" s="792">
        <f t="shared" si="3"/>
        <v>0</v>
      </c>
      <c r="N38" s="790">
        <v>0</v>
      </c>
      <c r="O38" s="791">
        <v>0</v>
      </c>
      <c r="P38" s="792">
        <f t="shared" si="4"/>
        <v>0</v>
      </c>
      <c r="Q38" s="790">
        <v>0</v>
      </c>
      <c r="R38" s="791">
        <v>0</v>
      </c>
      <c r="S38" s="792">
        <f t="shared" si="11"/>
        <v>0</v>
      </c>
      <c r="T38" s="780"/>
      <c r="U38" s="312"/>
      <c r="V38" s="329">
        <f t="shared" si="17"/>
        <v>1</v>
      </c>
      <c r="W38" s="330">
        <f t="shared" si="18"/>
        <v>0</v>
      </c>
      <c r="X38" s="331">
        <f t="shared" si="19"/>
        <v>0</v>
      </c>
      <c r="Y38" s="332">
        <f t="shared" si="20"/>
        <v>0</v>
      </c>
      <c r="Z38" s="303"/>
      <c r="AA38" s="355"/>
      <c r="AB38" s="353"/>
      <c r="AC38" s="353"/>
      <c r="AD38" s="353"/>
      <c r="AE38" s="353"/>
      <c r="AF38" s="354"/>
    </row>
    <row r="39" spans="1:32">
      <c r="A39" s="513">
        <v>40.07</v>
      </c>
      <c r="B39" s="517" t="s">
        <v>39</v>
      </c>
      <c r="C39" s="515">
        <f>'PMOC Profl Infl Adj'!K39</f>
        <v>0</v>
      </c>
      <c r="D39" s="320"/>
      <c r="E39" s="790">
        <v>0</v>
      </c>
      <c r="F39" s="791">
        <v>0</v>
      </c>
      <c r="G39" s="792">
        <f t="shared" si="1"/>
        <v>0</v>
      </c>
      <c r="H39" s="790">
        <v>0</v>
      </c>
      <c r="I39" s="791">
        <v>0</v>
      </c>
      <c r="J39" s="792">
        <f t="shared" si="2"/>
        <v>0</v>
      </c>
      <c r="K39" s="790">
        <v>0</v>
      </c>
      <c r="L39" s="791">
        <v>0</v>
      </c>
      <c r="M39" s="792">
        <f t="shared" si="3"/>
        <v>0</v>
      </c>
      <c r="N39" s="790">
        <v>0</v>
      </c>
      <c r="O39" s="791">
        <v>0</v>
      </c>
      <c r="P39" s="792">
        <f t="shared" si="4"/>
        <v>0</v>
      </c>
      <c r="Q39" s="790">
        <v>0</v>
      </c>
      <c r="R39" s="791">
        <v>0</v>
      </c>
      <c r="S39" s="792">
        <f t="shared" si="11"/>
        <v>0</v>
      </c>
      <c r="T39" s="780"/>
      <c r="U39" s="312"/>
      <c r="V39" s="329">
        <f t="shared" si="17"/>
        <v>1</v>
      </c>
      <c r="W39" s="330">
        <f t="shared" si="18"/>
        <v>0</v>
      </c>
      <c r="X39" s="331">
        <f t="shared" si="19"/>
        <v>0</v>
      </c>
      <c r="Y39" s="332">
        <f t="shared" si="20"/>
        <v>0</v>
      </c>
      <c r="Z39" s="303"/>
      <c r="AA39" s="355"/>
      <c r="AB39" s="353"/>
      <c r="AC39" s="353"/>
      <c r="AD39" s="353"/>
      <c r="AE39" s="353"/>
      <c r="AF39" s="354"/>
    </row>
    <row r="40" spans="1:32">
      <c r="A40" s="513">
        <v>40.08</v>
      </c>
      <c r="B40" s="517" t="s">
        <v>40</v>
      </c>
      <c r="C40" s="516">
        <f>'PMOC Profl Infl Adj'!K40</f>
        <v>0</v>
      </c>
      <c r="D40" s="320"/>
      <c r="E40" s="793">
        <v>0</v>
      </c>
      <c r="F40" s="794">
        <v>0</v>
      </c>
      <c r="G40" s="795">
        <f t="shared" si="1"/>
        <v>0</v>
      </c>
      <c r="H40" s="793">
        <v>0</v>
      </c>
      <c r="I40" s="794">
        <v>0</v>
      </c>
      <c r="J40" s="795">
        <f t="shared" si="2"/>
        <v>0</v>
      </c>
      <c r="K40" s="793">
        <v>0</v>
      </c>
      <c r="L40" s="794">
        <v>0</v>
      </c>
      <c r="M40" s="795">
        <f t="shared" si="3"/>
        <v>0</v>
      </c>
      <c r="N40" s="790">
        <v>0</v>
      </c>
      <c r="O40" s="791">
        <v>0</v>
      </c>
      <c r="P40" s="795">
        <f t="shared" si="4"/>
        <v>0</v>
      </c>
      <c r="Q40" s="790">
        <v>0</v>
      </c>
      <c r="R40" s="791">
        <v>0</v>
      </c>
      <c r="S40" s="795">
        <f t="shared" si="11"/>
        <v>0</v>
      </c>
      <c r="T40" s="780"/>
      <c r="U40" s="312"/>
      <c r="V40" s="344">
        <f t="shared" si="17"/>
        <v>1</v>
      </c>
      <c r="W40" s="345">
        <f t="shared" si="18"/>
        <v>0</v>
      </c>
      <c r="X40" s="346">
        <f t="shared" si="19"/>
        <v>0</v>
      </c>
      <c r="Y40" s="347">
        <f t="shared" si="20"/>
        <v>0</v>
      </c>
      <c r="Z40" s="303"/>
      <c r="AA40" s="355"/>
      <c r="AB40" s="353"/>
      <c r="AC40" s="353"/>
      <c r="AD40" s="353"/>
      <c r="AE40" s="353"/>
      <c r="AF40" s="354"/>
    </row>
    <row r="41" spans="1:32">
      <c r="A41" s="513" t="s">
        <v>170</v>
      </c>
      <c r="B41" s="517"/>
      <c r="C41" s="307"/>
      <c r="D41" s="308"/>
      <c r="E41" s="796">
        <v>0</v>
      </c>
      <c r="F41" s="797">
        <v>0</v>
      </c>
      <c r="G41" s="798">
        <f>SUM(E41:F41)+RA_global_rqts_adj</f>
        <v>0</v>
      </c>
      <c r="H41" s="796">
        <v>0</v>
      </c>
      <c r="I41" s="797">
        <v>0</v>
      </c>
      <c r="J41" s="798">
        <f>SUM(H41:I41)+RA_global_dsgn_adj</f>
        <v>0</v>
      </c>
      <c r="K41" s="796">
        <v>0</v>
      </c>
      <c r="L41" s="797">
        <v>0</v>
      </c>
      <c r="M41" s="798">
        <f>SUM(K41:L41)+RA_global_mkt_adj</f>
        <v>0</v>
      </c>
      <c r="N41" s="796">
        <v>0</v>
      </c>
      <c r="O41" s="797">
        <v>0</v>
      </c>
      <c r="P41" s="798">
        <f>SUM(N41:O41)+RA_global_constr_adj</f>
        <v>0</v>
      </c>
      <c r="Q41" s="796">
        <v>0</v>
      </c>
      <c r="R41" s="797">
        <v>0</v>
      </c>
      <c r="S41" s="799">
        <f>SUM(Q41:R41)</f>
        <v>0</v>
      </c>
      <c r="T41" s="780"/>
      <c r="U41" s="312"/>
      <c r="V41" s="313"/>
      <c r="W41" s="314"/>
      <c r="X41" s="314"/>
      <c r="Y41" s="307"/>
      <c r="Z41" s="303"/>
      <c r="AA41" s="355"/>
      <c r="AB41" s="353"/>
      <c r="AC41" s="353"/>
      <c r="AD41" s="353"/>
      <c r="AE41" s="353"/>
      <c r="AF41" s="354"/>
    </row>
    <row r="42" spans="1:32">
      <c r="A42" s="513">
        <v>50.01</v>
      </c>
      <c r="B42" s="517" t="s">
        <v>41</v>
      </c>
      <c r="C42" s="514">
        <f>'PMOC Profl Infl Adj'!K42</f>
        <v>0</v>
      </c>
      <c r="D42" s="320"/>
      <c r="E42" s="787">
        <v>0</v>
      </c>
      <c r="F42" s="788">
        <v>0</v>
      </c>
      <c r="G42" s="789">
        <f t="shared" si="1"/>
        <v>0</v>
      </c>
      <c r="H42" s="787">
        <v>0</v>
      </c>
      <c r="I42" s="800">
        <v>0</v>
      </c>
      <c r="J42" s="789">
        <f t="shared" si="2"/>
        <v>0</v>
      </c>
      <c r="K42" s="787">
        <v>0</v>
      </c>
      <c r="L42" s="800">
        <v>0</v>
      </c>
      <c r="M42" s="789">
        <f t="shared" si="3"/>
        <v>0</v>
      </c>
      <c r="N42" s="787">
        <v>0</v>
      </c>
      <c r="O42" s="800">
        <v>0</v>
      </c>
      <c r="P42" s="789">
        <f t="shared" si="4"/>
        <v>0</v>
      </c>
      <c r="Q42" s="787">
        <v>0</v>
      </c>
      <c r="R42" s="800">
        <v>0</v>
      </c>
      <c r="S42" s="789">
        <f t="shared" si="11"/>
        <v>0</v>
      </c>
      <c r="T42" s="780"/>
      <c r="U42" s="312"/>
      <c r="V42" s="321">
        <f t="shared" ref="V42:V48" si="21">1+SUM(G42,J42,M42,P42,S42)</f>
        <v>1</v>
      </c>
      <c r="W42" s="322">
        <f t="shared" ref="W42:W48" si="22">C42*V42</f>
        <v>0</v>
      </c>
      <c r="X42" s="323">
        <f t="shared" ref="X42:X48" si="23">IF(C42,BETAINV(0.5,RA_alpha,RA_beta,C42,W42),0)</f>
        <v>0</v>
      </c>
      <c r="Y42" s="324">
        <f t="shared" ref="Y42:Y48" si="24">((RA_alpha/(RA_alpha+RA_beta))*(W42-C42))+C42</f>
        <v>0</v>
      </c>
      <c r="Z42" s="303"/>
      <c r="AA42" s="355"/>
      <c r="AB42" s="353"/>
      <c r="AC42" s="353"/>
      <c r="AD42" s="353"/>
      <c r="AE42" s="353"/>
      <c r="AF42" s="354"/>
    </row>
    <row r="43" spans="1:32">
      <c r="A43" s="513">
        <v>50.02</v>
      </c>
      <c r="B43" s="517" t="s">
        <v>42</v>
      </c>
      <c r="C43" s="515">
        <f>'PMOC Profl Infl Adj'!K43</f>
        <v>0</v>
      </c>
      <c r="D43" s="320"/>
      <c r="E43" s="790">
        <v>0</v>
      </c>
      <c r="F43" s="791">
        <v>0</v>
      </c>
      <c r="G43" s="792">
        <f t="shared" si="1"/>
        <v>0</v>
      </c>
      <c r="H43" s="790">
        <v>0</v>
      </c>
      <c r="I43" s="801">
        <v>0</v>
      </c>
      <c r="J43" s="792">
        <f t="shared" si="2"/>
        <v>0</v>
      </c>
      <c r="K43" s="790">
        <v>0</v>
      </c>
      <c r="L43" s="801">
        <v>0</v>
      </c>
      <c r="M43" s="792">
        <f t="shared" si="3"/>
        <v>0</v>
      </c>
      <c r="N43" s="790">
        <v>0</v>
      </c>
      <c r="O43" s="801">
        <v>0</v>
      </c>
      <c r="P43" s="792">
        <f t="shared" si="4"/>
        <v>0</v>
      </c>
      <c r="Q43" s="790">
        <v>0</v>
      </c>
      <c r="R43" s="801">
        <v>0</v>
      </c>
      <c r="S43" s="792">
        <f t="shared" si="11"/>
        <v>0</v>
      </c>
      <c r="T43" s="780"/>
      <c r="U43" s="312"/>
      <c r="V43" s="329">
        <f t="shared" si="21"/>
        <v>1</v>
      </c>
      <c r="W43" s="330">
        <f t="shared" si="22"/>
        <v>0</v>
      </c>
      <c r="X43" s="331">
        <f t="shared" si="23"/>
        <v>0</v>
      </c>
      <c r="Y43" s="332">
        <f t="shared" si="24"/>
        <v>0</v>
      </c>
      <c r="Z43" s="303"/>
      <c r="AA43" s="355"/>
      <c r="AB43" s="353"/>
      <c r="AC43" s="353"/>
      <c r="AD43" s="353"/>
      <c r="AE43" s="353"/>
      <c r="AF43" s="354"/>
    </row>
    <row r="44" spans="1:32">
      <c r="A44" s="513">
        <v>50.03</v>
      </c>
      <c r="B44" s="517" t="s">
        <v>43</v>
      </c>
      <c r="C44" s="515">
        <f>'PMOC Profl Infl Adj'!K44</f>
        <v>0</v>
      </c>
      <c r="D44" s="320"/>
      <c r="E44" s="790">
        <v>0</v>
      </c>
      <c r="F44" s="791">
        <v>0</v>
      </c>
      <c r="G44" s="792">
        <f t="shared" si="1"/>
        <v>0</v>
      </c>
      <c r="H44" s="790">
        <v>0</v>
      </c>
      <c r="I44" s="801">
        <v>0</v>
      </c>
      <c r="J44" s="792">
        <f t="shared" si="2"/>
        <v>0</v>
      </c>
      <c r="K44" s="790">
        <v>0</v>
      </c>
      <c r="L44" s="801">
        <v>0</v>
      </c>
      <c r="M44" s="792">
        <f t="shared" si="3"/>
        <v>0</v>
      </c>
      <c r="N44" s="790">
        <v>0</v>
      </c>
      <c r="O44" s="801">
        <v>0</v>
      </c>
      <c r="P44" s="792">
        <f t="shared" si="4"/>
        <v>0</v>
      </c>
      <c r="Q44" s="790">
        <v>0</v>
      </c>
      <c r="R44" s="801">
        <v>0</v>
      </c>
      <c r="S44" s="792">
        <f t="shared" si="11"/>
        <v>0</v>
      </c>
      <c r="T44" s="780"/>
      <c r="U44" s="312"/>
      <c r="V44" s="329">
        <f t="shared" si="21"/>
        <v>1</v>
      </c>
      <c r="W44" s="330">
        <f t="shared" si="22"/>
        <v>0</v>
      </c>
      <c r="X44" s="331">
        <f t="shared" si="23"/>
        <v>0</v>
      </c>
      <c r="Y44" s="332">
        <f t="shared" si="24"/>
        <v>0</v>
      </c>
      <c r="Z44" s="303"/>
      <c r="AA44" s="355"/>
      <c r="AB44" s="353"/>
      <c r="AC44" s="353"/>
      <c r="AD44" s="353"/>
      <c r="AE44" s="353"/>
      <c r="AF44" s="354"/>
    </row>
    <row r="45" spans="1:32">
      <c r="A45" s="513">
        <v>50.04</v>
      </c>
      <c r="B45" s="517" t="s">
        <v>44</v>
      </c>
      <c r="C45" s="515">
        <f>'PMOC Profl Infl Adj'!K45</f>
        <v>0</v>
      </c>
      <c r="D45" s="320"/>
      <c r="E45" s="790">
        <v>0</v>
      </c>
      <c r="F45" s="791">
        <v>0</v>
      </c>
      <c r="G45" s="792">
        <f t="shared" si="1"/>
        <v>0</v>
      </c>
      <c r="H45" s="790">
        <v>0</v>
      </c>
      <c r="I45" s="801">
        <v>0</v>
      </c>
      <c r="J45" s="792">
        <f t="shared" si="2"/>
        <v>0</v>
      </c>
      <c r="K45" s="790">
        <v>0</v>
      </c>
      <c r="L45" s="801">
        <v>0</v>
      </c>
      <c r="M45" s="792">
        <f t="shared" si="3"/>
        <v>0</v>
      </c>
      <c r="N45" s="790">
        <v>0</v>
      </c>
      <c r="O45" s="801">
        <v>0</v>
      </c>
      <c r="P45" s="792">
        <f t="shared" si="4"/>
        <v>0</v>
      </c>
      <c r="Q45" s="790">
        <v>0</v>
      </c>
      <c r="R45" s="801">
        <v>0</v>
      </c>
      <c r="S45" s="792">
        <f t="shared" si="11"/>
        <v>0</v>
      </c>
      <c r="T45" s="780"/>
      <c r="U45" s="312"/>
      <c r="V45" s="329">
        <f t="shared" si="21"/>
        <v>1</v>
      </c>
      <c r="W45" s="330">
        <f t="shared" si="22"/>
        <v>0</v>
      </c>
      <c r="X45" s="331">
        <f t="shared" si="23"/>
        <v>0</v>
      </c>
      <c r="Y45" s="332">
        <f t="shared" si="24"/>
        <v>0</v>
      </c>
      <c r="Z45" s="303"/>
      <c r="AA45" s="355"/>
      <c r="AB45" s="353"/>
      <c r="AC45" s="353"/>
      <c r="AD45" s="353"/>
      <c r="AE45" s="353"/>
      <c r="AF45" s="354"/>
    </row>
    <row r="46" spans="1:32">
      <c r="A46" s="513">
        <v>50.05</v>
      </c>
      <c r="B46" s="517" t="s">
        <v>45</v>
      </c>
      <c r="C46" s="515">
        <f>'PMOC Profl Infl Adj'!K46</f>
        <v>0</v>
      </c>
      <c r="D46" s="320"/>
      <c r="E46" s="790">
        <v>0</v>
      </c>
      <c r="F46" s="791">
        <v>0</v>
      </c>
      <c r="G46" s="792">
        <f t="shared" si="1"/>
        <v>0</v>
      </c>
      <c r="H46" s="790">
        <v>0</v>
      </c>
      <c r="I46" s="801">
        <v>0</v>
      </c>
      <c r="J46" s="792">
        <f t="shared" si="2"/>
        <v>0</v>
      </c>
      <c r="K46" s="790">
        <v>0</v>
      </c>
      <c r="L46" s="801">
        <v>0</v>
      </c>
      <c r="M46" s="792">
        <f t="shared" si="3"/>
        <v>0</v>
      </c>
      <c r="N46" s="790">
        <v>0</v>
      </c>
      <c r="O46" s="801">
        <v>0</v>
      </c>
      <c r="P46" s="792">
        <f t="shared" si="4"/>
        <v>0</v>
      </c>
      <c r="Q46" s="790">
        <v>0</v>
      </c>
      <c r="R46" s="801">
        <v>0</v>
      </c>
      <c r="S46" s="792">
        <f t="shared" si="11"/>
        <v>0</v>
      </c>
      <c r="T46" s="780"/>
      <c r="U46" s="312"/>
      <c r="V46" s="329">
        <f t="shared" si="21"/>
        <v>1</v>
      </c>
      <c r="W46" s="330">
        <f t="shared" si="22"/>
        <v>0</v>
      </c>
      <c r="X46" s="331">
        <f t="shared" si="23"/>
        <v>0</v>
      </c>
      <c r="Y46" s="332">
        <f t="shared" si="24"/>
        <v>0</v>
      </c>
      <c r="Z46" s="303"/>
      <c r="AA46" s="355"/>
      <c r="AB46" s="353"/>
      <c r="AC46" s="353"/>
      <c r="AD46" s="353"/>
      <c r="AE46" s="353"/>
      <c r="AF46" s="354"/>
    </row>
    <row r="47" spans="1:32">
      <c r="A47" s="513">
        <v>50.06</v>
      </c>
      <c r="B47" s="517" t="s">
        <v>46</v>
      </c>
      <c r="C47" s="515">
        <f>'PMOC Profl Infl Adj'!K47</f>
        <v>0</v>
      </c>
      <c r="D47" s="320"/>
      <c r="E47" s="790">
        <v>0</v>
      </c>
      <c r="F47" s="791">
        <v>0</v>
      </c>
      <c r="G47" s="792">
        <f t="shared" si="1"/>
        <v>0</v>
      </c>
      <c r="H47" s="790">
        <v>0</v>
      </c>
      <c r="I47" s="801">
        <v>0</v>
      </c>
      <c r="J47" s="792">
        <f t="shared" si="2"/>
        <v>0</v>
      </c>
      <c r="K47" s="790">
        <v>0</v>
      </c>
      <c r="L47" s="801">
        <v>0</v>
      </c>
      <c r="M47" s="792">
        <f t="shared" si="3"/>
        <v>0</v>
      </c>
      <c r="N47" s="790">
        <v>0</v>
      </c>
      <c r="O47" s="801">
        <v>0</v>
      </c>
      <c r="P47" s="792">
        <f t="shared" si="4"/>
        <v>0</v>
      </c>
      <c r="Q47" s="790">
        <v>0</v>
      </c>
      <c r="R47" s="801">
        <v>0</v>
      </c>
      <c r="S47" s="792">
        <f t="shared" si="11"/>
        <v>0</v>
      </c>
      <c r="T47" s="780"/>
      <c r="U47" s="312"/>
      <c r="V47" s="329">
        <f t="shared" si="21"/>
        <v>1</v>
      </c>
      <c r="W47" s="330">
        <f t="shared" si="22"/>
        <v>0</v>
      </c>
      <c r="X47" s="331">
        <f t="shared" si="23"/>
        <v>0</v>
      </c>
      <c r="Y47" s="332">
        <f t="shared" si="24"/>
        <v>0</v>
      </c>
      <c r="Z47" s="303"/>
      <c r="AA47" s="355"/>
      <c r="AB47" s="353"/>
      <c r="AC47" s="353"/>
      <c r="AD47" s="353"/>
      <c r="AE47" s="353"/>
      <c r="AF47" s="354"/>
    </row>
    <row r="48" spans="1:32" ht="13.5" thickBot="1">
      <c r="A48" s="513">
        <v>50.07</v>
      </c>
      <c r="B48" s="517" t="s">
        <v>47</v>
      </c>
      <c r="C48" s="516">
        <f>'PMOC Profl Infl Adj'!K48</f>
        <v>0</v>
      </c>
      <c r="D48" s="320"/>
      <c r="E48" s="790">
        <v>0</v>
      </c>
      <c r="F48" s="791">
        <v>0</v>
      </c>
      <c r="G48" s="792">
        <f t="shared" si="1"/>
        <v>0</v>
      </c>
      <c r="H48" s="809">
        <v>0</v>
      </c>
      <c r="I48" s="801">
        <v>0</v>
      </c>
      <c r="J48" s="792">
        <f t="shared" si="2"/>
        <v>0</v>
      </c>
      <c r="K48" s="809">
        <v>0</v>
      </c>
      <c r="L48" s="801">
        <v>0</v>
      </c>
      <c r="M48" s="792">
        <f t="shared" si="3"/>
        <v>0</v>
      </c>
      <c r="N48" s="809">
        <v>0</v>
      </c>
      <c r="O48" s="801">
        <v>0</v>
      </c>
      <c r="P48" s="792">
        <f t="shared" si="4"/>
        <v>0</v>
      </c>
      <c r="Q48" s="809">
        <v>0</v>
      </c>
      <c r="R48" s="801">
        <v>0</v>
      </c>
      <c r="S48" s="792">
        <f t="shared" si="11"/>
        <v>0</v>
      </c>
      <c r="T48" s="780"/>
      <c r="U48" s="312"/>
      <c r="V48" s="344">
        <f t="shared" si="21"/>
        <v>1</v>
      </c>
      <c r="W48" s="345">
        <f t="shared" si="22"/>
        <v>0</v>
      </c>
      <c r="X48" s="346">
        <f t="shared" si="23"/>
        <v>0</v>
      </c>
      <c r="Y48" s="347">
        <f t="shared" si="24"/>
        <v>0</v>
      </c>
      <c r="Z48" s="303"/>
      <c r="AA48" s="355"/>
      <c r="AB48" s="353"/>
      <c r="AC48" s="353"/>
      <c r="AD48" s="353"/>
      <c r="AE48" s="353"/>
      <c r="AF48" s="354"/>
    </row>
    <row r="49" spans="1:32" ht="15">
      <c r="A49" s="513"/>
      <c r="B49" s="517"/>
      <c r="C49" s="307"/>
      <c r="D49" s="308"/>
      <c r="E49" s="1114" t="s">
        <v>543</v>
      </c>
      <c r="F49" s="1115"/>
      <c r="G49" s="1115"/>
      <c r="H49" s="1115"/>
      <c r="I49" s="1115"/>
      <c r="J49" s="1115"/>
      <c r="K49" s="1115"/>
      <c r="L49" s="1115"/>
      <c r="M49" s="1115"/>
      <c r="N49" s="1115"/>
      <c r="O49" s="1115"/>
      <c r="P49" s="1115"/>
      <c r="Q49" s="1115"/>
      <c r="R49" s="1115"/>
      <c r="S49" s="1116"/>
      <c r="T49" s="813"/>
      <c r="U49" s="312"/>
      <c r="V49" s="313"/>
      <c r="W49" s="314"/>
      <c r="X49" s="314"/>
      <c r="Y49" s="307"/>
      <c r="Z49" s="303"/>
      <c r="AA49" s="355"/>
      <c r="AB49" s="353"/>
      <c r="AC49" s="353"/>
      <c r="AD49" s="353"/>
      <c r="AE49" s="353"/>
      <c r="AF49" s="354"/>
    </row>
    <row r="50" spans="1:32" ht="15.75" thickBot="1">
      <c r="A50" s="513" t="s">
        <v>172</v>
      </c>
      <c r="B50" s="517"/>
      <c r="C50" s="307"/>
      <c r="D50" s="308"/>
      <c r="E50" s="1096" t="s">
        <v>544</v>
      </c>
      <c r="F50" s="1097"/>
      <c r="G50" s="1097"/>
      <c r="H50" s="1097"/>
      <c r="I50" s="1097"/>
      <c r="J50" s="1097"/>
      <c r="K50" s="1097"/>
      <c r="L50" s="1097"/>
      <c r="M50" s="1097"/>
      <c r="N50" s="1097"/>
      <c r="O50" s="1097"/>
      <c r="P50" s="1097"/>
      <c r="Q50" s="1097"/>
      <c r="R50" s="1097"/>
      <c r="S50" s="1098"/>
      <c r="T50" s="813"/>
      <c r="U50" s="312"/>
      <c r="V50" s="313"/>
      <c r="W50" s="314"/>
      <c r="X50" s="314"/>
      <c r="Y50" s="307"/>
      <c r="Z50" s="303"/>
      <c r="AA50" s="355"/>
      <c r="AB50" s="353"/>
      <c r="AC50" s="353"/>
      <c r="AD50" s="353"/>
      <c r="AE50" s="353"/>
      <c r="AF50" s="354"/>
    </row>
    <row r="51" spans="1:32">
      <c r="A51" s="513">
        <v>60.01</v>
      </c>
      <c r="B51" s="517" t="s">
        <v>48</v>
      </c>
      <c r="C51" s="514">
        <f>'PMOC Profl Infl Adj'!K51</f>
        <v>0</v>
      </c>
      <c r="D51" s="320"/>
      <c r="E51" s="790">
        <v>0</v>
      </c>
      <c r="F51" s="807">
        <v>0</v>
      </c>
      <c r="G51" s="808">
        <f>SUM(E51:F51)</f>
        <v>0</v>
      </c>
      <c r="H51" s="790">
        <v>0</v>
      </c>
      <c r="I51" s="807">
        <v>0</v>
      </c>
      <c r="J51" s="808">
        <f>SUM(H51:I51)</f>
        <v>0</v>
      </c>
      <c r="K51" s="790">
        <v>0</v>
      </c>
      <c r="L51" s="807">
        <v>0</v>
      </c>
      <c r="M51" s="808">
        <f>SUM(K51:L51)</f>
        <v>0</v>
      </c>
      <c r="N51" s="790">
        <v>0</v>
      </c>
      <c r="O51" s="807">
        <v>0</v>
      </c>
      <c r="P51" s="808">
        <f>SUM(N51:O51)</f>
        <v>0</v>
      </c>
      <c r="Q51" s="791">
        <v>0</v>
      </c>
      <c r="R51" s="807">
        <v>0</v>
      </c>
      <c r="S51" s="816">
        <f>SUM(Q51:R51)</f>
        <v>0</v>
      </c>
      <c r="T51" s="780"/>
      <c r="U51" s="312"/>
      <c r="V51" s="321">
        <f t="shared" ref="V51:V52" si="25">1+SUM(G51,J51,M51,P51,S51)</f>
        <v>1</v>
      </c>
      <c r="W51" s="322">
        <f>C51*V51</f>
        <v>0</v>
      </c>
      <c r="X51" s="323">
        <f>IF(C51,BETAINV(0.5,RA_alpha,RA_beta,C51,W51),0)</f>
        <v>0</v>
      </c>
      <c r="Y51" s="324">
        <f>((RA_alpha/(RA_alpha+RA_beta))*(W51-C51))+C51</f>
        <v>0</v>
      </c>
      <c r="Z51" s="303"/>
      <c r="AA51" s="355"/>
      <c r="AB51" s="353"/>
      <c r="AC51" s="353"/>
      <c r="AD51" s="353"/>
      <c r="AE51" s="353"/>
      <c r="AF51" s="354"/>
    </row>
    <row r="52" spans="1:32">
      <c r="A52" s="513">
        <v>60.02</v>
      </c>
      <c r="B52" s="517" t="s">
        <v>49</v>
      </c>
      <c r="C52" s="516">
        <f>'PMOC Profl Infl Adj'!K52</f>
        <v>0</v>
      </c>
      <c r="D52" s="320"/>
      <c r="E52" s="793">
        <v>0</v>
      </c>
      <c r="F52" s="805">
        <v>0</v>
      </c>
      <c r="G52" s="806">
        <f>SUM(E52:F52)</f>
        <v>0</v>
      </c>
      <c r="H52" s="793">
        <v>0</v>
      </c>
      <c r="I52" s="805">
        <v>0</v>
      </c>
      <c r="J52" s="806">
        <f>SUM(H52:I52)</f>
        <v>0</v>
      </c>
      <c r="K52" s="793">
        <v>0</v>
      </c>
      <c r="L52" s="805">
        <v>0</v>
      </c>
      <c r="M52" s="806">
        <f>SUM(K52:L52)</f>
        <v>0</v>
      </c>
      <c r="N52" s="793">
        <v>0</v>
      </c>
      <c r="O52" s="805">
        <v>0</v>
      </c>
      <c r="P52" s="806">
        <f>SUM(N52:O52)</f>
        <v>0</v>
      </c>
      <c r="Q52" s="794">
        <v>0</v>
      </c>
      <c r="R52" s="805">
        <v>0</v>
      </c>
      <c r="S52" s="817">
        <f>SUM(Q52:R52)</f>
        <v>0</v>
      </c>
      <c r="T52" s="780"/>
      <c r="U52" s="312"/>
      <c r="V52" s="344">
        <f t="shared" si="25"/>
        <v>1</v>
      </c>
      <c r="W52" s="345">
        <f>C52*V52</f>
        <v>0</v>
      </c>
      <c r="X52" s="346">
        <f>IF(C52,BETAINV(0.5,RA_alpha,RA_beta,C52,W52),0)</f>
        <v>0</v>
      </c>
      <c r="Y52" s="347">
        <f>((RA_alpha/(RA_alpha+RA_beta))*(W52-C52))+C52</f>
        <v>0</v>
      </c>
      <c r="Z52" s="303"/>
      <c r="AA52" s="355"/>
      <c r="AB52" s="353"/>
      <c r="AC52" s="353"/>
      <c r="AD52" s="353"/>
      <c r="AE52" s="353"/>
      <c r="AF52" s="354"/>
    </row>
    <row r="53" spans="1:32">
      <c r="A53" s="513" t="s">
        <v>173</v>
      </c>
      <c r="B53" s="517"/>
      <c r="C53" s="307"/>
      <c r="D53" s="308"/>
      <c r="E53" s="796"/>
      <c r="F53" s="797"/>
      <c r="G53" s="798"/>
      <c r="H53" s="796"/>
      <c r="I53" s="797"/>
      <c r="J53" s="798"/>
      <c r="K53" s="796"/>
      <c r="L53" s="797"/>
      <c r="M53" s="798"/>
      <c r="N53" s="796"/>
      <c r="O53" s="797"/>
      <c r="P53" s="798"/>
      <c r="Q53" s="797"/>
      <c r="R53" s="797"/>
      <c r="S53" s="802"/>
      <c r="T53" s="780"/>
      <c r="U53" s="312"/>
      <c r="V53" s="313"/>
      <c r="W53" s="314"/>
      <c r="X53" s="314"/>
      <c r="Y53" s="307"/>
      <c r="Z53" s="303"/>
      <c r="AA53" s="355"/>
      <c r="AB53" s="353"/>
      <c r="AC53" s="353"/>
      <c r="AD53" s="353"/>
      <c r="AE53" s="353"/>
      <c r="AF53" s="354"/>
    </row>
    <row r="54" spans="1:32">
      <c r="A54" s="513">
        <v>70.010000000000005</v>
      </c>
      <c r="B54" s="517" t="s">
        <v>50</v>
      </c>
      <c r="C54" s="514">
        <f>'PMOC Profl Infl Adj'!K54</f>
        <v>0</v>
      </c>
      <c r="D54" s="320"/>
      <c r="E54" s="787">
        <v>0</v>
      </c>
      <c r="F54" s="803">
        <v>0</v>
      </c>
      <c r="G54" s="804">
        <f t="shared" ref="G54:G60" si="26">SUM(E54:F54)</f>
        <v>0</v>
      </c>
      <c r="H54" s="787">
        <v>0</v>
      </c>
      <c r="I54" s="803">
        <v>0</v>
      </c>
      <c r="J54" s="804">
        <f t="shared" ref="J54:J60" si="27">SUM(H54:I54)</f>
        <v>0</v>
      </c>
      <c r="K54" s="787">
        <v>0</v>
      </c>
      <c r="L54" s="803">
        <v>0</v>
      </c>
      <c r="M54" s="804">
        <f>SUM(K54:L54)</f>
        <v>0</v>
      </c>
      <c r="N54" s="787">
        <v>0</v>
      </c>
      <c r="O54" s="803">
        <v>0</v>
      </c>
      <c r="P54" s="804">
        <f t="shared" ref="P54:P60" si="28">SUM(N54:O54)</f>
        <v>0</v>
      </c>
      <c r="Q54" s="788">
        <v>0</v>
      </c>
      <c r="R54" s="803">
        <v>0</v>
      </c>
      <c r="S54" s="818">
        <f t="shared" ref="S54:S60" si="29">SUM(Q54:R54)</f>
        <v>0</v>
      </c>
      <c r="T54" s="780"/>
      <c r="U54" s="312"/>
      <c r="V54" s="321">
        <f t="shared" ref="V54:V60" si="30">1+SUM(G54,J54,M54,P54,S54)</f>
        <v>1</v>
      </c>
      <c r="W54" s="322">
        <f t="shared" ref="W54:W60" si="31">C54*V54</f>
        <v>0</v>
      </c>
      <c r="X54" s="323">
        <f t="shared" ref="X54:X60" si="32">IF(C54,BETAINV(0.5,RA_alpha,RA_beta,C54,W54),0)</f>
        <v>0</v>
      </c>
      <c r="Y54" s="324">
        <f t="shared" ref="Y54:Y60" si="33">((RA_alpha/(RA_alpha+RA_beta))*(W54-C54))+C54</f>
        <v>0</v>
      </c>
      <c r="Z54" s="303"/>
      <c r="AA54" s="355"/>
      <c r="AB54" s="353"/>
      <c r="AC54" s="353"/>
      <c r="AD54" s="353"/>
      <c r="AE54" s="353"/>
      <c r="AF54" s="354"/>
    </row>
    <row r="55" spans="1:32">
      <c r="A55" s="513">
        <v>70.02</v>
      </c>
      <c r="B55" s="517" t="s">
        <v>51</v>
      </c>
      <c r="C55" s="515">
        <f>'PMOC Profl Infl Adj'!K55</f>
        <v>0</v>
      </c>
      <c r="D55" s="320"/>
      <c r="E55" s="790">
        <v>0</v>
      </c>
      <c r="F55" s="807">
        <v>0</v>
      </c>
      <c r="G55" s="808">
        <f t="shared" si="26"/>
        <v>0</v>
      </c>
      <c r="H55" s="790">
        <v>0</v>
      </c>
      <c r="I55" s="807">
        <v>0</v>
      </c>
      <c r="J55" s="808">
        <f t="shared" si="27"/>
        <v>0</v>
      </c>
      <c r="K55" s="790">
        <v>0</v>
      </c>
      <c r="L55" s="807">
        <v>0</v>
      </c>
      <c r="M55" s="808">
        <f t="shared" ref="M55:M60" si="34">SUM(K55:L55)</f>
        <v>0</v>
      </c>
      <c r="N55" s="790">
        <v>0</v>
      </c>
      <c r="O55" s="807">
        <v>0</v>
      </c>
      <c r="P55" s="808">
        <f t="shared" si="28"/>
        <v>0</v>
      </c>
      <c r="Q55" s="791">
        <v>0</v>
      </c>
      <c r="R55" s="807">
        <v>0</v>
      </c>
      <c r="S55" s="816">
        <f t="shared" si="29"/>
        <v>0</v>
      </c>
      <c r="T55" s="780"/>
      <c r="U55" s="312"/>
      <c r="V55" s="329">
        <f t="shared" si="30"/>
        <v>1</v>
      </c>
      <c r="W55" s="330">
        <f t="shared" si="31"/>
        <v>0</v>
      </c>
      <c r="X55" s="331">
        <f t="shared" si="32"/>
        <v>0</v>
      </c>
      <c r="Y55" s="332">
        <f t="shared" si="33"/>
        <v>0</v>
      </c>
      <c r="Z55" s="303"/>
      <c r="AA55" s="355"/>
      <c r="AB55" s="353"/>
      <c r="AC55" s="353"/>
      <c r="AD55" s="353"/>
      <c r="AE55" s="353"/>
      <c r="AF55" s="354"/>
    </row>
    <row r="56" spans="1:32">
      <c r="A56" s="513">
        <v>70.03</v>
      </c>
      <c r="B56" s="517" t="s">
        <v>52</v>
      </c>
      <c r="C56" s="515">
        <f>'PMOC Profl Infl Adj'!K56</f>
        <v>0</v>
      </c>
      <c r="D56" s="320"/>
      <c r="E56" s="790">
        <v>0</v>
      </c>
      <c r="F56" s="807">
        <v>0</v>
      </c>
      <c r="G56" s="808">
        <f t="shared" si="26"/>
        <v>0</v>
      </c>
      <c r="H56" s="790">
        <v>0</v>
      </c>
      <c r="I56" s="807">
        <v>0</v>
      </c>
      <c r="J56" s="808">
        <f t="shared" si="27"/>
        <v>0</v>
      </c>
      <c r="K56" s="790">
        <v>0</v>
      </c>
      <c r="L56" s="807">
        <v>0</v>
      </c>
      <c r="M56" s="808">
        <f t="shared" si="34"/>
        <v>0</v>
      </c>
      <c r="N56" s="790">
        <v>0</v>
      </c>
      <c r="O56" s="807">
        <v>0</v>
      </c>
      <c r="P56" s="808">
        <f t="shared" si="28"/>
        <v>0</v>
      </c>
      <c r="Q56" s="791">
        <v>0</v>
      </c>
      <c r="R56" s="807">
        <v>0</v>
      </c>
      <c r="S56" s="816">
        <f t="shared" si="29"/>
        <v>0</v>
      </c>
      <c r="T56" s="780"/>
      <c r="U56" s="312"/>
      <c r="V56" s="329">
        <f t="shared" si="30"/>
        <v>1</v>
      </c>
      <c r="W56" s="330">
        <f t="shared" si="31"/>
        <v>0</v>
      </c>
      <c r="X56" s="331">
        <f t="shared" si="32"/>
        <v>0</v>
      </c>
      <c r="Y56" s="332">
        <f t="shared" si="33"/>
        <v>0</v>
      </c>
      <c r="Z56" s="303"/>
      <c r="AA56" s="355"/>
      <c r="AB56" s="353"/>
      <c r="AC56" s="353"/>
      <c r="AD56" s="353"/>
      <c r="AE56" s="353"/>
      <c r="AF56" s="354"/>
    </row>
    <row r="57" spans="1:32" ht="13.5" thickBot="1">
      <c r="A57" s="513">
        <v>70.040000000000006</v>
      </c>
      <c r="B57" s="517" t="s">
        <v>53</v>
      </c>
      <c r="C57" s="515">
        <f>'PMOC Profl Infl Adj'!K57</f>
        <v>0</v>
      </c>
      <c r="D57" s="320"/>
      <c r="E57" s="790">
        <v>0</v>
      </c>
      <c r="F57" s="807">
        <v>0</v>
      </c>
      <c r="G57" s="808">
        <f t="shared" si="26"/>
        <v>0</v>
      </c>
      <c r="H57" s="790">
        <v>0</v>
      </c>
      <c r="I57" s="807">
        <v>0</v>
      </c>
      <c r="J57" s="808">
        <f t="shared" si="27"/>
        <v>0</v>
      </c>
      <c r="K57" s="790">
        <v>0</v>
      </c>
      <c r="L57" s="807">
        <v>0</v>
      </c>
      <c r="M57" s="808">
        <f t="shared" si="34"/>
        <v>0</v>
      </c>
      <c r="N57" s="790">
        <v>0</v>
      </c>
      <c r="O57" s="807">
        <v>0</v>
      </c>
      <c r="P57" s="808">
        <f t="shared" si="28"/>
        <v>0</v>
      </c>
      <c r="Q57" s="791">
        <v>0</v>
      </c>
      <c r="R57" s="807">
        <v>0</v>
      </c>
      <c r="S57" s="816">
        <f t="shared" si="29"/>
        <v>0</v>
      </c>
      <c r="T57" s="780"/>
      <c r="U57" s="312"/>
      <c r="V57" s="329">
        <f t="shared" si="30"/>
        <v>1</v>
      </c>
      <c r="W57" s="330">
        <f t="shared" si="31"/>
        <v>0</v>
      </c>
      <c r="X57" s="331">
        <f t="shared" si="32"/>
        <v>0</v>
      </c>
      <c r="Y57" s="332">
        <f t="shared" si="33"/>
        <v>0</v>
      </c>
      <c r="Z57" s="303"/>
      <c r="AA57" s="356"/>
      <c r="AB57" s="357"/>
      <c r="AC57" s="357"/>
      <c r="AD57" s="357"/>
      <c r="AE57" s="357"/>
      <c r="AF57" s="358"/>
    </row>
    <row r="58" spans="1:32">
      <c r="A58" s="513">
        <v>70.05</v>
      </c>
      <c r="B58" s="517" t="s">
        <v>54</v>
      </c>
      <c r="C58" s="515">
        <f>'PMOC Profl Infl Adj'!K58</f>
        <v>0</v>
      </c>
      <c r="D58" s="320"/>
      <c r="E58" s="790">
        <v>0</v>
      </c>
      <c r="F58" s="807">
        <v>0</v>
      </c>
      <c r="G58" s="808">
        <f t="shared" si="26"/>
        <v>0</v>
      </c>
      <c r="H58" s="790">
        <v>0</v>
      </c>
      <c r="I58" s="807">
        <v>0</v>
      </c>
      <c r="J58" s="808">
        <f t="shared" si="27"/>
        <v>0</v>
      </c>
      <c r="K58" s="790">
        <v>0</v>
      </c>
      <c r="L58" s="807">
        <v>0</v>
      </c>
      <c r="M58" s="808">
        <f t="shared" si="34"/>
        <v>0</v>
      </c>
      <c r="N58" s="790">
        <v>0</v>
      </c>
      <c r="O58" s="807">
        <v>0</v>
      </c>
      <c r="P58" s="808">
        <f>SUM(N58:O58)</f>
        <v>0</v>
      </c>
      <c r="Q58" s="791">
        <v>0</v>
      </c>
      <c r="R58" s="807">
        <v>0</v>
      </c>
      <c r="S58" s="816">
        <f t="shared" si="29"/>
        <v>0</v>
      </c>
      <c r="T58" s="780"/>
      <c r="U58" s="312"/>
      <c r="V58" s="329">
        <f t="shared" si="30"/>
        <v>1</v>
      </c>
      <c r="W58" s="330">
        <f t="shared" si="31"/>
        <v>0</v>
      </c>
      <c r="X58" s="331">
        <f t="shared" si="32"/>
        <v>0</v>
      </c>
      <c r="Y58" s="332">
        <f t="shared" si="33"/>
        <v>0</v>
      </c>
      <c r="Z58" s="303"/>
    </row>
    <row r="59" spans="1:32">
      <c r="A59" s="513">
        <v>70.06</v>
      </c>
      <c r="B59" s="517" t="s">
        <v>55</v>
      </c>
      <c r="C59" s="515">
        <f>'PMOC Profl Infl Adj'!K59</f>
        <v>0</v>
      </c>
      <c r="D59" s="320"/>
      <c r="E59" s="790">
        <v>0</v>
      </c>
      <c r="F59" s="807">
        <v>0</v>
      </c>
      <c r="G59" s="808">
        <f t="shared" si="26"/>
        <v>0</v>
      </c>
      <c r="H59" s="790">
        <v>0</v>
      </c>
      <c r="I59" s="807">
        <v>0</v>
      </c>
      <c r="J59" s="808">
        <f t="shared" si="27"/>
        <v>0</v>
      </c>
      <c r="K59" s="790">
        <v>0</v>
      </c>
      <c r="L59" s="807">
        <v>0</v>
      </c>
      <c r="M59" s="808">
        <f t="shared" si="34"/>
        <v>0</v>
      </c>
      <c r="N59" s="790">
        <v>0</v>
      </c>
      <c r="O59" s="807">
        <v>0</v>
      </c>
      <c r="P59" s="808">
        <f t="shared" si="28"/>
        <v>0</v>
      </c>
      <c r="Q59" s="791">
        <v>0</v>
      </c>
      <c r="R59" s="807">
        <v>0</v>
      </c>
      <c r="S59" s="816">
        <f t="shared" si="29"/>
        <v>0</v>
      </c>
      <c r="T59" s="780"/>
      <c r="U59" s="312"/>
      <c r="V59" s="329">
        <f t="shared" si="30"/>
        <v>1</v>
      </c>
      <c r="W59" s="330">
        <f t="shared" si="31"/>
        <v>0</v>
      </c>
      <c r="X59" s="331">
        <f t="shared" si="32"/>
        <v>0</v>
      </c>
      <c r="Y59" s="332">
        <f t="shared" si="33"/>
        <v>0</v>
      </c>
      <c r="Z59" s="303"/>
    </row>
    <row r="60" spans="1:32">
      <c r="A60" s="513">
        <v>70.069999999999993</v>
      </c>
      <c r="B60" s="517" t="s">
        <v>56</v>
      </c>
      <c r="C60" s="516">
        <f>'PMOC Profl Infl Adj'!K60</f>
        <v>0</v>
      </c>
      <c r="D60" s="320"/>
      <c r="E60" s="793">
        <v>0</v>
      </c>
      <c r="F60" s="805">
        <v>0</v>
      </c>
      <c r="G60" s="806">
        <f t="shared" si="26"/>
        <v>0</v>
      </c>
      <c r="H60" s="793">
        <v>0</v>
      </c>
      <c r="I60" s="805">
        <v>0</v>
      </c>
      <c r="J60" s="806">
        <f t="shared" si="27"/>
        <v>0</v>
      </c>
      <c r="K60" s="793">
        <v>0</v>
      </c>
      <c r="L60" s="805">
        <v>0</v>
      </c>
      <c r="M60" s="806">
        <f t="shared" si="34"/>
        <v>0</v>
      </c>
      <c r="N60" s="793">
        <v>0</v>
      </c>
      <c r="O60" s="805">
        <v>0</v>
      </c>
      <c r="P60" s="806">
        <f t="shared" si="28"/>
        <v>0</v>
      </c>
      <c r="Q60" s="794">
        <v>0</v>
      </c>
      <c r="R60" s="805">
        <v>0</v>
      </c>
      <c r="S60" s="817">
        <f t="shared" si="29"/>
        <v>0</v>
      </c>
      <c r="T60" s="780"/>
      <c r="U60" s="312"/>
      <c r="V60" s="344">
        <f t="shared" si="30"/>
        <v>1</v>
      </c>
      <c r="W60" s="345">
        <f t="shared" si="31"/>
        <v>0</v>
      </c>
      <c r="X60" s="346">
        <f t="shared" si="32"/>
        <v>0</v>
      </c>
      <c r="Y60" s="347">
        <f t="shared" si="33"/>
        <v>0</v>
      </c>
      <c r="Z60" s="303"/>
    </row>
    <row r="61" spans="1:32">
      <c r="A61" s="513" t="s">
        <v>174</v>
      </c>
      <c r="B61" s="517"/>
      <c r="C61" s="307"/>
      <c r="D61" s="308"/>
      <c r="E61" s="796"/>
      <c r="F61" s="797"/>
      <c r="G61" s="798"/>
      <c r="H61" s="796"/>
      <c r="I61" s="797"/>
      <c r="J61" s="798"/>
      <c r="K61" s="796"/>
      <c r="L61" s="797"/>
      <c r="M61" s="798"/>
      <c r="N61" s="796"/>
      <c r="O61" s="797"/>
      <c r="P61" s="798"/>
      <c r="Q61" s="797"/>
      <c r="R61" s="797"/>
      <c r="S61" s="802"/>
      <c r="T61" s="780"/>
      <c r="U61" s="312"/>
      <c r="V61" s="313"/>
      <c r="W61" s="314"/>
      <c r="X61" s="314"/>
      <c r="Y61" s="307"/>
      <c r="Z61" s="303"/>
    </row>
    <row r="62" spans="1:32">
      <c r="A62" s="513">
        <v>80.010000000000005</v>
      </c>
      <c r="B62" s="517" t="s">
        <v>143</v>
      </c>
      <c r="C62" s="514">
        <f>'PMOC Profl Infl Adj'!K62</f>
        <v>0</v>
      </c>
      <c r="D62" s="320"/>
      <c r="E62" s="787">
        <v>0</v>
      </c>
      <c r="F62" s="803">
        <v>0</v>
      </c>
      <c r="G62" s="804">
        <f t="shared" ref="G62:G69" si="35">SUM(E62:F62)</f>
        <v>0</v>
      </c>
      <c r="H62" s="787">
        <v>0</v>
      </c>
      <c r="I62" s="803">
        <v>0</v>
      </c>
      <c r="J62" s="804">
        <f t="shared" ref="J62:J69" si="36">SUM(H62:I62)</f>
        <v>0</v>
      </c>
      <c r="K62" s="787">
        <v>0</v>
      </c>
      <c r="L62" s="803">
        <v>0</v>
      </c>
      <c r="M62" s="804">
        <f t="shared" ref="M62:M69" si="37">SUM(K62:L62)</f>
        <v>0</v>
      </c>
      <c r="N62" s="787">
        <v>0</v>
      </c>
      <c r="O62" s="803">
        <v>0</v>
      </c>
      <c r="P62" s="804">
        <f t="shared" ref="P62:P69" si="38">SUM(N62:O62)</f>
        <v>0</v>
      </c>
      <c r="Q62" s="788">
        <v>0</v>
      </c>
      <c r="R62" s="803">
        <v>0</v>
      </c>
      <c r="S62" s="818">
        <f t="shared" ref="S62:S69" si="39">SUM(Q62:R62)</f>
        <v>0</v>
      </c>
      <c r="T62" s="780"/>
      <c r="U62" s="312"/>
      <c r="V62" s="321">
        <f t="shared" ref="V62:V69" si="40">1+SUM(G62,J62,M62,P62,S62)</f>
        <v>1</v>
      </c>
      <c r="W62" s="322">
        <f t="shared" ref="W62:W69" si="41">C62*V62</f>
        <v>0</v>
      </c>
      <c r="X62" s="323">
        <f t="shared" ref="X62:X69" si="42">IF(C62,BETAINV(0.5,RA_alpha,RA_beta,C62,W62),0)</f>
        <v>0</v>
      </c>
      <c r="Y62" s="324">
        <f t="shared" ref="Y62:Y69" si="43">((RA_alpha/(RA_alpha+RA_beta))*(W62-C62))+C62</f>
        <v>0</v>
      </c>
      <c r="Z62" s="303"/>
    </row>
    <row r="63" spans="1:32">
      <c r="A63" s="513">
        <v>80.02</v>
      </c>
      <c r="B63" s="517" t="s">
        <v>175</v>
      </c>
      <c r="C63" s="515">
        <f>'PMOC Profl Infl Adj'!K63</f>
        <v>0</v>
      </c>
      <c r="D63" s="320"/>
      <c r="E63" s="790">
        <v>0</v>
      </c>
      <c r="F63" s="807">
        <v>0</v>
      </c>
      <c r="G63" s="808">
        <f t="shared" si="35"/>
        <v>0</v>
      </c>
      <c r="H63" s="790">
        <v>0</v>
      </c>
      <c r="I63" s="807">
        <v>0</v>
      </c>
      <c r="J63" s="808">
        <f t="shared" si="36"/>
        <v>0</v>
      </c>
      <c r="K63" s="790">
        <v>0</v>
      </c>
      <c r="L63" s="807">
        <v>0</v>
      </c>
      <c r="M63" s="808">
        <f t="shared" si="37"/>
        <v>0</v>
      </c>
      <c r="N63" s="790">
        <v>0</v>
      </c>
      <c r="O63" s="807">
        <v>0</v>
      </c>
      <c r="P63" s="808">
        <f t="shared" si="38"/>
        <v>0</v>
      </c>
      <c r="Q63" s="791">
        <v>0</v>
      </c>
      <c r="R63" s="807">
        <v>0</v>
      </c>
      <c r="S63" s="816">
        <f t="shared" si="39"/>
        <v>0</v>
      </c>
      <c r="T63" s="780"/>
      <c r="U63" s="312"/>
      <c r="V63" s="329">
        <f t="shared" si="40"/>
        <v>1</v>
      </c>
      <c r="W63" s="330">
        <f t="shared" si="41"/>
        <v>0</v>
      </c>
      <c r="X63" s="331">
        <f t="shared" si="42"/>
        <v>0</v>
      </c>
      <c r="Y63" s="332">
        <f t="shared" si="43"/>
        <v>0</v>
      </c>
      <c r="Z63" s="303"/>
    </row>
    <row r="64" spans="1:32">
      <c r="A64" s="513">
        <v>80.03</v>
      </c>
      <c r="B64" s="517" t="s">
        <v>57</v>
      </c>
      <c r="C64" s="515">
        <f>'PMOC Profl Infl Adj'!K64</f>
        <v>0</v>
      </c>
      <c r="D64" s="320"/>
      <c r="E64" s="790">
        <v>0</v>
      </c>
      <c r="F64" s="807">
        <v>0</v>
      </c>
      <c r="G64" s="808">
        <f t="shared" si="35"/>
        <v>0</v>
      </c>
      <c r="H64" s="790">
        <v>0</v>
      </c>
      <c r="I64" s="807">
        <v>0</v>
      </c>
      <c r="J64" s="808">
        <f t="shared" si="36"/>
        <v>0</v>
      </c>
      <c r="K64" s="790">
        <v>0</v>
      </c>
      <c r="L64" s="807">
        <v>0</v>
      </c>
      <c r="M64" s="808">
        <f t="shared" si="37"/>
        <v>0</v>
      </c>
      <c r="N64" s="790">
        <v>0</v>
      </c>
      <c r="O64" s="807">
        <v>0</v>
      </c>
      <c r="P64" s="808">
        <f t="shared" si="38"/>
        <v>0</v>
      </c>
      <c r="Q64" s="791">
        <v>0</v>
      </c>
      <c r="R64" s="807">
        <v>0</v>
      </c>
      <c r="S64" s="816">
        <f t="shared" si="39"/>
        <v>0</v>
      </c>
      <c r="T64" s="780"/>
      <c r="U64" s="312"/>
      <c r="V64" s="329">
        <f t="shared" si="40"/>
        <v>1</v>
      </c>
      <c r="W64" s="330">
        <f t="shared" si="41"/>
        <v>0</v>
      </c>
      <c r="X64" s="331">
        <f t="shared" si="42"/>
        <v>0</v>
      </c>
      <c r="Y64" s="332">
        <f t="shared" si="43"/>
        <v>0</v>
      </c>
      <c r="Z64" s="303"/>
    </row>
    <row r="65" spans="1:33">
      <c r="A65" s="513">
        <v>80.040000000000006</v>
      </c>
      <c r="B65" s="517" t="s">
        <v>58</v>
      </c>
      <c r="C65" s="515">
        <f>'PMOC Profl Infl Adj'!K65</f>
        <v>0</v>
      </c>
      <c r="D65" s="320"/>
      <c r="E65" s="790">
        <v>0</v>
      </c>
      <c r="F65" s="807">
        <v>0</v>
      </c>
      <c r="G65" s="808">
        <f t="shared" si="35"/>
        <v>0</v>
      </c>
      <c r="H65" s="790">
        <v>0</v>
      </c>
      <c r="I65" s="807">
        <v>0</v>
      </c>
      <c r="J65" s="808">
        <f t="shared" si="36"/>
        <v>0</v>
      </c>
      <c r="K65" s="790">
        <v>0</v>
      </c>
      <c r="L65" s="807">
        <v>0</v>
      </c>
      <c r="M65" s="808">
        <f t="shared" si="37"/>
        <v>0</v>
      </c>
      <c r="N65" s="790">
        <v>0</v>
      </c>
      <c r="O65" s="807">
        <v>0</v>
      </c>
      <c r="P65" s="808">
        <f t="shared" si="38"/>
        <v>0</v>
      </c>
      <c r="Q65" s="791">
        <v>0</v>
      </c>
      <c r="R65" s="807">
        <v>0</v>
      </c>
      <c r="S65" s="816">
        <f t="shared" si="39"/>
        <v>0</v>
      </c>
      <c r="T65" s="780"/>
      <c r="U65" s="312"/>
      <c r="V65" s="329">
        <f t="shared" si="40"/>
        <v>1</v>
      </c>
      <c r="W65" s="330">
        <f t="shared" si="41"/>
        <v>0</v>
      </c>
      <c r="X65" s="331">
        <f t="shared" si="42"/>
        <v>0</v>
      </c>
      <c r="Y65" s="332">
        <f t="shared" si="43"/>
        <v>0</v>
      </c>
      <c r="Z65" s="303"/>
    </row>
    <row r="66" spans="1:33">
      <c r="A66" s="513">
        <v>80.05</v>
      </c>
      <c r="B66" s="517" t="s">
        <v>59</v>
      </c>
      <c r="C66" s="515">
        <f>'PMOC Profl Infl Adj'!K66</f>
        <v>0</v>
      </c>
      <c r="D66" s="320"/>
      <c r="E66" s="790">
        <v>0</v>
      </c>
      <c r="F66" s="807">
        <v>0</v>
      </c>
      <c r="G66" s="808">
        <f t="shared" si="35"/>
        <v>0</v>
      </c>
      <c r="H66" s="790">
        <v>0</v>
      </c>
      <c r="I66" s="807">
        <v>0</v>
      </c>
      <c r="J66" s="808">
        <f t="shared" si="36"/>
        <v>0</v>
      </c>
      <c r="K66" s="790">
        <v>0</v>
      </c>
      <c r="L66" s="807">
        <v>0</v>
      </c>
      <c r="M66" s="808">
        <f t="shared" si="37"/>
        <v>0</v>
      </c>
      <c r="N66" s="790">
        <v>0</v>
      </c>
      <c r="O66" s="807">
        <v>0</v>
      </c>
      <c r="P66" s="808">
        <f t="shared" si="38"/>
        <v>0</v>
      </c>
      <c r="Q66" s="791">
        <v>0</v>
      </c>
      <c r="R66" s="807">
        <v>0</v>
      </c>
      <c r="S66" s="816">
        <f t="shared" si="39"/>
        <v>0</v>
      </c>
      <c r="T66" s="780"/>
      <c r="U66" s="312"/>
      <c r="V66" s="329">
        <f t="shared" si="40"/>
        <v>1</v>
      </c>
      <c r="W66" s="330">
        <f t="shared" si="41"/>
        <v>0</v>
      </c>
      <c r="X66" s="331">
        <f t="shared" si="42"/>
        <v>0</v>
      </c>
      <c r="Y66" s="332">
        <f t="shared" si="43"/>
        <v>0</v>
      </c>
      <c r="Z66" s="303"/>
    </row>
    <row r="67" spans="1:33">
      <c r="A67" s="513">
        <v>80.06</v>
      </c>
      <c r="B67" s="517" t="s">
        <v>60</v>
      </c>
      <c r="C67" s="515">
        <f>'PMOC Profl Infl Adj'!K67</f>
        <v>0</v>
      </c>
      <c r="D67" s="320"/>
      <c r="E67" s="790">
        <v>0</v>
      </c>
      <c r="F67" s="807">
        <v>0</v>
      </c>
      <c r="G67" s="808">
        <f t="shared" si="35"/>
        <v>0</v>
      </c>
      <c r="H67" s="790">
        <v>0</v>
      </c>
      <c r="I67" s="807">
        <v>0</v>
      </c>
      <c r="J67" s="808">
        <f t="shared" si="36"/>
        <v>0</v>
      </c>
      <c r="K67" s="790">
        <v>0</v>
      </c>
      <c r="L67" s="807">
        <v>0</v>
      </c>
      <c r="M67" s="808">
        <f t="shared" si="37"/>
        <v>0</v>
      </c>
      <c r="N67" s="790">
        <v>0</v>
      </c>
      <c r="O67" s="807">
        <v>0</v>
      </c>
      <c r="P67" s="808">
        <f t="shared" si="38"/>
        <v>0</v>
      </c>
      <c r="Q67" s="791">
        <v>0</v>
      </c>
      <c r="R67" s="807">
        <v>0</v>
      </c>
      <c r="S67" s="816">
        <f t="shared" si="39"/>
        <v>0</v>
      </c>
      <c r="T67" s="780"/>
      <c r="U67" s="312"/>
      <c r="V67" s="329">
        <f t="shared" si="40"/>
        <v>1</v>
      </c>
      <c r="W67" s="330">
        <f t="shared" si="41"/>
        <v>0</v>
      </c>
      <c r="X67" s="331">
        <f t="shared" si="42"/>
        <v>0</v>
      </c>
      <c r="Y67" s="332">
        <f t="shared" si="43"/>
        <v>0</v>
      </c>
      <c r="Z67" s="303"/>
    </row>
    <row r="68" spans="1:33">
      <c r="A68" s="513">
        <v>80.069999999999993</v>
      </c>
      <c r="B68" s="517" t="s">
        <v>61</v>
      </c>
      <c r="C68" s="515">
        <f>'PMOC Profl Infl Adj'!K68</f>
        <v>0</v>
      </c>
      <c r="D68" s="320"/>
      <c r="E68" s="790">
        <v>0</v>
      </c>
      <c r="F68" s="807">
        <v>0</v>
      </c>
      <c r="G68" s="808">
        <f t="shared" si="35"/>
        <v>0</v>
      </c>
      <c r="H68" s="790">
        <v>0</v>
      </c>
      <c r="I68" s="807">
        <v>0</v>
      </c>
      <c r="J68" s="808">
        <f t="shared" si="36"/>
        <v>0</v>
      </c>
      <c r="K68" s="790">
        <v>0</v>
      </c>
      <c r="L68" s="807">
        <v>0</v>
      </c>
      <c r="M68" s="808">
        <f t="shared" si="37"/>
        <v>0</v>
      </c>
      <c r="N68" s="790">
        <v>0</v>
      </c>
      <c r="O68" s="807">
        <v>0</v>
      </c>
      <c r="P68" s="808">
        <f t="shared" si="38"/>
        <v>0</v>
      </c>
      <c r="Q68" s="791">
        <v>0</v>
      </c>
      <c r="R68" s="807">
        <v>0</v>
      </c>
      <c r="S68" s="816">
        <f t="shared" si="39"/>
        <v>0</v>
      </c>
      <c r="T68" s="780"/>
      <c r="U68" s="312"/>
      <c r="V68" s="329">
        <f t="shared" si="40"/>
        <v>1</v>
      </c>
      <c r="W68" s="330">
        <f t="shared" si="41"/>
        <v>0</v>
      </c>
      <c r="X68" s="331">
        <f t="shared" si="42"/>
        <v>0</v>
      </c>
      <c r="Y68" s="332">
        <f t="shared" si="43"/>
        <v>0</v>
      </c>
      <c r="Z68" s="303"/>
    </row>
    <row r="69" spans="1:33" ht="13.5" thickBot="1">
      <c r="A69" s="513">
        <v>80.08</v>
      </c>
      <c r="B69" s="517" t="s">
        <v>62</v>
      </c>
      <c r="C69" s="516">
        <f>'PMOC Profl Infl Adj'!K69</f>
        <v>0</v>
      </c>
      <c r="D69" s="320"/>
      <c r="E69" s="809">
        <v>0</v>
      </c>
      <c r="F69" s="810">
        <v>0</v>
      </c>
      <c r="G69" s="811">
        <f t="shared" si="35"/>
        <v>0</v>
      </c>
      <c r="H69" s="809">
        <v>0</v>
      </c>
      <c r="I69" s="810">
        <v>0</v>
      </c>
      <c r="J69" s="811">
        <f t="shared" si="36"/>
        <v>0</v>
      </c>
      <c r="K69" s="809">
        <v>0</v>
      </c>
      <c r="L69" s="810">
        <v>0</v>
      </c>
      <c r="M69" s="811">
        <f t="shared" si="37"/>
        <v>0</v>
      </c>
      <c r="N69" s="809">
        <v>0</v>
      </c>
      <c r="O69" s="810">
        <v>0</v>
      </c>
      <c r="P69" s="811">
        <f t="shared" si="38"/>
        <v>0</v>
      </c>
      <c r="Q69" s="812">
        <v>0</v>
      </c>
      <c r="R69" s="810">
        <v>0</v>
      </c>
      <c r="S69" s="819">
        <f t="shared" si="39"/>
        <v>0</v>
      </c>
      <c r="T69" s="781"/>
      <c r="U69" s="312"/>
      <c r="V69" s="344">
        <f t="shared" si="40"/>
        <v>1</v>
      </c>
      <c r="W69" s="345">
        <f t="shared" si="41"/>
        <v>0</v>
      </c>
      <c r="X69" s="346">
        <f t="shared" si="42"/>
        <v>0</v>
      </c>
      <c r="Y69" s="347">
        <f t="shared" si="43"/>
        <v>0</v>
      </c>
      <c r="Z69" s="303"/>
    </row>
    <row r="70" spans="1:33" ht="13.5" thickBot="1">
      <c r="A70" s="306"/>
      <c r="B70" s="509" t="s">
        <v>80</v>
      </c>
      <c r="C70" s="360">
        <f>SUM(C4:C69)</f>
        <v>0</v>
      </c>
      <c r="D70" s="320"/>
      <c r="E70" s="361"/>
      <c r="F70" s="361"/>
      <c r="G70" s="361"/>
      <c r="H70" s="361"/>
      <c r="I70" s="361"/>
      <c r="J70" s="361"/>
      <c r="K70" s="361"/>
      <c r="L70" s="361"/>
      <c r="M70" s="361"/>
      <c r="N70" s="361"/>
      <c r="O70" s="361"/>
      <c r="P70" s="361"/>
      <c r="Q70" s="361"/>
      <c r="R70" s="361"/>
      <c r="S70" s="361"/>
      <c r="T70" s="361"/>
      <c r="U70" s="361"/>
      <c r="V70" s="362">
        <f>IF(RA_lwrbnd,RA_uprbnd/RA_lwrbnd,0)</f>
        <v>0</v>
      </c>
      <c r="W70" s="363">
        <f>SUM(W4:W69)</f>
        <v>0</v>
      </c>
      <c r="X70" s="364">
        <f>SUM(X4:X69)</f>
        <v>0</v>
      </c>
      <c r="Y70" s="337">
        <f>SUM(Y4:Y69)</f>
        <v>0</v>
      </c>
      <c r="Z70" s="303"/>
    </row>
    <row r="71" spans="1:33" ht="13.5" thickBot="1">
      <c r="A71" s="359"/>
      <c r="B71" s="510"/>
      <c r="C71" s="365" t="s">
        <v>75</v>
      </c>
      <c r="D71" s="366"/>
      <c r="E71" s="367"/>
      <c r="F71" s="367"/>
      <c r="G71" s="367"/>
      <c r="H71" s="367"/>
      <c r="I71" s="367"/>
      <c r="J71" s="367"/>
      <c r="K71" s="367"/>
      <c r="L71" s="367"/>
      <c r="M71" s="367"/>
      <c r="N71" s="367"/>
      <c r="O71" s="367"/>
      <c r="P71" s="367"/>
      <c r="Q71" s="367"/>
      <c r="R71" s="367"/>
      <c r="S71" s="367"/>
      <c r="T71" s="367"/>
      <c r="U71" s="367"/>
      <c r="V71" s="368" t="s">
        <v>92</v>
      </c>
      <c r="W71" s="369" t="s">
        <v>76</v>
      </c>
      <c r="X71" s="369" t="s">
        <v>81</v>
      </c>
      <c r="Y71" s="365" t="s">
        <v>82</v>
      </c>
      <c r="Z71" s="303"/>
    </row>
    <row r="72" spans="1:33">
      <c r="A72" s="370"/>
      <c r="B72" s="367"/>
      <c r="C72" s="366"/>
      <c r="D72" s="366"/>
      <c r="E72" s="367"/>
      <c r="F72" s="367"/>
      <c r="G72" s="367"/>
      <c r="H72" s="367"/>
      <c r="I72" s="367"/>
      <c r="J72" s="367"/>
      <c r="K72" s="367"/>
      <c r="L72" s="367"/>
      <c r="M72" s="367"/>
      <c r="N72" s="367"/>
      <c r="O72" s="367"/>
      <c r="P72" s="367"/>
      <c r="Q72" s="367"/>
      <c r="R72" s="367"/>
      <c r="S72" s="367"/>
      <c r="T72" s="367"/>
      <c r="U72" s="367"/>
      <c r="V72" s="367"/>
      <c r="W72" s="367"/>
      <c r="X72" s="367"/>
      <c r="Y72" s="367"/>
      <c r="Z72" s="303"/>
    </row>
    <row r="73" spans="1:33">
      <c r="A73" s="370"/>
      <c r="B73" s="367"/>
      <c r="C73" s="366"/>
      <c r="D73" s="366"/>
      <c r="E73" s="367"/>
      <c r="F73" s="367"/>
      <c r="G73" s="367"/>
      <c r="H73" s="367"/>
      <c r="I73" s="367"/>
      <c r="J73" s="367"/>
      <c r="K73" s="367"/>
      <c r="L73" s="367"/>
      <c r="M73" s="367"/>
      <c r="N73" s="367"/>
      <c r="O73" s="367"/>
      <c r="P73" s="367"/>
      <c r="Q73" s="367"/>
      <c r="R73" s="367"/>
      <c r="S73" s="367"/>
      <c r="T73" s="367"/>
      <c r="U73" s="367"/>
      <c r="V73" s="367"/>
      <c r="W73" s="367"/>
      <c r="X73" s="367"/>
      <c r="Y73" s="367"/>
      <c r="Z73" s="303"/>
    </row>
    <row r="74" spans="1:33" ht="13.5" thickBot="1">
      <c r="A74" s="370"/>
      <c r="B74" s="367"/>
      <c r="C74" s="366"/>
      <c r="D74" s="366"/>
      <c r="E74" s="367"/>
      <c r="F74" s="367"/>
      <c r="G74" s="367"/>
      <c r="H74" s="367"/>
      <c r="I74" s="367"/>
      <c r="J74" s="367"/>
      <c r="K74" s="367"/>
      <c r="L74" s="367"/>
      <c r="M74" s="367"/>
      <c r="N74" s="367"/>
      <c r="O74" s="367"/>
      <c r="P74" s="367"/>
      <c r="Q74" s="367"/>
      <c r="R74" s="367"/>
      <c r="S74" s="367"/>
      <c r="T74" s="367"/>
      <c r="U74" s="367"/>
      <c r="V74" s="367"/>
      <c r="W74" s="367"/>
      <c r="X74" s="367"/>
      <c r="Y74" s="367"/>
      <c r="Z74" s="303"/>
    </row>
    <row r="75" spans="1:33">
      <c r="A75" s="370"/>
      <c r="B75" s="1106" t="s">
        <v>88</v>
      </c>
      <c r="C75" s="1107"/>
      <c r="D75" s="1107"/>
      <c r="E75" s="1107"/>
      <c r="F75" s="753"/>
      <c r="G75" s="602">
        <v>0</v>
      </c>
      <c r="H75" s="371"/>
      <c r="I75" s="371"/>
      <c r="J75" s="371"/>
      <c r="K75" s="371"/>
      <c r="L75" s="371"/>
      <c r="M75" s="371"/>
      <c r="N75" s="371"/>
      <c r="O75" s="371"/>
      <c r="P75" s="372"/>
      <c r="Q75" s="367"/>
      <c r="R75" s="367"/>
      <c r="S75" s="361"/>
      <c r="T75" s="825"/>
      <c r="U75" s="367"/>
      <c r="V75" s="367"/>
      <c r="W75" s="367"/>
      <c r="X75" s="367"/>
      <c r="Y75" s="367"/>
      <c r="Z75" s="303"/>
    </row>
    <row r="76" spans="1:33">
      <c r="A76" s="370"/>
      <c r="B76" s="1102" t="s">
        <v>89</v>
      </c>
      <c r="C76" s="1103"/>
      <c r="D76" s="1103"/>
      <c r="E76" s="1103"/>
      <c r="F76" s="1103"/>
      <c r="G76" s="1103"/>
      <c r="H76" s="1103"/>
      <c r="I76" s="749"/>
      <c r="J76" s="603">
        <v>0</v>
      </c>
      <c r="K76" s="267"/>
      <c r="L76" s="267"/>
      <c r="M76" s="267"/>
      <c r="N76" s="267"/>
      <c r="O76" s="267"/>
      <c r="P76" s="343"/>
      <c r="Q76" s="367"/>
      <c r="R76" s="367"/>
      <c r="S76" s="361"/>
      <c r="T76" s="780"/>
      <c r="U76" s="367"/>
      <c r="V76" s="367"/>
      <c r="W76" s="367"/>
      <c r="X76" s="367"/>
      <c r="Y76" s="367"/>
      <c r="Z76" s="303"/>
    </row>
    <row r="77" spans="1:33">
      <c r="A77" s="370"/>
      <c r="B77" s="1102" t="s">
        <v>90</v>
      </c>
      <c r="C77" s="1103"/>
      <c r="D77" s="1103"/>
      <c r="E77" s="1103"/>
      <c r="F77" s="1103"/>
      <c r="G77" s="1103"/>
      <c r="H77" s="1103"/>
      <c r="I77" s="1103"/>
      <c r="J77" s="1103"/>
      <c r="K77" s="1103"/>
      <c r="L77" s="749"/>
      <c r="M77" s="603">
        <v>0</v>
      </c>
      <c r="N77" s="267"/>
      <c r="O77" s="267"/>
      <c r="P77" s="343"/>
      <c r="Q77" s="367"/>
      <c r="R77" s="367"/>
      <c r="S77" s="361"/>
      <c r="T77" s="780"/>
      <c r="U77" s="367"/>
      <c r="Z77" s="303"/>
    </row>
    <row r="78" spans="1:33" ht="13.5" thickBot="1">
      <c r="A78" s="370"/>
      <c r="B78" s="1104" t="s">
        <v>91</v>
      </c>
      <c r="C78" s="1105"/>
      <c r="D78" s="1105"/>
      <c r="E78" s="1105"/>
      <c r="F78" s="1105"/>
      <c r="G78" s="1105"/>
      <c r="H78" s="1105"/>
      <c r="I78" s="1105"/>
      <c r="J78" s="1105"/>
      <c r="K78" s="1105"/>
      <c r="L78" s="1105"/>
      <c r="M78" s="1105"/>
      <c r="N78" s="1105"/>
      <c r="O78" s="751"/>
      <c r="P78" s="604">
        <v>0</v>
      </c>
      <c r="Q78" s="367"/>
      <c r="R78" s="367"/>
      <c r="S78" s="361"/>
      <c r="T78" s="781"/>
      <c r="U78" s="367"/>
      <c r="Z78" s="303"/>
      <c r="AG78" s="373"/>
    </row>
    <row r="97" spans="2:4">
      <c r="B97" s="374"/>
      <c r="C97" s="375"/>
      <c r="D97" s="375"/>
    </row>
    <row r="98" spans="2:4" ht="12.75" customHeight="1"/>
    <row r="99" spans="2:4" ht="13.5" customHeight="1"/>
    <row r="106" spans="2:4">
      <c r="C106" s="242">
        <f>BETADIST(C97,RA_alpha,RA_beta)</f>
        <v>0</v>
      </c>
    </row>
  </sheetData>
  <sheetProtection algorithmName="SHA-512" hashValue="zfDbA3uA0HB41L3s3SXEUxIC/BnObFUFJOqLKaVkcNkk4vF20eqzF4r9ppmJFTB4eZqojZ3ZkbwpuLhTXGTzlQ==" saltValue="CNJYxylo3p9pZtOY90bSAg==" spinCount="100000" sheet="1" formatCells="0" formatColumns="0" formatRows="0"/>
  <mergeCells count="15">
    <mergeCell ref="E50:S50"/>
    <mergeCell ref="AC1:AF1"/>
    <mergeCell ref="AC18:AF18"/>
    <mergeCell ref="B77:K77"/>
    <mergeCell ref="B78:N78"/>
    <mergeCell ref="B75:E75"/>
    <mergeCell ref="B76:H76"/>
    <mergeCell ref="A2:C2"/>
    <mergeCell ref="E2:G2"/>
    <mergeCell ref="H2:J2"/>
    <mergeCell ref="K2:M2"/>
    <mergeCell ref="N2:P2"/>
    <mergeCell ref="Q2:S2"/>
    <mergeCell ref="E49:S49"/>
    <mergeCell ref="A1:H1"/>
  </mergeCells>
  <pageMargins left="0.75" right="0.75" top="1" bottom="1" header="0.5" footer="0.5"/>
  <pageSetup orientation="portrait" horizontalDpi="4294967293" verticalDpi="4294967293"/>
  <headerFooter alignWithMargins="0"/>
  <ignoredErrors>
    <ignoredError sqref="S18 S26 S32 S41" unlocked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theme="3" tint="0.59999389629810485"/>
  </sheetPr>
  <dimension ref="A1:AF90"/>
  <sheetViews>
    <sheetView zoomScale="85" zoomScaleNormal="8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2.75"/>
  <cols>
    <col min="1" max="1" width="8.85546875" style="242"/>
    <col min="2" max="2" width="54.42578125" style="242" customWidth="1"/>
    <col min="3" max="3" width="10.85546875" style="242" customWidth="1"/>
    <col min="4" max="4" width="3.42578125" style="242" customWidth="1"/>
    <col min="5" max="19" width="6.5703125" style="242" customWidth="1"/>
    <col min="20" max="20" width="52.85546875" style="242" customWidth="1"/>
    <col min="21" max="21" width="2.140625" style="242" customWidth="1"/>
    <col min="22" max="22" width="12" style="242" customWidth="1"/>
    <col min="23" max="25" width="10.85546875" style="242" customWidth="1"/>
    <col min="26" max="26" width="5.85546875" style="242" customWidth="1"/>
    <col min="27" max="28" width="10.85546875" style="242" customWidth="1"/>
    <col min="29" max="29" width="1.5703125" style="242" customWidth="1"/>
    <col min="30" max="32" width="10.85546875" style="242" customWidth="1"/>
    <col min="33" max="16384" width="8.85546875" style="242"/>
  </cols>
  <sheetData>
    <row r="1" spans="1:32" s="768" customFormat="1" ht="87.95" customHeight="1" thickBot="1">
      <c r="A1" s="1117" t="str">
        <f ca="1">MID(CELL("filename",A1), FIND("]", CELL("filename", A1))+ 1, 255)&amp;":  Refer to Base Uncertainty and Project-specific Instructions worksheets and OP40 before completing this worksheet;
"&amp;"1) Enter uncertainty Beta values from addenda in the workbook, based on risk profile progress;
2) Enter Specific Risk Beta changes to individual SCC/Risk Types, by assessing Beta values using the Project-Specific Risk worksheet or other method;
"&amp;"3) Note reasons for changes in the Adjustment comments column"</f>
        <v>Risk Assessment (2):  Refer to Base Uncertainty and Project-specific Instructions worksheets and OP40 before completing this worksheet;
1) Enter uncertainty Beta values from addenda in the workbook, based on risk profile progress;
2) Enter Specific Risk Beta changes to individual SCC/Risk Types, by assessing Beta values using the Project-Specific Risk worksheet or other method;
3) Note reasons for changes in the Adjustment comments column</v>
      </c>
      <c r="B1" s="1118"/>
      <c r="C1" s="1118"/>
      <c r="D1" s="1118"/>
      <c r="E1" s="1118"/>
      <c r="F1" s="1118"/>
      <c r="G1" s="1118"/>
      <c r="H1" s="774"/>
      <c r="I1" s="764"/>
      <c r="J1" s="764"/>
      <c r="K1" s="764"/>
      <c r="L1" s="764"/>
      <c r="M1" s="764"/>
      <c r="N1" s="764"/>
      <c r="O1" s="764"/>
      <c r="P1" s="764"/>
      <c r="Q1" s="764"/>
      <c r="R1" s="764"/>
      <c r="S1" s="764"/>
      <c r="T1" s="764"/>
      <c r="U1" s="764"/>
      <c r="V1" s="782"/>
      <c r="W1" s="782"/>
      <c r="X1" s="782"/>
      <c r="Y1" s="782"/>
      <c r="Z1" s="782"/>
      <c r="AA1" s="782"/>
      <c r="AB1" s="782"/>
      <c r="AC1" s="782"/>
      <c r="AD1" s="782"/>
      <c r="AE1" s="782"/>
      <c r="AF1" s="782"/>
    </row>
    <row r="2" spans="1:32" ht="23.1" customHeight="1" thickBot="1">
      <c r="A2" s="1108" t="str">
        <f>PMRP2ShrtName</f>
        <v>Not Used</v>
      </c>
      <c r="B2" s="1109"/>
      <c r="C2" s="1109"/>
      <c r="D2" s="657"/>
      <c r="E2" s="1110" t="s">
        <v>536</v>
      </c>
      <c r="F2" s="1111"/>
      <c r="G2" s="1112"/>
      <c r="H2" s="1110" t="s">
        <v>539</v>
      </c>
      <c r="I2" s="1111"/>
      <c r="J2" s="1113"/>
      <c r="K2" s="1110" t="s">
        <v>540</v>
      </c>
      <c r="L2" s="1111"/>
      <c r="M2" s="1113"/>
      <c r="N2" s="1110" t="s">
        <v>541</v>
      </c>
      <c r="O2" s="1111"/>
      <c r="P2" s="1113"/>
      <c r="Q2" s="1111" t="s">
        <v>542</v>
      </c>
      <c r="R2" s="1111"/>
      <c r="S2" s="1112"/>
      <c r="T2" s="657"/>
      <c r="U2" s="657"/>
      <c r="V2" s="657"/>
      <c r="W2" s="657"/>
      <c r="X2" s="657"/>
      <c r="Y2" s="657"/>
      <c r="Z2" s="657"/>
      <c r="AA2" s="657"/>
      <c r="AB2" s="657"/>
      <c r="AC2" s="657"/>
      <c r="AD2" s="657"/>
      <c r="AE2" s="657"/>
      <c r="AF2" s="657"/>
    </row>
    <row r="3" spans="1:32" s="305" customFormat="1" ht="38.1" customHeight="1">
      <c r="A3" s="300" t="s">
        <v>11</v>
      </c>
      <c r="B3" s="301" t="s">
        <v>12</v>
      </c>
      <c r="C3" s="302" t="s">
        <v>72</v>
      </c>
      <c r="D3" s="299"/>
      <c r="E3" s="300" t="s">
        <v>538</v>
      </c>
      <c r="F3" s="301" t="s">
        <v>537</v>
      </c>
      <c r="G3" s="302" t="s">
        <v>84</v>
      </c>
      <c r="H3" s="300" t="s">
        <v>538</v>
      </c>
      <c r="I3" s="301" t="s">
        <v>537</v>
      </c>
      <c r="J3" s="302" t="s">
        <v>85</v>
      </c>
      <c r="K3" s="300" t="s">
        <v>538</v>
      </c>
      <c r="L3" s="301" t="s">
        <v>537</v>
      </c>
      <c r="M3" s="302" t="s">
        <v>85</v>
      </c>
      <c r="N3" s="300" t="s">
        <v>538</v>
      </c>
      <c r="O3" s="301" t="s">
        <v>537</v>
      </c>
      <c r="P3" s="302" t="s">
        <v>87</v>
      </c>
      <c r="Q3" s="300" t="s">
        <v>538</v>
      </c>
      <c r="R3" s="301" t="s">
        <v>537</v>
      </c>
      <c r="S3" s="302" t="s">
        <v>553</v>
      </c>
      <c r="T3" s="776" t="s">
        <v>535</v>
      </c>
      <c r="U3" s="299"/>
      <c r="V3" s="300" t="s">
        <v>1</v>
      </c>
      <c r="W3" s="301" t="s">
        <v>71</v>
      </c>
      <c r="X3" s="301" t="s">
        <v>73</v>
      </c>
      <c r="Y3" s="302" t="s">
        <v>7</v>
      </c>
      <c r="Z3" s="303"/>
      <c r="AA3" s="300" t="s">
        <v>0</v>
      </c>
      <c r="AB3" s="302" t="s">
        <v>77</v>
      </c>
      <c r="AC3" s="785"/>
      <c r="AD3" s="300" t="s">
        <v>77</v>
      </c>
      <c r="AE3" s="301" t="s">
        <v>78</v>
      </c>
      <c r="AF3" s="302" t="s">
        <v>79</v>
      </c>
    </row>
    <row r="4" spans="1:32">
      <c r="A4" s="513" t="s">
        <v>165</v>
      </c>
      <c r="B4" s="517"/>
      <c r="C4" s="307"/>
      <c r="D4" s="308"/>
      <c r="E4" s="309"/>
      <c r="F4" s="310"/>
      <c r="G4" s="311"/>
      <c r="H4" s="309"/>
      <c r="I4" s="310"/>
      <c r="J4" s="311"/>
      <c r="K4" s="309"/>
      <c r="L4" s="310"/>
      <c r="M4" s="311"/>
      <c r="N4" s="309"/>
      <c r="O4" s="310"/>
      <c r="P4" s="311"/>
      <c r="Q4" s="777"/>
      <c r="R4" s="777"/>
      <c r="S4" s="779"/>
      <c r="T4" s="780"/>
      <c r="U4" s="312"/>
      <c r="V4" s="313"/>
      <c r="W4" s="314"/>
      <c r="X4" s="314"/>
      <c r="Y4" s="307"/>
      <c r="Z4" s="303"/>
      <c r="AA4" s="315">
        <v>0</v>
      </c>
      <c r="AB4" s="316">
        <f>IF(RA_lwrbnd,RA_lwrbnd,0)</f>
        <v>0</v>
      </c>
      <c r="AC4" s="314"/>
      <c r="AD4" s="317">
        <f>RA_lwrbnd</f>
        <v>0</v>
      </c>
      <c r="AE4" s="318" t="e">
        <f t="shared" ref="AE4:AE14" si="0">BETADIST(AD4,RA_alpha,RA_beta,RA_lwrbnd,RA_uprbnd)</f>
        <v>#NUM!</v>
      </c>
      <c r="AF4" s="319" t="e">
        <f>AE4</f>
        <v>#NUM!</v>
      </c>
    </row>
    <row r="5" spans="1:32">
      <c r="A5" s="513">
        <v>10.01</v>
      </c>
      <c r="B5" s="517" t="s">
        <v>15</v>
      </c>
      <c r="C5" s="514">
        <f>'PMOC Profl Infl Adj'!S5</f>
        <v>0</v>
      </c>
      <c r="D5" s="320"/>
      <c r="E5" s="787">
        <v>0</v>
      </c>
      <c r="F5" s="788">
        <v>0</v>
      </c>
      <c r="G5" s="789">
        <f t="shared" ref="G5:G48" si="1">SUM(E5:F5)+RA_global_rqts_adj</f>
        <v>0</v>
      </c>
      <c r="H5" s="787">
        <v>0</v>
      </c>
      <c r="I5" s="788">
        <v>0</v>
      </c>
      <c r="J5" s="789">
        <f t="shared" ref="J5:J48" si="2">SUM(H5:I5)+RA_global_dsgn_adj</f>
        <v>0</v>
      </c>
      <c r="K5" s="787">
        <v>0</v>
      </c>
      <c r="L5" s="788">
        <v>0</v>
      </c>
      <c r="M5" s="789">
        <f t="shared" ref="M5:M48" si="3">SUM(K5:L5)+RA_global_mkt_adj</f>
        <v>0</v>
      </c>
      <c r="N5" s="787">
        <v>0</v>
      </c>
      <c r="O5" s="788">
        <v>0</v>
      </c>
      <c r="P5" s="789">
        <f t="shared" ref="P5:P48" si="4">SUM(N5:O5)+RA_global_constr_adj</f>
        <v>0</v>
      </c>
      <c r="Q5" s="787">
        <v>0</v>
      </c>
      <c r="R5" s="788">
        <v>0</v>
      </c>
      <c r="S5" s="789">
        <f>SUM(Q5:R5)</f>
        <v>0</v>
      </c>
      <c r="T5" s="780"/>
      <c r="U5" s="312"/>
      <c r="V5" s="321">
        <f t="shared" ref="V5:V17" si="5">1+SUM(G5,J5,M5,P5,S5)</f>
        <v>1</v>
      </c>
      <c r="W5" s="322">
        <f t="shared" ref="W5:W17" si="6">C5*V5</f>
        <v>0</v>
      </c>
      <c r="X5" s="323">
        <f t="shared" ref="X5:X17" si="7">IF(C5,BETAINV(0.5,RA_alpha,RA_beta,C5,W5),0)</f>
        <v>0</v>
      </c>
      <c r="Y5" s="324">
        <f t="shared" ref="Y5:Y17" si="8">((RA_alpha/(RA_alpha+RA_beta))*(W5-C5))+C5</f>
        <v>0</v>
      </c>
      <c r="Z5" s="303"/>
      <c r="AA5" s="325">
        <v>0.1</v>
      </c>
      <c r="AB5" s="326">
        <f t="shared" ref="AB5:AB14" si="9">IF(RA_lwrbnd,BETAINV(AA5,RA_alpha,RA_beta,RA_lwrbnd,RA_uprbnd),0)</f>
        <v>0</v>
      </c>
      <c r="AC5" s="314"/>
      <c r="AD5" s="317">
        <f t="shared" ref="AD5:AD13" si="10">AD4+((RA_uprbnd-RA_lwrbnd)/10)</f>
        <v>0</v>
      </c>
      <c r="AE5" s="327" t="e">
        <f t="shared" si="0"/>
        <v>#NUM!</v>
      </c>
      <c r="AF5" s="328" t="e">
        <f>AE5-AE4</f>
        <v>#NUM!</v>
      </c>
    </row>
    <row r="6" spans="1:32">
      <c r="A6" s="513">
        <v>10.02</v>
      </c>
      <c r="B6" s="517" t="s">
        <v>16</v>
      </c>
      <c r="C6" s="515">
        <f>'PMOC Profl Infl Adj'!S6</f>
        <v>0</v>
      </c>
      <c r="D6" s="320"/>
      <c r="E6" s="790">
        <v>0</v>
      </c>
      <c r="F6" s="791">
        <v>0</v>
      </c>
      <c r="G6" s="792">
        <f t="shared" si="1"/>
        <v>0</v>
      </c>
      <c r="H6" s="790">
        <v>0</v>
      </c>
      <c r="I6" s="791">
        <v>0</v>
      </c>
      <c r="J6" s="792">
        <f t="shared" si="2"/>
        <v>0</v>
      </c>
      <c r="K6" s="790">
        <v>0</v>
      </c>
      <c r="L6" s="791">
        <v>0</v>
      </c>
      <c r="M6" s="792">
        <f t="shared" si="3"/>
        <v>0</v>
      </c>
      <c r="N6" s="790">
        <v>0</v>
      </c>
      <c r="O6" s="791">
        <v>0</v>
      </c>
      <c r="P6" s="792">
        <f t="shared" si="4"/>
        <v>0</v>
      </c>
      <c r="Q6" s="790">
        <v>0</v>
      </c>
      <c r="R6" s="791">
        <v>0</v>
      </c>
      <c r="S6" s="792">
        <f t="shared" ref="S6:S48" si="11">SUM(Q6:R6)</f>
        <v>0</v>
      </c>
      <c r="T6" s="780"/>
      <c r="U6" s="312"/>
      <c r="V6" s="329">
        <f t="shared" si="5"/>
        <v>1</v>
      </c>
      <c r="W6" s="330">
        <f t="shared" si="6"/>
        <v>0</v>
      </c>
      <c r="X6" s="331">
        <f t="shared" si="7"/>
        <v>0</v>
      </c>
      <c r="Y6" s="332">
        <f t="shared" si="8"/>
        <v>0</v>
      </c>
      <c r="Z6" s="303"/>
      <c r="AA6" s="325">
        <v>0.2</v>
      </c>
      <c r="AB6" s="326">
        <f t="shared" si="9"/>
        <v>0</v>
      </c>
      <c r="AC6" s="314"/>
      <c r="AD6" s="317">
        <f t="shared" si="10"/>
        <v>0</v>
      </c>
      <c r="AE6" s="327" t="e">
        <f t="shared" si="0"/>
        <v>#NUM!</v>
      </c>
      <c r="AF6" s="328" t="e">
        <f t="shared" ref="AF6:AF13" si="12">AE6-AE5</f>
        <v>#NUM!</v>
      </c>
    </row>
    <row r="7" spans="1:32">
      <c r="A7" s="513">
        <v>10.029999999999999</v>
      </c>
      <c r="B7" s="517" t="s">
        <v>17</v>
      </c>
      <c r="C7" s="515">
        <f>'PMOC Profl Infl Adj'!S7</f>
        <v>0</v>
      </c>
      <c r="D7" s="320"/>
      <c r="E7" s="790">
        <v>0</v>
      </c>
      <c r="F7" s="791">
        <v>0</v>
      </c>
      <c r="G7" s="792">
        <f t="shared" si="1"/>
        <v>0</v>
      </c>
      <c r="H7" s="790">
        <v>0</v>
      </c>
      <c r="I7" s="791">
        <v>0</v>
      </c>
      <c r="J7" s="792">
        <f t="shared" si="2"/>
        <v>0</v>
      </c>
      <c r="K7" s="790">
        <v>0</v>
      </c>
      <c r="L7" s="791">
        <v>0</v>
      </c>
      <c r="M7" s="792">
        <f t="shared" si="3"/>
        <v>0</v>
      </c>
      <c r="N7" s="790">
        <v>0</v>
      </c>
      <c r="O7" s="791">
        <v>0</v>
      </c>
      <c r="P7" s="792">
        <f t="shared" si="4"/>
        <v>0</v>
      </c>
      <c r="Q7" s="790">
        <v>0</v>
      </c>
      <c r="R7" s="791">
        <v>0</v>
      </c>
      <c r="S7" s="792">
        <f t="shared" si="11"/>
        <v>0</v>
      </c>
      <c r="T7" s="780"/>
      <c r="U7" s="312"/>
      <c r="V7" s="329">
        <f t="shared" si="5"/>
        <v>1</v>
      </c>
      <c r="W7" s="330">
        <f t="shared" si="6"/>
        <v>0</v>
      </c>
      <c r="X7" s="331">
        <f t="shared" si="7"/>
        <v>0</v>
      </c>
      <c r="Y7" s="332">
        <f t="shared" si="8"/>
        <v>0</v>
      </c>
      <c r="Z7" s="303"/>
      <c r="AA7" s="325">
        <v>0.3</v>
      </c>
      <c r="AB7" s="326">
        <f t="shared" si="9"/>
        <v>0</v>
      </c>
      <c r="AC7" s="314"/>
      <c r="AD7" s="317">
        <f t="shared" si="10"/>
        <v>0</v>
      </c>
      <c r="AE7" s="327" t="e">
        <f t="shared" si="0"/>
        <v>#NUM!</v>
      </c>
      <c r="AF7" s="328" t="e">
        <f t="shared" si="12"/>
        <v>#NUM!</v>
      </c>
    </row>
    <row r="8" spans="1:32">
      <c r="A8" s="513">
        <v>10.039999999999999</v>
      </c>
      <c r="B8" s="517" t="s">
        <v>18</v>
      </c>
      <c r="C8" s="515">
        <f>'PMOC Profl Infl Adj'!S8</f>
        <v>0</v>
      </c>
      <c r="D8" s="320"/>
      <c r="E8" s="790">
        <v>0</v>
      </c>
      <c r="F8" s="791">
        <v>0</v>
      </c>
      <c r="G8" s="792">
        <f t="shared" si="1"/>
        <v>0</v>
      </c>
      <c r="H8" s="790">
        <v>0</v>
      </c>
      <c r="I8" s="791">
        <v>0</v>
      </c>
      <c r="J8" s="792">
        <f t="shared" si="2"/>
        <v>0</v>
      </c>
      <c r="K8" s="790">
        <v>0</v>
      </c>
      <c r="L8" s="791">
        <v>0</v>
      </c>
      <c r="M8" s="792">
        <f t="shared" si="3"/>
        <v>0</v>
      </c>
      <c r="N8" s="790">
        <v>0</v>
      </c>
      <c r="O8" s="791">
        <v>0</v>
      </c>
      <c r="P8" s="792">
        <f t="shared" si="4"/>
        <v>0</v>
      </c>
      <c r="Q8" s="790">
        <v>0</v>
      </c>
      <c r="R8" s="791">
        <v>0</v>
      </c>
      <c r="S8" s="792">
        <f t="shared" si="11"/>
        <v>0</v>
      </c>
      <c r="T8" s="780"/>
      <c r="U8" s="312"/>
      <c r="V8" s="329">
        <f t="shared" si="5"/>
        <v>1</v>
      </c>
      <c r="W8" s="330">
        <f t="shared" si="6"/>
        <v>0</v>
      </c>
      <c r="X8" s="331">
        <f t="shared" si="7"/>
        <v>0</v>
      </c>
      <c r="Y8" s="332">
        <f t="shared" si="8"/>
        <v>0</v>
      </c>
      <c r="Z8" s="303"/>
      <c r="AA8" s="325">
        <v>0.4</v>
      </c>
      <c r="AB8" s="326">
        <f t="shared" si="9"/>
        <v>0</v>
      </c>
      <c r="AC8" s="314"/>
      <c r="AD8" s="317">
        <f t="shared" si="10"/>
        <v>0</v>
      </c>
      <c r="AE8" s="327" t="e">
        <f t="shared" si="0"/>
        <v>#NUM!</v>
      </c>
      <c r="AF8" s="328" t="e">
        <f t="shared" si="12"/>
        <v>#NUM!</v>
      </c>
    </row>
    <row r="9" spans="1:32">
      <c r="A9" s="513">
        <v>10.050000000000001</v>
      </c>
      <c r="B9" s="517" t="s">
        <v>19</v>
      </c>
      <c r="C9" s="515">
        <f>'PMOC Profl Infl Adj'!S9</f>
        <v>0</v>
      </c>
      <c r="D9" s="320"/>
      <c r="E9" s="790">
        <v>0</v>
      </c>
      <c r="F9" s="791">
        <v>0</v>
      </c>
      <c r="G9" s="792">
        <f t="shared" si="1"/>
        <v>0</v>
      </c>
      <c r="H9" s="790">
        <v>0</v>
      </c>
      <c r="I9" s="791">
        <v>0</v>
      </c>
      <c r="J9" s="792">
        <f t="shared" si="2"/>
        <v>0</v>
      </c>
      <c r="K9" s="790">
        <v>0</v>
      </c>
      <c r="L9" s="791">
        <v>0</v>
      </c>
      <c r="M9" s="792">
        <f t="shared" si="3"/>
        <v>0</v>
      </c>
      <c r="N9" s="790">
        <v>0</v>
      </c>
      <c r="O9" s="791">
        <v>0</v>
      </c>
      <c r="P9" s="792">
        <f t="shared" si="4"/>
        <v>0</v>
      </c>
      <c r="Q9" s="790">
        <v>0</v>
      </c>
      <c r="R9" s="791">
        <v>0</v>
      </c>
      <c r="S9" s="792">
        <f t="shared" si="11"/>
        <v>0</v>
      </c>
      <c r="T9" s="780"/>
      <c r="U9" s="312"/>
      <c r="V9" s="329">
        <f t="shared" si="5"/>
        <v>1</v>
      </c>
      <c r="W9" s="330">
        <f t="shared" si="6"/>
        <v>0</v>
      </c>
      <c r="X9" s="331">
        <f t="shared" si="7"/>
        <v>0</v>
      </c>
      <c r="Y9" s="332">
        <f t="shared" si="8"/>
        <v>0</v>
      </c>
      <c r="Z9" s="303"/>
      <c r="AA9" s="325">
        <v>0.5</v>
      </c>
      <c r="AB9" s="326">
        <f t="shared" si="9"/>
        <v>0</v>
      </c>
      <c r="AC9" s="314"/>
      <c r="AD9" s="317">
        <f t="shared" si="10"/>
        <v>0</v>
      </c>
      <c r="AE9" s="327" t="e">
        <f t="shared" si="0"/>
        <v>#NUM!</v>
      </c>
      <c r="AF9" s="328" t="e">
        <f t="shared" si="12"/>
        <v>#NUM!</v>
      </c>
    </row>
    <row r="10" spans="1:32">
      <c r="A10" s="513">
        <v>10.06</v>
      </c>
      <c r="B10" s="517" t="s">
        <v>20</v>
      </c>
      <c r="C10" s="515">
        <f>'PMOC Profl Infl Adj'!S10</f>
        <v>0</v>
      </c>
      <c r="D10" s="320"/>
      <c r="E10" s="790">
        <v>0</v>
      </c>
      <c r="F10" s="791">
        <v>0</v>
      </c>
      <c r="G10" s="792">
        <f t="shared" si="1"/>
        <v>0</v>
      </c>
      <c r="H10" s="790">
        <v>0</v>
      </c>
      <c r="I10" s="791">
        <v>0</v>
      </c>
      <c r="J10" s="792">
        <f t="shared" si="2"/>
        <v>0</v>
      </c>
      <c r="K10" s="790">
        <v>0</v>
      </c>
      <c r="L10" s="791">
        <v>0</v>
      </c>
      <c r="M10" s="792">
        <f t="shared" si="3"/>
        <v>0</v>
      </c>
      <c r="N10" s="790">
        <v>0</v>
      </c>
      <c r="O10" s="791">
        <v>0</v>
      </c>
      <c r="P10" s="792">
        <f t="shared" si="4"/>
        <v>0</v>
      </c>
      <c r="Q10" s="790">
        <v>0</v>
      </c>
      <c r="R10" s="791">
        <v>0</v>
      </c>
      <c r="S10" s="792">
        <f t="shared" si="11"/>
        <v>0</v>
      </c>
      <c r="T10" s="780"/>
      <c r="U10" s="312"/>
      <c r="V10" s="329">
        <f t="shared" si="5"/>
        <v>1</v>
      </c>
      <c r="W10" s="330">
        <f t="shared" si="6"/>
        <v>0</v>
      </c>
      <c r="X10" s="331">
        <f t="shared" si="7"/>
        <v>0</v>
      </c>
      <c r="Y10" s="332">
        <f t="shared" si="8"/>
        <v>0</v>
      </c>
      <c r="Z10" s="303"/>
      <c r="AA10" s="325">
        <v>0.6</v>
      </c>
      <c r="AB10" s="326">
        <f t="shared" si="9"/>
        <v>0</v>
      </c>
      <c r="AC10" s="314"/>
      <c r="AD10" s="317">
        <f t="shared" si="10"/>
        <v>0</v>
      </c>
      <c r="AE10" s="327" t="e">
        <f t="shared" si="0"/>
        <v>#NUM!</v>
      </c>
      <c r="AF10" s="328" t="e">
        <f t="shared" si="12"/>
        <v>#NUM!</v>
      </c>
    </row>
    <row r="11" spans="1:32">
      <c r="A11" s="513">
        <v>10.07</v>
      </c>
      <c r="B11" s="517" t="s">
        <v>21</v>
      </c>
      <c r="C11" s="515">
        <f>'PMOC Profl Infl Adj'!S11</f>
        <v>0</v>
      </c>
      <c r="D11" s="320"/>
      <c r="E11" s="790">
        <v>0</v>
      </c>
      <c r="F11" s="791">
        <v>0</v>
      </c>
      <c r="G11" s="792">
        <f t="shared" si="1"/>
        <v>0</v>
      </c>
      <c r="H11" s="790">
        <v>0</v>
      </c>
      <c r="I11" s="791">
        <v>0</v>
      </c>
      <c r="J11" s="792">
        <f t="shared" si="2"/>
        <v>0</v>
      </c>
      <c r="K11" s="790">
        <v>0</v>
      </c>
      <c r="L11" s="791">
        <v>0</v>
      </c>
      <c r="M11" s="792">
        <f t="shared" si="3"/>
        <v>0</v>
      </c>
      <c r="N11" s="790">
        <v>0</v>
      </c>
      <c r="O11" s="791">
        <v>0</v>
      </c>
      <c r="P11" s="792">
        <f t="shared" si="4"/>
        <v>0</v>
      </c>
      <c r="Q11" s="790">
        <v>0</v>
      </c>
      <c r="R11" s="791">
        <v>0</v>
      </c>
      <c r="S11" s="792">
        <f t="shared" si="11"/>
        <v>0</v>
      </c>
      <c r="T11" s="780"/>
      <c r="U11" s="312"/>
      <c r="V11" s="329">
        <f t="shared" si="5"/>
        <v>1</v>
      </c>
      <c r="W11" s="330">
        <f t="shared" si="6"/>
        <v>0</v>
      </c>
      <c r="X11" s="331">
        <f t="shared" si="7"/>
        <v>0</v>
      </c>
      <c r="Y11" s="332">
        <f t="shared" si="8"/>
        <v>0</v>
      </c>
      <c r="Z11" s="303"/>
      <c r="AA11" s="325">
        <v>0.65</v>
      </c>
      <c r="AB11" s="326">
        <f t="shared" si="9"/>
        <v>0</v>
      </c>
      <c r="AC11" s="314"/>
      <c r="AD11" s="317">
        <f t="shared" si="10"/>
        <v>0</v>
      </c>
      <c r="AE11" s="327" t="e">
        <f t="shared" si="0"/>
        <v>#NUM!</v>
      </c>
      <c r="AF11" s="328" t="e">
        <f t="shared" si="12"/>
        <v>#NUM!</v>
      </c>
    </row>
    <row r="12" spans="1:32">
      <c r="A12" s="513">
        <v>10.08</v>
      </c>
      <c r="B12" s="517" t="s">
        <v>22</v>
      </c>
      <c r="C12" s="515">
        <f>'PMOC Profl Infl Adj'!S12</f>
        <v>0</v>
      </c>
      <c r="D12" s="320"/>
      <c r="E12" s="790">
        <v>0</v>
      </c>
      <c r="F12" s="791">
        <v>0</v>
      </c>
      <c r="G12" s="792">
        <f t="shared" si="1"/>
        <v>0</v>
      </c>
      <c r="H12" s="790">
        <v>0</v>
      </c>
      <c r="I12" s="791">
        <v>0</v>
      </c>
      <c r="J12" s="792">
        <f t="shared" si="2"/>
        <v>0</v>
      </c>
      <c r="K12" s="790">
        <v>0</v>
      </c>
      <c r="L12" s="791">
        <v>0</v>
      </c>
      <c r="M12" s="792">
        <f t="shared" si="3"/>
        <v>0</v>
      </c>
      <c r="N12" s="790">
        <v>0</v>
      </c>
      <c r="O12" s="791">
        <v>0</v>
      </c>
      <c r="P12" s="792">
        <f t="shared" si="4"/>
        <v>0</v>
      </c>
      <c r="Q12" s="790">
        <v>0</v>
      </c>
      <c r="R12" s="791">
        <v>0</v>
      </c>
      <c r="S12" s="792">
        <f t="shared" si="11"/>
        <v>0</v>
      </c>
      <c r="T12" s="780"/>
      <c r="U12" s="312"/>
      <c r="V12" s="329">
        <f t="shared" si="5"/>
        <v>1</v>
      </c>
      <c r="W12" s="330">
        <f t="shared" si="6"/>
        <v>0</v>
      </c>
      <c r="X12" s="331">
        <f t="shared" si="7"/>
        <v>0</v>
      </c>
      <c r="Y12" s="332">
        <f t="shared" si="8"/>
        <v>0</v>
      </c>
      <c r="Z12" s="303"/>
      <c r="AA12" s="325">
        <v>0.7</v>
      </c>
      <c r="AB12" s="326">
        <f t="shared" si="9"/>
        <v>0</v>
      </c>
      <c r="AC12" s="314"/>
      <c r="AD12" s="317">
        <f t="shared" si="10"/>
        <v>0</v>
      </c>
      <c r="AE12" s="327" t="e">
        <f t="shared" si="0"/>
        <v>#NUM!</v>
      </c>
      <c r="AF12" s="328" t="e">
        <f t="shared" si="12"/>
        <v>#NUM!</v>
      </c>
    </row>
    <row r="13" spans="1:32">
      <c r="A13" s="513">
        <v>10.09</v>
      </c>
      <c r="B13" s="517" t="s">
        <v>23</v>
      </c>
      <c r="C13" s="515">
        <f>'PMOC Profl Infl Adj'!S13</f>
        <v>0</v>
      </c>
      <c r="D13" s="320"/>
      <c r="E13" s="790">
        <v>0</v>
      </c>
      <c r="F13" s="791">
        <v>0</v>
      </c>
      <c r="G13" s="792">
        <f t="shared" si="1"/>
        <v>0</v>
      </c>
      <c r="H13" s="790">
        <v>0</v>
      </c>
      <c r="I13" s="791">
        <v>0</v>
      </c>
      <c r="J13" s="792">
        <f t="shared" si="2"/>
        <v>0</v>
      </c>
      <c r="K13" s="790">
        <v>0</v>
      </c>
      <c r="L13" s="791">
        <v>0</v>
      </c>
      <c r="M13" s="792">
        <f t="shared" si="3"/>
        <v>0</v>
      </c>
      <c r="N13" s="790">
        <v>0</v>
      </c>
      <c r="O13" s="791">
        <v>0</v>
      </c>
      <c r="P13" s="792">
        <f t="shared" si="4"/>
        <v>0</v>
      </c>
      <c r="Q13" s="790">
        <v>0</v>
      </c>
      <c r="R13" s="791">
        <v>0</v>
      </c>
      <c r="S13" s="792">
        <f t="shared" si="11"/>
        <v>0</v>
      </c>
      <c r="T13" s="780"/>
      <c r="U13" s="312"/>
      <c r="V13" s="329">
        <f t="shared" si="5"/>
        <v>1</v>
      </c>
      <c r="W13" s="330">
        <f t="shared" si="6"/>
        <v>0</v>
      </c>
      <c r="X13" s="331">
        <f t="shared" si="7"/>
        <v>0</v>
      </c>
      <c r="Y13" s="332">
        <f t="shared" si="8"/>
        <v>0</v>
      </c>
      <c r="Z13" s="303"/>
      <c r="AA13" s="325">
        <v>0.8</v>
      </c>
      <c r="AB13" s="326">
        <f t="shared" si="9"/>
        <v>0</v>
      </c>
      <c r="AC13" s="314"/>
      <c r="AD13" s="317">
        <f t="shared" si="10"/>
        <v>0</v>
      </c>
      <c r="AE13" s="327" t="e">
        <f t="shared" si="0"/>
        <v>#NUM!</v>
      </c>
      <c r="AF13" s="328" t="e">
        <f t="shared" si="12"/>
        <v>#NUM!</v>
      </c>
    </row>
    <row r="14" spans="1:32" ht="13.5" thickBot="1">
      <c r="A14" s="513">
        <v>10.1</v>
      </c>
      <c r="B14" s="517" t="s">
        <v>24</v>
      </c>
      <c r="C14" s="515">
        <f>'PMOC Profl Infl Adj'!S14</f>
        <v>0</v>
      </c>
      <c r="D14" s="320"/>
      <c r="E14" s="790">
        <v>0</v>
      </c>
      <c r="F14" s="791">
        <v>0</v>
      </c>
      <c r="G14" s="792">
        <f t="shared" si="1"/>
        <v>0</v>
      </c>
      <c r="H14" s="790">
        <v>0</v>
      </c>
      <c r="I14" s="791">
        <v>0</v>
      </c>
      <c r="J14" s="792">
        <f t="shared" si="2"/>
        <v>0</v>
      </c>
      <c r="K14" s="790">
        <v>0</v>
      </c>
      <c r="L14" s="791">
        <v>0</v>
      </c>
      <c r="M14" s="792">
        <f t="shared" si="3"/>
        <v>0</v>
      </c>
      <c r="N14" s="790">
        <v>0</v>
      </c>
      <c r="O14" s="791">
        <v>0</v>
      </c>
      <c r="P14" s="792">
        <f t="shared" si="4"/>
        <v>0</v>
      </c>
      <c r="Q14" s="790">
        <v>0</v>
      </c>
      <c r="R14" s="791">
        <v>0</v>
      </c>
      <c r="S14" s="792">
        <f t="shared" si="11"/>
        <v>0</v>
      </c>
      <c r="T14" s="780"/>
      <c r="U14" s="312"/>
      <c r="V14" s="329">
        <f t="shared" si="5"/>
        <v>1</v>
      </c>
      <c r="W14" s="330">
        <f t="shared" si="6"/>
        <v>0</v>
      </c>
      <c r="X14" s="331">
        <f t="shared" si="7"/>
        <v>0</v>
      </c>
      <c r="Y14" s="332">
        <f t="shared" si="8"/>
        <v>0</v>
      </c>
      <c r="Z14" s="303"/>
      <c r="AA14" s="325">
        <v>0.9</v>
      </c>
      <c r="AB14" s="326">
        <f t="shared" si="9"/>
        <v>0</v>
      </c>
      <c r="AC14" s="314"/>
      <c r="AD14" s="333">
        <f>RA_uprbnd</f>
        <v>0</v>
      </c>
      <c r="AE14" s="334" t="e">
        <f t="shared" si="0"/>
        <v>#NUM!</v>
      </c>
      <c r="AF14" s="335" t="e">
        <f>AE14-AE13</f>
        <v>#NUM!</v>
      </c>
    </row>
    <row r="15" spans="1:32" ht="13.5" thickBot="1">
      <c r="A15" s="513">
        <v>10.11</v>
      </c>
      <c r="B15" s="517" t="s">
        <v>25</v>
      </c>
      <c r="C15" s="515">
        <f>'PMOC Profl Infl Adj'!S15</f>
        <v>0</v>
      </c>
      <c r="D15" s="320"/>
      <c r="E15" s="790">
        <v>0</v>
      </c>
      <c r="F15" s="791">
        <v>0</v>
      </c>
      <c r="G15" s="792">
        <f t="shared" si="1"/>
        <v>0</v>
      </c>
      <c r="H15" s="790">
        <v>0</v>
      </c>
      <c r="I15" s="791">
        <v>0</v>
      </c>
      <c r="J15" s="792">
        <f t="shared" si="2"/>
        <v>0</v>
      </c>
      <c r="K15" s="790">
        <v>0</v>
      </c>
      <c r="L15" s="791">
        <v>0</v>
      </c>
      <c r="M15" s="792">
        <f t="shared" si="3"/>
        <v>0</v>
      </c>
      <c r="N15" s="790">
        <v>0</v>
      </c>
      <c r="O15" s="791">
        <v>0</v>
      </c>
      <c r="P15" s="792">
        <f t="shared" si="4"/>
        <v>0</v>
      </c>
      <c r="Q15" s="790">
        <v>0</v>
      </c>
      <c r="R15" s="791">
        <v>0</v>
      </c>
      <c r="S15" s="792">
        <f t="shared" si="11"/>
        <v>0</v>
      </c>
      <c r="T15" s="780"/>
      <c r="U15" s="312"/>
      <c r="V15" s="329">
        <f t="shared" si="5"/>
        <v>1</v>
      </c>
      <c r="W15" s="330">
        <f t="shared" si="6"/>
        <v>0</v>
      </c>
      <c r="X15" s="331">
        <f t="shared" si="7"/>
        <v>0</v>
      </c>
      <c r="Y15" s="332">
        <f t="shared" si="8"/>
        <v>0</v>
      </c>
      <c r="Z15" s="303"/>
      <c r="AA15" s="336">
        <v>1</v>
      </c>
      <c r="AB15" s="337">
        <f>RA_uprbnd</f>
        <v>0</v>
      </c>
      <c r="AC15" s="314"/>
      <c r="AD15" s="338"/>
      <c r="AE15" s="339"/>
      <c r="AF15" s="340"/>
    </row>
    <row r="16" spans="1:32">
      <c r="A16" s="513">
        <v>10.119999999999999</v>
      </c>
      <c r="B16" s="517" t="s">
        <v>26</v>
      </c>
      <c r="C16" s="515">
        <f>'PMOC Profl Infl Adj'!S16</f>
        <v>0</v>
      </c>
      <c r="D16" s="320"/>
      <c r="E16" s="790">
        <v>0</v>
      </c>
      <c r="F16" s="791">
        <v>0</v>
      </c>
      <c r="G16" s="792">
        <f t="shared" si="1"/>
        <v>0</v>
      </c>
      <c r="H16" s="790">
        <v>0</v>
      </c>
      <c r="I16" s="791">
        <v>0</v>
      </c>
      <c r="J16" s="792">
        <f t="shared" si="2"/>
        <v>0</v>
      </c>
      <c r="K16" s="790">
        <v>0</v>
      </c>
      <c r="L16" s="791">
        <v>0</v>
      </c>
      <c r="M16" s="792">
        <f t="shared" si="3"/>
        <v>0</v>
      </c>
      <c r="N16" s="790">
        <v>0</v>
      </c>
      <c r="O16" s="791">
        <v>0</v>
      </c>
      <c r="P16" s="792">
        <f t="shared" si="4"/>
        <v>0</v>
      </c>
      <c r="Q16" s="790">
        <v>0</v>
      </c>
      <c r="R16" s="791">
        <v>0</v>
      </c>
      <c r="S16" s="792">
        <f t="shared" si="11"/>
        <v>0</v>
      </c>
      <c r="T16" s="780"/>
      <c r="U16" s="312"/>
      <c r="V16" s="329">
        <f t="shared" si="5"/>
        <v>1</v>
      </c>
      <c r="W16" s="330">
        <f t="shared" si="6"/>
        <v>0</v>
      </c>
      <c r="X16" s="331">
        <f t="shared" si="7"/>
        <v>0</v>
      </c>
      <c r="Y16" s="332">
        <f t="shared" si="8"/>
        <v>0</v>
      </c>
      <c r="Z16" s="303"/>
      <c r="AA16" s="341"/>
      <c r="AB16" s="342"/>
      <c r="AC16" s="267"/>
      <c r="AD16" s="267"/>
      <c r="AE16" s="267"/>
      <c r="AF16" s="343"/>
    </row>
    <row r="17" spans="1:32" ht="13.5" thickBot="1">
      <c r="A17" s="513">
        <v>10.130000000000001</v>
      </c>
      <c r="B17" s="517" t="s">
        <v>27</v>
      </c>
      <c r="C17" s="516">
        <f>'PMOC Profl Infl Adj'!S17</f>
        <v>0</v>
      </c>
      <c r="D17" s="320"/>
      <c r="E17" s="793">
        <v>0</v>
      </c>
      <c r="F17" s="794">
        <v>0</v>
      </c>
      <c r="G17" s="795">
        <f t="shared" si="1"/>
        <v>0</v>
      </c>
      <c r="H17" s="793">
        <v>0</v>
      </c>
      <c r="I17" s="794">
        <v>0</v>
      </c>
      <c r="J17" s="795">
        <f t="shared" si="2"/>
        <v>0</v>
      </c>
      <c r="K17" s="793">
        <v>0</v>
      </c>
      <c r="L17" s="794">
        <v>0</v>
      </c>
      <c r="M17" s="795">
        <f t="shared" si="3"/>
        <v>0</v>
      </c>
      <c r="N17" s="793">
        <v>0</v>
      </c>
      <c r="O17" s="794">
        <v>0</v>
      </c>
      <c r="P17" s="795">
        <f t="shared" si="4"/>
        <v>0</v>
      </c>
      <c r="Q17" s="793">
        <v>0</v>
      </c>
      <c r="R17" s="794">
        <v>0</v>
      </c>
      <c r="S17" s="795">
        <f t="shared" si="11"/>
        <v>0</v>
      </c>
      <c r="T17" s="780"/>
      <c r="U17" s="312"/>
      <c r="V17" s="344">
        <f t="shared" si="5"/>
        <v>1</v>
      </c>
      <c r="W17" s="345">
        <f t="shared" si="6"/>
        <v>0</v>
      </c>
      <c r="X17" s="346">
        <f t="shared" si="7"/>
        <v>0</v>
      </c>
      <c r="Y17" s="347">
        <f t="shared" si="8"/>
        <v>0</v>
      </c>
      <c r="Z17" s="303"/>
      <c r="AA17" s="341"/>
      <c r="AB17" s="267"/>
      <c r="AC17" s="267"/>
      <c r="AD17" s="267"/>
      <c r="AE17" s="267"/>
      <c r="AF17" s="343"/>
    </row>
    <row r="18" spans="1:32" ht="13.5" thickBot="1">
      <c r="A18" s="513" t="s">
        <v>167</v>
      </c>
      <c r="B18" s="517"/>
      <c r="C18" s="307"/>
      <c r="D18" s="308"/>
      <c r="E18" s="796">
        <v>0</v>
      </c>
      <c r="F18" s="797">
        <v>0</v>
      </c>
      <c r="G18" s="798">
        <f>SUM(E18:F18)+RA_global_rqts_adj</f>
        <v>0</v>
      </c>
      <c r="H18" s="796">
        <v>0</v>
      </c>
      <c r="I18" s="797">
        <v>0</v>
      </c>
      <c r="J18" s="798">
        <f>SUM(H18:I18)+RA_global_dsgn_adj</f>
        <v>0</v>
      </c>
      <c r="K18" s="796">
        <v>0</v>
      </c>
      <c r="L18" s="797">
        <v>0</v>
      </c>
      <c r="M18" s="798">
        <f>SUM(K18:L18)+RA_global_mkt_adj</f>
        <v>0</v>
      </c>
      <c r="N18" s="796">
        <v>0</v>
      </c>
      <c r="O18" s="797">
        <v>0</v>
      </c>
      <c r="P18" s="798">
        <f>SUM(N18:O18)+RA_global_constr_adj</f>
        <v>0</v>
      </c>
      <c r="Q18" s="796">
        <v>0</v>
      </c>
      <c r="R18" s="797">
        <v>0</v>
      </c>
      <c r="S18" s="799">
        <f>SUM(Q18:R18)</f>
        <v>0</v>
      </c>
      <c r="T18" s="780"/>
      <c r="U18" s="312"/>
      <c r="V18" s="313"/>
      <c r="W18" s="314"/>
      <c r="X18" s="314"/>
      <c r="Y18" s="307"/>
      <c r="Z18" s="303"/>
      <c r="AA18" s="348">
        <f>RA_lwrrange</f>
        <v>0.4</v>
      </c>
      <c r="AB18" s="349">
        <f>IF(RA_lwrbnd,BETAINV(AA18,RA_alpha,RA_beta,RA_lwrbnd,RA_uprbnd),0)</f>
        <v>0</v>
      </c>
      <c r="AC18" s="1100" t="s">
        <v>136</v>
      </c>
      <c r="AD18" s="1100"/>
      <c r="AE18" s="1100"/>
      <c r="AF18" s="1101"/>
    </row>
    <row r="19" spans="1:32" ht="13.5" thickBot="1">
      <c r="A19" s="513">
        <v>20.010000000000002</v>
      </c>
      <c r="B19" s="517" t="s">
        <v>63</v>
      </c>
      <c r="C19" s="514">
        <f>'PMOC Profl Infl Adj'!S19</f>
        <v>0</v>
      </c>
      <c r="D19" s="320"/>
      <c r="E19" s="787">
        <v>0</v>
      </c>
      <c r="F19" s="788">
        <v>0</v>
      </c>
      <c r="G19" s="789">
        <f t="shared" si="1"/>
        <v>0</v>
      </c>
      <c r="H19" s="790">
        <v>0</v>
      </c>
      <c r="I19" s="791">
        <v>0</v>
      </c>
      <c r="J19" s="789">
        <f t="shared" si="2"/>
        <v>0</v>
      </c>
      <c r="K19" s="787">
        <v>0</v>
      </c>
      <c r="L19" s="788">
        <v>0</v>
      </c>
      <c r="M19" s="789">
        <f t="shared" si="3"/>
        <v>0</v>
      </c>
      <c r="N19" s="787">
        <v>0</v>
      </c>
      <c r="O19" s="788">
        <v>0</v>
      </c>
      <c r="P19" s="789">
        <f t="shared" si="4"/>
        <v>0</v>
      </c>
      <c r="Q19" s="787">
        <v>0</v>
      </c>
      <c r="R19" s="788">
        <v>0</v>
      </c>
      <c r="S19" s="789">
        <f t="shared" si="11"/>
        <v>0</v>
      </c>
      <c r="T19" s="780"/>
      <c r="U19" s="312"/>
      <c r="V19" s="321">
        <f t="shared" ref="V19:V25" si="13">1+SUM(G19,J19,M19,P19,S19)</f>
        <v>1</v>
      </c>
      <c r="W19" s="322">
        <f t="shared" ref="W19:W25" si="14">C19*V19</f>
        <v>0</v>
      </c>
      <c r="X19" s="323">
        <f t="shared" ref="X19:X25" si="15">IF(C19,BETAINV(0.5,RA_alpha,RA_beta,C19,W19),0)</f>
        <v>0</v>
      </c>
      <c r="Y19" s="324">
        <f t="shared" ref="Y19:Y25" si="16">((RA_alpha/(RA_alpha+RA_beta))*(W19-C19))+C19</f>
        <v>0</v>
      </c>
      <c r="Z19" s="303"/>
      <c r="AA19" s="348">
        <f>RA_contingency_percent</f>
        <v>0.65</v>
      </c>
      <c r="AB19" s="349">
        <f>IF(RA_lwrbnd,BETAINV(AA19,RA_alpha,RA_beta,RA_lwrbnd,RA_uprbnd),0)</f>
        <v>0</v>
      </c>
      <c r="AC19" s="350" t="s">
        <v>83</v>
      </c>
      <c r="AD19" s="350"/>
      <c r="AE19" s="350"/>
      <c r="AF19" s="351"/>
    </row>
    <row r="20" spans="1:32" ht="13.5" thickBot="1">
      <c r="A20" s="513">
        <v>20.02</v>
      </c>
      <c r="B20" s="517" t="s">
        <v>64</v>
      </c>
      <c r="C20" s="515">
        <f>'PMOC Profl Infl Adj'!S20</f>
        <v>0</v>
      </c>
      <c r="D20" s="320"/>
      <c r="E20" s="790">
        <v>0</v>
      </c>
      <c r="F20" s="791">
        <v>0</v>
      </c>
      <c r="G20" s="792">
        <f t="shared" si="1"/>
        <v>0</v>
      </c>
      <c r="H20" s="790">
        <v>0</v>
      </c>
      <c r="I20" s="791">
        <v>0</v>
      </c>
      <c r="J20" s="792">
        <f t="shared" si="2"/>
        <v>0</v>
      </c>
      <c r="K20" s="790">
        <v>0</v>
      </c>
      <c r="L20" s="791">
        <v>0</v>
      </c>
      <c r="M20" s="792">
        <f t="shared" si="3"/>
        <v>0</v>
      </c>
      <c r="N20" s="790">
        <v>0</v>
      </c>
      <c r="O20" s="791">
        <v>0</v>
      </c>
      <c r="P20" s="792">
        <f t="shared" si="4"/>
        <v>0</v>
      </c>
      <c r="Q20" s="790">
        <v>0</v>
      </c>
      <c r="R20" s="791">
        <v>0</v>
      </c>
      <c r="S20" s="792">
        <f t="shared" si="11"/>
        <v>0</v>
      </c>
      <c r="T20" s="780"/>
      <c r="U20" s="312"/>
      <c r="V20" s="329">
        <f t="shared" si="13"/>
        <v>1</v>
      </c>
      <c r="W20" s="330">
        <f t="shared" si="14"/>
        <v>0</v>
      </c>
      <c r="X20" s="331">
        <f t="shared" si="15"/>
        <v>0</v>
      </c>
      <c r="Y20" s="332">
        <f t="shared" si="16"/>
        <v>0</v>
      </c>
      <c r="Z20" s="303"/>
      <c r="AA20" s="348">
        <f>RA_uprrange</f>
        <v>0.8</v>
      </c>
      <c r="AB20" s="349">
        <f>IF(RA_lwrbnd,BETAINV(AA20,RA_alpha,RA_beta,RA_lwrbnd,RA_uprbnd),0)</f>
        <v>0</v>
      </c>
      <c r="AC20" s="350" t="s">
        <v>137</v>
      </c>
      <c r="AD20" s="350"/>
      <c r="AE20" s="350"/>
      <c r="AF20" s="351"/>
    </row>
    <row r="21" spans="1:32" ht="12.95" customHeight="1">
      <c r="A21" s="513">
        <v>20.03</v>
      </c>
      <c r="B21" s="517" t="s">
        <v>65</v>
      </c>
      <c r="C21" s="515">
        <f>'PMOC Profl Infl Adj'!S21</f>
        <v>0</v>
      </c>
      <c r="D21" s="320"/>
      <c r="E21" s="790">
        <v>0</v>
      </c>
      <c r="F21" s="791">
        <v>0</v>
      </c>
      <c r="G21" s="792">
        <f t="shared" si="1"/>
        <v>0</v>
      </c>
      <c r="H21" s="790">
        <v>0</v>
      </c>
      <c r="I21" s="791">
        <v>0</v>
      </c>
      <c r="J21" s="792">
        <f t="shared" si="2"/>
        <v>0</v>
      </c>
      <c r="K21" s="790">
        <v>0</v>
      </c>
      <c r="L21" s="791">
        <v>0</v>
      </c>
      <c r="M21" s="792">
        <f t="shared" si="3"/>
        <v>0</v>
      </c>
      <c r="N21" s="790">
        <v>0</v>
      </c>
      <c r="O21" s="791">
        <v>0</v>
      </c>
      <c r="P21" s="792">
        <f t="shared" si="4"/>
        <v>0</v>
      </c>
      <c r="Q21" s="790">
        <v>0</v>
      </c>
      <c r="R21" s="791">
        <v>0</v>
      </c>
      <c r="S21" s="792">
        <f t="shared" si="11"/>
        <v>0</v>
      </c>
      <c r="T21" s="780"/>
      <c r="U21" s="312"/>
      <c r="V21" s="329">
        <f t="shared" si="13"/>
        <v>1</v>
      </c>
      <c r="W21" s="330">
        <f t="shared" si="14"/>
        <v>0</v>
      </c>
      <c r="X21" s="331">
        <f t="shared" si="15"/>
        <v>0</v>
      </c>
      <c r="Y21" s="332">
        <f t="shared" si="16"/>
        <v>0</v>
      </c>
      <c r="Z21" s="303"/>
      <c r="AA21" s="352"/>
      <c r="AB21" s="353"/>
      <c r="AC21" s="353"/>
      <c r="AD21" s="353"/>
      <c r="AE21" s="353"/>
      <c r="AF21" s="354"/>
    </row>
    <row r="22" spans="1:32">
      <c r="A22" s="513">
        <v>20.04</v>
      </c>
      <c r="B22" s="517" t="s">
        <v>66</v>
      </c>
      <c r="C22" s="515">
        <f>'PMOC Profl Infl Adj'!S22</f>
        <v>0</v>
      </c>
      <c r="D22" s="320"/>
      <c r="E22" s="790">
        <v>0</v>
      </c>
      <c r="F22" s="791">
        <v>0</v>
      </c>
      <c r="G22" s="792">
        <f t="shared" si="1"/>
        <v>0</v>
      </c>
      <c r="H22" s="790">
        <v>0</v>
      </c>
      <c r="I22" s="791">
        <v>0</v>
      </c>
      <c r="J22" s="792">
        <f t="shared" si="2"/>
        <v>0</v>
      </c>
      <c r="K22" s="790">
        <v>0</v>
      </c>
      <c r="L22" s="791">
        <v>0</v>
      </c>
      <c r="M22" s="792">
        <f t="shared" si="3"/>
        <v>0</v>
      </c>
      <c r="N22" s="790">
        <v>0</v>
      </c>
      <c r="O22" s="791">
        <v>0</v>
      </c>
      <c r="P22" s="792">
        <f t="shared" si="4"/>
        <v>0</v>
      </c>
      <c r="Q22" s="790">
        <v>0</v>
      </c>
      <c r="R22" s="791">
        <v>0</v>
      </c>
      <c r="S22" s="792">
        <f t="shared" si="11"/>
        <v>0</v>
      </c>
      <c r="T22" s="780"/>
      <c r="U22" s="312"/>
      <c r="V22" s="329">
        <f t="shared" si="13"/>
        <v>1</v>
      </c>
      <c r="W22" s="330">
        <f t="shared" si="14"/>
        <v>0</v>
      </c>
      <c r="X22" s="331">
        <f t="shared" si="15"/>
        <v>0</v>
      </c>
      <c r="Y22" s="332">
        <f t="shared" si="16"/>
        <v>0</v>
      </c>
      <c r="Z22" s="303"/>
      <c r="AA22" s="352"/>
      <c r="AB22" s="353"/>
      <c r="AC22" s="353"/>
      <c r="AD22" s="353"/>
      <c r="AE22" s="353"/>
      <c r="AF22" s="354"/>
    </row>
    <row r="23" spans="1:32">
      <c r="A23" s="513">
        <v>20.05</v>
      </c>
      <c r="B23" s="517" t="s">
        <v>67</v>
      </c>
      <c r="C23" s="515">
        <f>'PMOC Profl Infl Adj'!S23</f>
        <v>0</v>
      </c>
      <c r="D23" s="320"/>
      <c r="E23" s="790">
        <v>0</v>
      </c>
      <c r="F23" s="791">
        <v>0</v>
      </c>
      <c r="G23" s="792">
        <f t="shared" si="1"/>
        <v>0</v>
      </c>
      <c r="H23" s="790">
        <v>0</v>
      </c>
      <c r="I23" s="791">
        <v>0</v>
      </c>
      <c r="J23" s="792">
        <f t="shared" si="2"/>
        <v>0</v>
      </c>
      <c r="K23" s="790">
        <v>0</v>
      </c>
      <c r="L23" s="791">
        <v>0</v>
      </c>
      <c r="M23" s="792">
        <f t="shared" si="3"/>
        <v>0</v>
      </c>
      <c r="N23" s="790">
        <v>0</v>
      </c>
      <c r="O23" s="791">
        <v>0</v>
      </c>
      <c r="P23" s="792">
        <f t="shared" si="4"/>
        <v>0</v>
      </c>
      <c r="Q23" s="790">
        <v>0</v>
      </c>
      <c r="R23" s="791">
        <v>0</v>
      </c>
      <c r="S23" s="792">
        <f t="shared" si="11"/>
        <v>0</v>
      </c>
      <c r="T23" s="780"/>
      <c r="U23" s="312"/>
      <c r="V23" s="329">
        <f t="shared" si="13"/>
        <v>1</v>
      </c>
      <c r="W23" s="330">
        <f t="shared" si="14"/>
        <v>0</v>
      </c>
      <c r="X23" s="331">
        <f t="shared" si="15"/>
        <v>0</v>
      </c>
      <c r="Y23" s="332">
        <f t="shared" si="16"/>
        <v>0</v>
      </c>
      <c r="Z23" s="303"/>
      <c r="AA23" s="355"/>
      <c r="AB23" s="353"/>
      <c r="AC23" s="353"/>
      <c r="AD23" s="353"/>
      <c r="AE23" s="353"/>
      <c r="AF23" s="354"/>
    </row>
    <row r="24" spans="1:32">
      <c r="A24" s="513">
        <v>20.059999999999999</v>
      </c>
      <c r="B24" s="517" t="s">
        <v>68</v>
      </c>
      <c r="C24" s="515">
        <f>'PMOC Profl Infl Adj'!S24</f>
        <v>0</v>
      </c>
      <c r="D24" s="320"/>
      <c r="E24" s="790">
        <v>0</v>
      </c>
      <c r="F24" s="791">
        <v>0</v>
      </c>
      <c r="G24" s="792">
        <f t="shared" si="1"/>
        <v>0</v>
      </c>
      <c r="H24" s="790">
        <v>0</v>
      </c>
      <c r="I24" s="791">
        <v>0</v>
      </c>
      <c r="J24" s="792">
        <f t="shared" si="2"/>
        <v>0</v>
      </c>
      <c r="K24" s="790">
        <v>0</v>
      </c>
      <c r="L24" s="791">
        <v>0</v>
      </c>
      <c r="M24" s="792">
        <f t="shared" si="3"/>
        <v>0</v>
      </c>
      <c r="N24" s="790">
        <v>0</v>
      </c>
      <c r="O24" s="791">
        <v>0</v>
      </c>
      <c r="P24" s="792">
        <f t="shared" si="4"/>
        <v>0</v>
      </c>
      <c r="Q24" s="790">
        <v>0</v>
      </c>
      <c r="R24" s="791">
        <v>0</v>
      </c>
      <c r="S24" s="792">
        <f t="shared" si="11"/>
        <v>0</v>
      </c>
      <c r="T24" s="780"/>
      <c r="U24" s="312"/>
      <c r="V24" s="329">
        <f t="shared" si="13"/>
        <v>1</v>
      </c>
      <c r="W24" s="330">
        <f t="shared" si="14"/>
        <v>0</v>
      </c>
      <c r="X24" s="331">
        <f t="shared" si="15"/>
        <v>0</v>
      </c>
      <c r="Y24" s="332">
        <f t="shared" si="16"/>
        <v>0</v>
      </c>
      <c r="Z24" s="303"/>
      <c r="AA24" s="355"/>
      <c r="AB24" s="353"/>
      <c r="AC24" s="353"/>
      <c r="AD24" s="353"/>
      <c r="AE24" s="353"/>
      <c r="AF24" s="354"/>
    </row>
    <row r="25" spans="1:32">
      <c r="A25" s="513">
        <v>20.07</v>
      </c>
      <c r="B25" s="517" t="s">
        <v>69</v>
      </c>
      <c r="C25" s="516">
        <f>'PMOC Profl Infl Adj'!S25</f>
        <v>0</v>
      </c>
      <c r="D25" s="320"/>
      <c r="E25" s="793">
        <v>0</v>
      </c>
      <c r="F25" s="794">
        <v>0</v>
      </c>
      <c r="G25" s="795">
        <f t="shared" si="1"/>
        <v>0</v>
      </c>
      <c r="H25" s="793">
        <v>0</v>
      </c>
      <c r="I25" s="794">
        <v>0</v>
      </c>
      <c r="J25" s="795">
        <f t="shared" si="2"/>
        <v>0</v>
      </c>
      <c r="K25" s="793">
        <v>0</v>
      </c>
      <c r="L25" s="794">
        <v>0</v>
      </c>
      <c r="M25" s="795">
        <f t="shared" si="3"/>
        <v>0</v>
      </c>
      <c r="N25" s="793">
        <v>0</v>
      </c>
      <c r="O25" s="794">
        <v>0</v>
      </c>
      <c r="P25" s="795">
        <f t="shared" si="4"/>
        <v>0</v>
      </c>
      <c r="Q25" s="793">
        <v>0</v>
      </c>
      <c r="R25" s="794">
        <v>0</v>
      </c>
      <c r="S25" s="795">
        <f t="shared" si="11"/>
        <v>0</v>
      </c>
      <c r="T25" s="780"/>
      <c r="U25" s="312"/>
      <c r="V25" s="344">
        <f t="shared" si="13"/>
        <v>1</v>
      </c>
      <c r="W25" s="345">
        <f t="shared" si="14"/>
        <v>0</v>
      </c>
      <c r="X25" s="346">
        <f t="shared" si="15"/>
        <v>0</v>
      </c>
      <c r="Y25" s="347">
        <f t="shared" si="16"/>
        <v>0</v>
      </c>
      <c r="Z25" s="303"/>
      <c r="AA25" s="355"/>
      <c r="AB25" s="353"/>
      <c r="AC25" s="353"/>
      <c r="AD25" s="353"/>
      <c r="AE25" s="353"/>
      <c r="AF25" s="354"/>
    </row>
    <row r="26" spans="1:32">
      <c r="A26" s="513" t="s">
        <v>168</v>
      </c>
      <c r="B26" s="517"/>
      <c r="C26" s="307"/>
      <c r="D26" s="308"/>
      <c r="E26" s="796">
        <v>0</v>
      </c>
      <c r="F26" s="797">
        <v>0</v>
      </c>
      <c r="G26" s="798">
        <f>SUM(E26:F26)+RA_global_rqts_adj</f>
        <v>0</v>
      </c>
      <c r="H26" s="796">
        <v>0</v>
      </c>
      <c r="I26" s="797">
        <v>0</v>
      </c>
      <c r="J26" s="798">
        <f>SUM(H26:I26)+RA_global_dsgn_adj</f>
        <v>0</v>
      </c>
      <c r="K26" s="796">
        <v>0</v>
      </c>
      <c r="L26" s="797">
        <v>0</v>
      </c>
      <c r="M26" s="798">
        <f>SUM(K26:L26)+RA_global_mkt_adj</f>
        <v>0</v>
      </c>
      <c r="N26" s="796">
        <v>0</v>
      </c>
      <c r="O26" s="797">
        <v>0</v>
      </c>
      <c r="P26" s="798">
        <f>SUM(N26:O26)+RA_global_constr_adj</f>
        <v>0</v>
      </c>
      <c r="Q26" s="796">
        <v>0</v>
      </c>
      <c r="R26" s="797">
        <v>0</v>
      </c>
      <c r="S26" s="799">
        <f>SUM(Q26:R26)</f>
        <v>0</v>
      </c>
      <c r="T26" s="780"/>
      <c r="U26" s="312"/>
      <c r="V26" s="313"/>
      <c r="W26" s="314"/>
      <c r="X26" s="314"/>
      <c r="Y26" s="307"/>
      <c r="Z26" s="303"/>
      <c r="AA26" s="355"/>
      <c r="AB26" s="353"/>
      <c r="AC26" s="353"/>
      <c r="AD26" s="353"/>
      <c r="AE26" s="353"/>
      <c r="AF26" s="354"/>
    </row>
    <row r="27" spans="1:32">
      <c r="A27" s="513">
        <v>30.01</v>
      </c>
      <c r="B27" s="517" t="s">
        <v>28</v>
      </c>
      <c r="C27" s="514">
        <f>'PMOC Profl Infl Adj'!S27</f>
        <v>0</v>
      </c>
      <c r="D27" s="320"/>
      <c r="E27" s="787">
        <v>0</v>
      </c>
      <c r="F27" s="788">
        <v>0</v>
      </c>
      <c r="G27" s="789">
        <f t="shared" si="1"/>
        <v>0</v>
      </c>
      <c r="H27" s="787">
        <v>0</v>
      </c>
      <c r="I27" s="788">
        <v>0</v>
      </c>
      <c r="J27" s="789">
        <f t="shared" si="2"/>
        <v>0</v>
      </c>
      <c r="K27" s="787">
        <v>0</v>
      </c>
      <c r="L27" s="788">
        <v>0</v>
      </c>
      <c r="M27" s="789">
        <f t="shared" si="3"/>
        <v>0</v>
      </c>
      <c r="N27" s="787">
        <v>0</v>
      </c>
      <c r="O27" s="788">
        <v>0</v>
      </c>
      <c r="P27" s="789">
        <f t="shared" si="4"/>
        <v>0</v>
      </c>
      <c r="Q27" s="787">
        <v>0</v>
      </c>
      <c r="R27" s="788">
        <v>0</v>
      </c>
      <c r="S27" s="789">
        <f t="shared" si="11"/>
        <v>0</v>
      </c>
      <c r="T27" s="780"/>
      <c r="U27" s="312"/>
      <c r="V27" s="321">
        <f>1+SUM(G27,J27,M27,P27,S27)</f>
        <v>1</v>
      </c>
      <c r="W27" s="322">
        <f>C27*V27</f>
        <v>0</v>
      </c>
      <c r="X27" s="323">
        <f>IF(C27,BETAINV(0.5,RA_alpha,RA_beta,C27,W27),0)</f>
        <v>0</v>
      </c>
      <c r="Y27" s="324">
        <f>((RA_alpha/(RA_alpha+RA_beta))*(W27-C27))+C27</f>
        <v>0</v>
      </c>
      <c r="Z27" s="303"/>
      <c r="AA27" s="355"/>
      <c r="AB27" s="353"/>
      <c r="AC27" s="353"/>
      <c r="AD27" s="353"/>
      <c r="AE27" s="353"/>
      <c r="AF27" s="354"/>
    </row>
    <row r="28" spans="1:32">
      <c r="A28" s="513">
        <v>30.02</v>
      </c>
      <c r="B28" s="517" t="s">
        <v>29</v>
      </c>
      <c r="C28" s="515">
        <f>'PMOC Profl Infl Adj'!S28</f>
        <v>0</v>
      </c>
      <c r="D28" s="320"/>
      <c r="E28" s="790">
        <v>0</v>
      </c>
      <c r="F28" s="791">
        <v>0</v>
      </c>
      <c r="G28" s="792">
        <f t="shared" si="1"/>
        <v>0</v>
      </c>
      <c r="H28" s="790">
        <v>0</v>
      </c>
      <c r="I28" s="791">
        <v>0</v>
      </c>
      <c r="J28" s="792">
        <f t="shared" si="2"/>
        <v>0</v>
      </c>
      <c r="K28" s="790">
        <v>0</v>
      </c>
      <c r="L28" s="791">
        <v>0</v>
      </c>
      <c r="M28" s="792">
        <f t="shared" si="3"/>
        <v>0</v>
      </c>
      <c r="N28" s="790">
        <v>0</v>
      </c>
      <c r="O28" s="791">
        <v>0</v>
      </c>
      <c r="P28" s="792">
        <f t="shared" si="4"/>
        <v>0</v>
      </c>
      <c r="Q28" s="790">
        <v>0</v>
      </c>
      <c r="R28" s="791">
        <v>0</v>
      </c>
      <c r="S28" s="792">
        <f t="shared" si="11"/>
        <v>0</v>
      </c>
      <c r="T28" s="780"/>
      <c r="U28" s="312"/>
      <c r="V28" s="329">
        <f>1+SUM(G28,J28,M28,P28,S28)</f>
        <v>1</v>
      </c>
      <c r="W28" s="330">
        <f>C28*V28</f>
        <v>0</v>
      </c>
      <c r="X28" s="331">
        <f>IF(C28,BETAINV(0.5,RA_alpha,RA_beta,C28,W28),0)</f>
        <v>0</v>
      </c>
      <c r="Y28" s="332">
        <f>((RA_alpha/(RA_alpha+RA_beta))*(W28-C28))+C28</f>
        <v>0</v>
      </c>
      <c r="Z28" s="303"/>
      <c r="AA28" s="355"/>
      <c r="AB28" s="353"/>
      <c r="AC28" s="353"/>
      <c r="AD28" s="353"/>
      <c r="AE28" s="353"/>
      <c r="AF28" s="354"/>
    </row>
    <row r="29" spans="1:32">
      <c r="A29" s="513">
        <v>30.03</v>
      </c>
      <c r="B29" s="517" t="s">
        <v>30</v>
      </c>
      <c r="C29" s="515">
        <f>'PMOC Profl Infl Adj'!S29</f>
        <v>0</v>
      </c>
      <c r="D29" s="320"/>
      <c r="E29" s="790">
        <v>0</v>
      </c>
      <c r="F29" s="791">
        <v>0</v>
      </c>
      <c r="G29" s="792">
        <f t="shared" si="1"/>
        <v>0</v>
      </c>
      <c r="H29" s="790">
        <v>0</v>
      </c>
      <c r="I29" s="791">
        <v>0</v>
      </c>
      <c r="J29" s="792">
        <f t="shared" si="2"/>
        <v>0</v>
      </c>
      <c r="K29" s="790">
        <v>0</v>
      </c>
      <c r="L29" s="791">
        <v>0</v>
      </c>
      <c r="M29" s="792">
        <f t="shared" si="3"/>
        <v>0</v>
      </c>
      <c r="N29" s="790">
        <v>0</v>
      </c>
      <c r="O29" s="791">
        <v>0</v>
      </c>
      <c r="P29" s="792">
        <f t="shared" si="4"/>
        <v>0</v>
      </c>
      <c r="Q29" s="790">
        <v>0</v>
      </c>
      <c r="R29" s="791">
        <v>0</v>
      </c>
      <c r="S29" s="792">
        <f t="shared" si="11"/>
        <v>0</v>
      </c>
      <c r="T29" s="780"/>
      <c r="U29" s="312"/>
      <c r="V29" s="329">
        <f>1+SUM(G29,J29,M29,P29,S29)</f>
        <v>1</v>
      </c>
      <c r="W29" s="330">
        <f>C29*V29</f>
        <v>0</v>
      </c>
      <c r="X29" s="331">
        <f>IF(C29,BETAINV(0.5,RA_alpha,RA_beta,C29,W29),0)</f>
        <v>0</v>
      </c>
      <c r="Y29" s="332">
        <f>((RA_alpha/(RA_alpha+RA_beta))*(W29-C29))+C29</f>
        <v>0</v>
      </c>
      <c r="Z29" s="303"/>
      <c r="AA29" s="355"/>
      <c r="AB29" s="353"/>
      <c r="AC29" s="353"/>
      <c r="AD29" s="353"/>
      <c r="AE29" s="353"/>
      <c r="AF29" s="354"/>
    </row>
    <row r="30" spans="1:32">
      <c r="A30" s="513">
        <v>30.04</v>
      </c>
      <c r="B30" s="517" t="s">
        <v>31</v>
      </c>
      <c r="C30" s="515">
        <f>'PMOC Profl Infl Adj'!S30</f>
        <v>0</v>
      </c>
      <c r="D30" s="320"/>
      <c r="E30" s="790">
        <v>0</v>
      </c>
      <c r="F30" s="791">
        <v>0</v>
      </c>
      <c r="G30" s="792">
        <f t="shared" si="1"/>
        <v>0</v>
      </c>
      <c r="H30" s="790">
        <v>0</v>
      </c>
      <c r="I30" s="791">
        <v>0</v>
      </c>
      <c r="J30" s="792">
        <f t="shared" si="2"/>
        <v>0</v>
      </c>
      <c r="K30" s="790">
        <v>0</v>
      </c>
      <c r="L30" s="791">
        <v>0</v>
      </c>
      <c r="M30" s="792">
        <f t="shared" si="3"/>
        <v>0</v>
      </c>
      <c r="N30" s="790">
        <v>0</v>
      </c>
      <c r="O30" s="791">
        <v>0</v>
      </c>
      <c r="P30" s="792">
        <f t="shared" si="4"/>
        <v>0</v>
      </c>
      <c r="Q30" s="790">
        <v>0</v>
      </c>
      <c r="R30" s="791">
        <v>0</v>
      </c>
      <c r="S30" s="792">
        <f t="shared" si="11"/>
        <v>0</v>
      </c>
      <c r="T30" s="780"/>
      <c r="U30" s="312"/>
      <c r="V30" s="329">
        <f>1+SUM(G30,J30,M30,P30,S30)</f>
        <v>1</v>
      </c>
      <c r="W30" s="330">
        <f>C30*V30</f>
        <v>0</v>
      </c>
      <c r="X30" s="331">
        <f>IF(C30,BETAINV(0.5,RA_alpha,RA_beta,C30,W30),0)</f>
        <v>0</v>
      </c>
      <c r="Y30" s="332">
        <f>((RA_alpha/(RA_alpha+RA_beta))*(W30-C30))+C30</f>
        <v>0</v>
      </c>
      <c r="Z30" s="303"/>
      <c r="AA30" s="355"/>
      <c r="AB30" s="353"/>
      <c r="AC30" s="353"/>
      <c r="AD30" s="353"/>
      <c r="AE30" s="353"/>
      <c r="AF30" s="354"/>
    </row>
    <row r="31" spans="1:32">
      <c r="A31" s="513">
        <v>30.05</v>
      </c>
      <c r="B31" s="517" t="s">
        <v>32</v>
      </c>
      <c r="C31" s="516">
        <f>'PMOC Profl Infl Adj'!S31</f>
        <v>0</v>
      </c>
      <c r="D31" s="320"/>
      <c r="E31" s="793">
        <v>0</v>
      </c>
      <c r="F31" s="794">
        <v>0</v>
      </c>
      <c r="G31" s="795">
        <f t="shared" si="1"/>
        <v>0</v>
      </c>
      <c r="H31" s="793">
        <v>0</v>
      </c>
      <c r="I31" s="794">
        <v>0</v>
      </c>
      <c r="J31" s="795">
        <f t="shared" si="2"/>
        <v>0</v>
      </c>
      <c r="K31" s="793">
        <v>0</v>
      </c>
      <c r="L31" s="794">
        <v>0</v>
      </c>
      <c r="M31" s="795">
        <f t="shared" si="3"/>
        <v>0</v>
      </c>
      <c r="N31" s="793">
        <v>0</v>
      </c>
      <c r="O31" s="794">
        <v>0</v>
      </c>
      <c r="P31" s="795">
        <f t="shared" si="4"/>
        <v>0</v>
      </c>
      <c r="Q31" s="793">
        <v>0</v>
      </c>
      <c r="R31" s="794">
        <v>0</v>
      </c>
      <c r="S31" s="795">
        <f t="shared" si="11"/>
        <v>0</v>
      </c>
      <c r="T31" s="780"/>
      <c r="U31" s="312"/>
      <c r="V31" s="344">
        <f>1+SUM(G31,J31,M31,P31,S31)</f>
        <v>1</v>
      </c>
      <c r="W31" s="345">
        <f>C31*V31</f>
        <v>0</v>
      </c>
      <c r="X31" s="346">
        <f>IF(C31,BETAINV(0.5,RA_alpha,RA_beta,C31,W31),0)</f>
        <v>0</v>
      </c>
      <c r="Y31" s="347">
        <f>((RA_alpha/(RA_alpha+RA_beta))*(W31-C31))+C31</f>
        <v>0</v>
      </c>
      <c r="Z31" s="303"/>
      <c r="AA31" s="355"/>
      <c r="AB31" s="353"/>
      <c r="AC31" s="353"/>
      <c r="AD31" s="353"/>
      <c r="AE31" s="353"/>
      <c r="AF31" s="354"/>
    </row>
    <row r="32" spans="1:32">
      <c r="A32" s="513" t="s">
        <v>169</v>
      </c>
      <c r="B32" s="517"/>
      <c r="C32" s="307"/>
      <c r="D32" s="308"/>
      <c r="E32" s="796">
        <v>0</v>
      </c>
      <c r="F32" s="797">
        <v>0</v>
      </c>
      <c r="G32" s="798">
        <f>SUM(E32:F32)+RA_global_rqts_adj</f>
        <v>0</v>
      </c>
      <c r="H32" s="796">
        <v>0</v>
      </c>
      <c r="I32" s="797">
        <v>0</v>
      </c>
      <c r="J32" s="798">
        <f>SUM(H32:I32)+RA_global_dsgn_adj</f>
        <v>0</v>
      </c>
      <c r="K32" s="796">
        <v>0</v>
      </c>
      <c r="L32" s="797">
        <v>0</v>
      </c>
      <c r="M32" s="798">
        <f>SUM(K32:L32)+RA_global_mkt_adj</f>
        <v>0</v>
      </c>
      <c r="N32" s="796">
        <v>0</v>
      </c>
      <c r="O32" s="797">
        <v>0</v>
      </c>
      <c r="P32" s="798">
        <f>SUM(N32:O32)+RA_global_constr_adj</f>
        <v>0</v>
      </c>
      <c r="Q32" s="796">
        <v>0</v>
      </c>
      <c r="R32" s="797">
        <v>0</v>
      </c>
      <c r="S32" s="799">
        <f>SUM(Q32:R32)</f>
        <v>0</v>
      </c>
      <c r="T32" s="780"/>
      <c r="U32" s="312"/>
      <c r="V32" s="313"/>
      <c r="W32" s="314"/>
      <c r="X32" s="314"/>
      <c r="Y32" s="307"/>
      <c r="Z32" s="303"/>
      <c r="AA32" s="355"/>
      <c r="AB32" s="353"/>
      <c r="AC32" s="353"/>
      <c r="AD32" s="353"/>
      <c r="AE32" s="353"/>
      <c r="AF32" s="354"/>
    </row>
    <row r="33" spans="1:32">
      <c r="A33" s="513">
        <v>40.01</v>
      </c>
      <c r="B33" s="517" t="s">
        <v>33</v>
      </c>
      <c r="C33" s="514">
        <f>'PMOC Profl Infl Adj'!S33</f>
        <v>0</v>
      </c>
      <c r="D33" s="320"/>
      <c r="E33" s="787">
        <v>0</v>
      </c>
      <c r="F33" s="788">
        <v>0</v>
      </c>
      <c r="G33" s="789">
        <f t="shared" si="1"/>
        <v>0</v>
      </c>
      <c r="H33" s="787">
        <v>0</v>
      </c>
      <c r="I33" s="788">
        <v>0</v>
      </c>
      <c r="J33" s="789">
        <f t="shared" si="2"/>
        <v>0</v>
      </c>
      <c r="K33" s="787">
        <v>0</v>
      </c>
      <c r="L33" s="788">
        <v>0</v>
      </c>
      <c r="M33" s="789">
        <f t="shared" si="3"/>
        <v>0</v>
      </c>
      <c r="N33" s="787">
        <v>0</v>
      </c>
      <c r="O33" s="788">
        <v>0</v>
      </c>
      <c r="P33" s="789">
        <f t="shared" si="4"/>
        <v>0</v>
      </c>
      <c r="Q33" s="787">
        <v>0</v>
      </c>
      <c r="R33" s="788">
        <v>0</v>
      </c>
      <c r="S33" s="789">
        <f t="shared" si="11"/>
        <v>0</v>
      </c>
      <c r="T33" s="780"/>
      <c r="U33" s="312"/>
      <c r="V33" s="321">
        <f t="shared" ref="V33:V40" si="17">1+SUM(G33,J33,M33,P33,S33)</f>
        <v>1</v>
      </c>
      <c r="W33" s="322">
        <f t="shared" ref="W33:W40" si="18">C33*V33</f>
        <v>0</v>
      </c>
      <c r="X33" s="323">
        <f t="shared" ref="X33:X40" si="19">IF(C33,BETAINV(0.5,RA_alpha,RA_beta,C33,W33),0)</f>
        <v>0</v>
      </c>
      <c r="Y33" s="324">
        <f t="shared" ref="Y33:Y40" si="20">((RA_alpha/(RA_alpha+RA_beta))*(W33-C33))+C33</f>
        <v>0</v>
      </c>
      <c r="Z33" s="303"/>
      <c r="AA33" s="355"/>
      <c r="AB33" s="353"/>
      <c r="AC33" s="353"/>
      <c r="AD33" s="353"/>
      <c r="AE33" s="353"/>
      <c r="AF33" s="354"/>
    </row>
    <row r="34" spans="1:32">
      <c r="A34" s="513">
        <v>40.020000000000003</v>
      </c>
      <c r="B34" s="517" t="s">
        <v>34</v>
      </c>
      <c r="C34" s="515">
        <f>'PMOC Profl Infl Adj'!S34</f>
        <v>0</v>
      </c>
      <c r="D34" s="320"/>
      <c r="E34" s="790">
        <v>0</v>
      </c>
      <c r="F34" s="791">
        <v>0</v>
      </c>
      <c r="G34" s="792">
        <f t="shared" si="1"/>
        <v>0</v>
      </c>
      <c r="H34" s="790">
        <v>0</v>
      </c>
      <c r="I34" s="791">
        <v>0</v>
      </c>
      <c r="J34" s="792">
        <f t="shared" si="2"/>
        <v>0</v>
      </c>
      <c r="K34" s="790">
        <v>0</v>
      </c>
      <c r="L34" s="791">
        <v>0</v>
      </c>
      <c r="M34" s="792">
        <f t="shared" si="3"/>
        <v>0</v>
      </c>
      <c r="N34" s="790">
        <v>0</v>
      </c>
      <c r="O34" s="791">
        <v>0</v>
      </c>
      <c r="P34" s="792">
        <f t="shared" si="4"/>
        <v>0</v>
      </c>
      <c r="Q34" s="790">
        <v>0</v>
      </c>
      <c r="R34" s="791">
        <v>0</v>
      </c>
      <c r="S34" s="792">
        <f t="shared" si="11"/>
        <v>0</v>
      </c>
      <c r="T34" s="780"/>
      <c r="U34" s="312"/>
      <c r="V34" s="329">
        <f t="shared" si="17"/>
        <v>1</v>
      </c>
      <c r="W34" s="330">
        <f t="shared" si="18"/>
        <v>0</v>
      </c>
      <c r="X34" s="331">
        <f t="shared" si="19"/>
        <v>0</v>
      </c>
      <c r="Y34" s="332">
        <f t="shared" si="20"/>
        <v>0</v>
      </c>
      <c r="Z34" s="303"/>
      <c r="AA34" s="355"/>
      <c r="AB34" s="353"/>
      <c r="AC34" s="353"/>
      <c r="AD34" s="353"/>
      <c r="AE34" s="353"/>
      <c r="AF34" s="354"/>
    </row>
    <row r="35" spans="1:32">
      <c r="A35" s="513">
        <v>40.03</v>
      </c>
      <c r="B35" s="517" t="s">
        <v>35</v>
      </c>
      <c r="C35" s="515">
        <f>'PMOC Profl Infl Adj'!S35</f>
        <v>0</v>
      </c>
      <c r="D35" s="320"/>
      <c r="E35" s="790">
        <v>0</v>
      </c>
      <c r="F35" s="791">
        <v>0</v>
      </c>
      <c r="G35" s="792">
        <f t="shared" si="1"/>
        <v>0</v>
      </c>
      <c r="H35" s="790">
        <v>0</v>
      </c>
      <c r="I35" s="791">
        <v>0</v>
      </c>
      <c r="J35" s="792">
        <f t="shared" si="2"/>
        <v>0</v>
      </c>
      <c r="K35" s="790">
        <v>0</v>
      </c>
      <c r="L35" s="791">
        <v>0</v>
      </c>
      <c r="M35" s="792">
        <f t="shared" si="3"/>
        <v>0</v>
      </c>
      <c r="N35" s="790">
        <v>0</v>
      </c>
      <c r="O35" s="791">
        <v>0</v>
      </c>
      <c r="P35" s="792">
        <f t="shared" si="4"/>
        <v>0</v>
      </c>
      <c r="Q35" s="790">
        <v>0</v>
      </c>
      <c r="R35" s="791">
        <v>0</v>
      </c>
      <c r="S35" s="792">
        <f t="shared" si="11"/>
        <v>0</v>
      </c>
      <c r="T35" s="780"/>
      <c r="U35" s="312"/>
      <c r="V35" s="329">
        <f t="shared" si="17"/>
        <v>1</v>
      </c>
      <c r="W35" s="330">
        <f t="shared" si="18"/>
        <v>0</v>
      </c>
      <c r="X35" s="331">
        <f t="shared" si="19"/>
        <v>0</v>
      </c>
      <c r="Y35" s="332">
        <f t="shared" si="20"/>
        <v>0</v>
      </c>
      <c r="Z35" s="303"/>
      <c r="AA35" s="355"/>
      <c r="AB35" s="353"/>
      <c r="AC35" s="353"/>
      <c r="AD35" s="353"/>
      <c r="AE35" s="353"/>
      <c r="AF35" s="354"/>
    </row>
    <row r="36" spans="1:32">
      <c r="A36" s="513">
        <v>40.04</v>
      </c>
      <c r="B36" s="517" t="s">
        <v>36</v>
      </c>
      <c r="C36" s="515">
        <f>'PMOC Profl Infl Adj'!S36</f>
        <v>0</v>
      </c>
      <c r="D36" s="320"/>
      <c r="E36" s="790">
        <v>0</v>
      </c>
      <c r="F36" s="791">
        <v>0</v>
      </c>
      <c r="G36" s="792">
        <f t="shared" si="1"/>
        <v>0</v>
      </c>
      <c r="H36" s="790">
        <v>0</v>
      </c>
      <c r="I36" s="791">
        <v>0</v>
      </c>
      <c r="J36" s="792">
        <f t="shared" si="2"/>
        <v>0</v>
      </c>
      <c r="K36" s="790">
        <v>0</v>
      </c>
      <c r="L36" s="791">
        <v>0</v>
      </c>
      <c r="M36" s="792">
        <f t="shared" si="3"/>
        <v>0</v>
      </c>
      <c r="N36" s="790">
        <v>0</v>
      </c>
      <c r="O36" s="791">
        <v>0</v>
      </c>
      <c r="P36" s="792">
        <f t="shared" si="4"/>
        <v>0</v>
      </c>
      <c r="Q36" s="790">
        <v>0</v>
      </c>
      <c r="R36" s="791">
        <v>0</v>
      </c>
      <c r="S36" s="792">
        <f t="shared" si="11"/>
        <v>0</v>
      </c>
      <c r="T36" s="780"/>
      <c r="U36" s="312"/>
      <c r="V36" s="329">
        <f t="shared" si="17"/>
        <v>1</v>
      </c>
      <c r="W36" s="330">
        <f t="shared" si="18"/>
        <v>0</v>
      </c>
      <c r="X36" s="331">
        <f t="shared" si="19"/>
        <v>0</v>
      </c>
      <c r="Y36" s="332">
        <f t="shared" si="20"/>
        <v>0</v>
      </c>
      <c r="Z36" s="303"/>
      <c r="AA36" s="355"/>
      <c r="AB36" s="353"/>
      <c r="AC36" s="353"/>
      <c r="AD36" s="353"/>
      <c r="AE36" s="353"/>
      <c r="AF36" s="354"/>
    </row>
    <row r="37" spans="1:32">
      <c r="A37" s="513">
        <v>40.049999999999997</v>
      </c>
      <c r="B37" s="517" t="s">
        <v>37</v>
      </c>
      <c r="C37" s="515">
        <f>'PMOC Profl Infl Adj'!S37</f>
        <v>0</v>
      </c>
      <c r="D37" s="320"/>
      <c r="E37" s="790">
        <v>0</v>
      </c>
      <c r="F37" s="791">
        <v>0</v>
      </c>
      <c r="G37" s="792">
        <f t="shared" si="1"/>
        <v>0</v>
      </c>
      <c r="H37" s="790">
        <v>0</v>
      </c>
      <c r="I37" s="791">
        <v>0</v>
      </c>
      <c r="J37" s="792">
        <f t="shared" si="2"/>
        <v>0</v>
      </c>
      <c r="K37" s="790">
        <v>0</v>
      </c>
      <c r="L37" s="791">
        <v>0</v>
      </c>
      <c r="M37" s="792">
        <f t="shared" si="3"/>
        <v>0</v>
      </c>
      <c r="N37" s="790">
        <v>0</v>
      </c>
      <c r="O37" s="791">
        <v>0</v>
      </c>
      <c r="P37" s="792">
        <f t="shared" si="4"/>
        <v>0</v>
      </c>
      <c r="Q37" s="790">
        <v>0</v>
      </c>
      <c r="R37" s="791">
        <v>0</v>
      </c>
      <c r="S37" s="792">
        <f t="shared" si="11"/>
        <v>0</v>
      </c>
      <c r="T37" s="780"/>
      <c r="U37" s="312"/>
      <c r="V37" s="329">
        <f t="shared" si="17"/>
        <v>1</v>
      </c>
      <c r="W37" s="330">
        <f t="shared" si="18"/>
        <v>0</v>
      </c>
      <c r="X37" s="331">
        <f t="shared" si="19"/>
        <v>0</v>
      </c>
      <c r="Y37" s="332">
        <f t="shared" si="20"/>
        <v>0</v>
      </c>
      <c r="Z37" s="303"/>
      <c r="AA37" s="355"/>
      <c r="AB37" s="353"/>
      <c r="AC37" s="353"/>
      <c r="AD37" s="353"/>
      <c r="AE37" s="353"/>
      <c r="AF37" s="354"/>
    </row>
    <row r="38" spans="1:32">
      <c r="A38" s="513">
        <v>40.06</v>
      </c>
      <c r="B38" s="517" t="s">
        <v>38</v>
      </c>
      <c r="C38" s="515">
        <f>'PMOC Profl Infl Adj'!S38</f>
        <v>0</v>
      </c>
      <c r="D38" s="320"/>
      <c r="E38" s="790">
        <v>0</v>
      </c>
      <c r="F38" s="791">
        <v>0</v>
      </c>
      <c r="G38" s="792">
        <f t="shared" si="1"/>
        <v>0</v>
      </c>
      <c r="H38" s="790">
        <v>0</v>
      </c>
      <c r="I38" s="791">
        <v>0</v>
      </c>
      <c r="J38" s="792">
        <f t="shared" si="2"/>
        <v>0</v>
      </c>
      <c r="K38" s="790">
        <v>0</v>
      </c>
      <c r="L38" s="791">
        <v>0</v>
      </c>
      <c r="M38" s="792">
        <f t="shared" si="3"/>
        <v>0</v>
      </c>
      <c r="N38" s="790">
        <v>0</v>
      </c>
      <c r="O38" s="791">
        <v>0</v>
      </c>
      <c r="P38" s="792">
        <f t="shared" si="4"/>
        <v>0</v>
      </c>
      <c r="Q38" s="790">
        <v>0</v>
      </c>
      <c r="R38" s="791">
        <v>0</v>
      </c>
      <c r="S38" s="792">
        <f t="shared" si="11"/>
        <v>0</v>
      </c>
      <c r="T38" s="780"/>
      <c r="U38" s="312"/>
      <c r="V38" s="329">
        <f t="shared" si="17"/>
        <v>1</v>
      </c>
      <c r="W38" s="330">
        <f t="shared" si="18"/>
        <v>0</v>
      </c>
      <c r="X38" s="331">
        <f t="shared" si="19"/>
        <v>0</v>
      </c>
      <c r="Y38" s="332">
        <f t="shared" si="20"/>
        <v>0</v>
      </c>
      <c r="Z38" s="303"/>
      <c r="AA38" s="355"/>
      <c r="AB38" s="353"/>
      <c r="AC38" s="353"/>
      <c r="AD38" s="353"/>
      <c r="AE38" s="353"/>
      <c r="AF38" s="354"/>
    </row>
    <row r="39" spans="1:32">
      <c r="A39" s="513">
        <v>40.07</v>
      </c>
      <c r="B39" s="517" t="s">
        <v>39</v>
      </c>
      <c r="C39" s="515">
        <f>'PMOC Profl Infl Adj'!S39</f>
        <v>0</v>
      </c>
      <c r="D39" s="320"/>
      <c r="E39" s="790">
        <v>0</v>
      </c>
      <c r="F39" s="791">
        <v>0</v>
      </c>
      <c r="G39" s="792">
        <f t="shared" si="1"/>
        <v>0</v>
      </c>
      <c r="H39" s="790">
        <v>0</v>
      </c>
      <c r="I39" s="791">
        <v>0</v>
      </c>
      <c r="J39" s="792">
        <f t="shared" si="2"/>
        <v>0</v>
      </c>
      <c r="K39" s="790">
        <v>0</v>
      </c>
      <c r="L39" s="791">
        <v>0</v>
      </c>
      <c r="M39" s="792">
        <f t="shared" si="3"/>
        <v>0</v>
      </c>
      <c r="N39" s="790">
        <v>0</v>
      </c>
      <c r="O39" s="791">
        <v>0</v>
      </c>
      <c r="P39" s="792">
        <f t="shared" si="4"/>
        <v>0</v>
      </c>
      <c r="Q39" s="790">
        <v>0</v>
      </c>
      <c r="R39" s="791">
        <v>0</v>
      </c>
      <c r="S39" s="792">
        <f t="shared" si="11"/>
        <v>0</v>
      </c>
      <c r="T39" s="780"/>
      <c r="U39" s="312"/>
      <c r="V39" s="329">
        <f t="shared" si="17"/>
        <v>1</v>
      </c>
      <c r="W39" s="330">
        <f t="shared" si="18"/>
        <v>0</v>
      </c>
      <c r="X39" s="331">
        <f t="shared" si="19"/>
        <v>0</v>
      </c>
      <c r="Y39" s="332">
        <f t="shared" si="20"/>
        <v>0</v>
      </c>
      <c r="Z39" s="303"/>
      <c r="AA39" s="355"/>
      <c r="AB39" s="353"/>
      <c r="AC39" s="353"/>
      <c r="AD39" s="353"/>
      <c r="AE39" s="353"/>
      <c r="AF39" s="354"/>
    </row>
    <row r="40" spans="1:32">
      <c r="A40" s="513">
        <v>40.08</v>
      </c>
      <c r="B40" s="517" t="s">
        <v>40</v>
      </c>
      <c r="C40" s="516">
        <f>'PMOC Profl Infl Adj'!S40</f>
        <v>0</v>
      </c>
      <c r="D40" s="320"/>
      <c r="E40" s="793">
        <v>0</v>
      </c>
      <c r="F40" s="794">
        <v>0</v>
      </c>
      <c r="G40" s="795">
        <f t="shared" si="1"/>
        <v>0</v>
      </c>
      <c r="H40" s="793">
        <v>0</v>
      </c>
      <c r="I40" s="794">
        <v>0</v>
      </c>
      <c r="J40" s="795">
        <f t="shared" si="2"/>
        <v>0</v>
      </c>
      <c r="K40" s="793">
        <v>0</v>
      </c>
      <c r="L40" s="794">
        <v>0</v>
      </c>
      <c r="M40" s="795">
        <f t="shared" si="3"/>
        <v>0</v>
      </c>
      <c r="N40" s="790">
        <v>0</v>
      </c>
      <c r="O40" s="791">
        <v>0</v>
      </c>
      <c r="P40" s="795">
        <f t="shared" si="4"/>
        <v>0</v>
      </c>
      <c r="Q40" s="790">
        <v>0</v>
      </c>
      <c r="R40" s="791">
        <v>0</v>
      </c>
      <c r="S40" s="795">
        <f t="shared" si="11"/>
        <v>0</v>
      </c>
      <c r="T40" s="780"/>
      <c r="U40" s="312"/>
      <c r="V40" s="344">
        <f t="shared" si="17"/>
        <v>1</v>
      </c>
      <c r="W40" s="345">
        <f t="shared" si="18"/>
        <v>0</v>
      </c>
      <c r="X40" s="346">
        <f t="shared" si="19"/>
        <v>0</v>
      </c>
      <c r="Y40" s="347">
        <f t="shared" si="20"/>
        <v>0</v>
      </c>
      <c r="Z40" s="303"/>
      <c r="AA40" s="355"/>
      <c r="AB40" s="353"/>
      <c r="AC40" s="353"/>
      <c r="AD40" s="353"/>
      <c r="AE40" s="353"/>
      <c r="AF40" s="354"/>
    </row>
    <row r="41" spans="1:32">
      <c r="A41" s="513" t="s">
        <v>170</v>
      </c>
      <c r="B41" s="517"/>
      <c r="C41" s="307"/>
      <c r="D41" s="308"/>
      <c r="E41" s="796">
        <v>0</v>
      </c>
      <c r="F41" s="797">
        <v>0</v>
      </c>
      <c r="G41" s="798">
        <f>SUM(E41:F41)+RA_global_rqts_adj</f>
        <v>0</v>
      </c>
      <c r="H41" s="796">
        <v>0</v>
      </c>
      <c r="I41" s="797">
        <v>0</v>
      </c>
      <c r="J41" s="798">
        <f>SUM(H41:I41)+RA_global_dsgn_adj</f>
        <v>0</v>
      </c>
      <c r="K41" s="796">
        <v>0</v>
      </c>
      <c r="L41" s="797">
        <v>0</v>
      </c>
      <c r="M41" s="798">
        <f>SUM(K41:L41)+RA_global_mkt_adj</f>
        <v>0</v>
      </c>
      <c r="N41" s="796">
        <v>0</v>
      </c>
      <c r="O41" s="797">
        <v>0</v>
      </c>
      <c r="P41" s="798">
        <f>SUM(N41:O41)+RA_global_constr_adj</f>
        <v>0</v>
      </c>
      <c r="Q41" s="796">
        <v>0</v>
      </c>
      <c r="R41" s="797">
        <v>0</v>
      </c>
      <c r="S41" s="799">
        <f>SUM(Q41:R41)</f>
        <v>0</v>
      </c>
      <c r="T41" s="780"/>
      <c r="U41" s="312"/>
      <c r="V41" s="313"/>
      <c r="W41" s="314"/>
      <c r="X41" s="314"/>
      <c r="Y41" s="307"/>
      <c r="Z41" s="303"/>
      <c r="AA41" s="355"/>
      <c r="AB41" s="353"/>
      <c r="AC41" s="353"/>
      <c r="AD41" s="353"/>
      <c r="AE41" s="353"/>
      <c r="AF41" s="354"/>
    </row>
    <row r="42" spans="1:32">
      <c r="A42" s="513">
        <v>50.01</v>
      </c>
      <c r="B42" s="517" t="s">
        <v>41</v>
      </c>
      <c r="C42" s="514">
        <f>'PMOC Profl Infl Adj'!S42</f>
        <v>0</v>
      </c>
      <c r="D42" s="320"/>
      <c r="E42" s="787">
        <v>0</v>
      </c>
      <c r="F42" s="788">
        <v>0</v>
      </c>
      <c r="G42" s="789">
        <f t="shared" si="1"/>
        <v>0</v>
      </c>
      <c r="H42" s="787">
        <v>0</v>
      </c>
      <c r="I42" s="800">
        <v>0</v>
      </c>
      <c r="J42" s="789">
        <f t="shared" si="2"/>
        <v>0</v>
      </c>
      <c r="K42" s="787">
        <v>0</v>
      </c>
      <c r="L42" s="800">
        <v>0</v>
      </c>
      <c r="M42" s="789">
        <f t="shared" si="3"/>
        <v>0</v>
      </c>
      <c r="N42" s="787">
        <v>0</v>
      </c>
      <c r="O42" s="800">
        <v>0</v>
      </c>
      <c r="P42" s="789">
        <f t="shared" si="4"/>
        <v>0</v>
      </c>
      <c r="Q42" s="787">
        <v>0</v>
      </c>
      <c r="R42" s="800">
        <v>0</v>
      </c>
      <c r="S42" s="789">
        <f t="shared" si="11"/>
        <v>0</v>
      </c>
      <c r="T42" s="780"/>
      <c r="U42" s="312"/>
      <c r="V42" s="321">
        <f t="shared" ref="V42:V48" si="21">1+SUM(G42,J42,M42,P42,S42)</f>
        <v>1</v>
      </c>
      <c r="W42" s="322">
        <f t="shared" ref="W42:W48" si="22">C42*V42</f>
        <v>0</v>
      </c>
      <c r="X42" s="323">
        <f t="shared" ref="X42:X48" si="23">IF(C42,BETAINV(0.5,RA_alpha,RA_beta,C42,W42),0)</f>
        <v>0</v>
      </c>
      <c r="Y42" s="324">
        <f t="shared" ref="Y42:Y48" si="24">((RA_alpha/(RA_alpha+RA_beta))*(W42-C42))+C42</f>
        <v>0</v>
      </c>
      <c r="Z42" s="303"/>
      <c r="AA42" s="355"/>
      <c r="AB42" s="353"/>
      <c r="AC42" s="353"/>
      <c r="AD42" s="353"/>
      <c r="AE42" s="353"/>
      <c r="AF42" s="354"/>
    </row>
    <row r="43" spans="1:32">
      <c r="A43" s="513">
        <v>50.02</v>
      </c>
      <c r="B43" s="517" t="s">
        <v>42</v>
      </c>
      <c r="C43" s="515">
        <f>'PMOC Profl Infl Adj'!S43</f>
        <v>0</v>
      </c>
      <c r="D43" s="320"/>
      <c r="E43" s="790">
        <v>0</v>
      </c>
      <c r="F43" s="791">
        <v>0</v>
      </c>
      <c r="G43" s="792">
        <f t="shared" si="1"/>
        <v>0</v>
      </c>
      <c r="H43" s="790">
        <v>0</v>
      </c>
      <c r="I43" s="801">
        <v>0</v>
      </c>
      <c r="J43" s="792">
        <f t="shared" si="2"/>
        <v>0</v>
      </c>
      <c r="K43" s="790">
        <v>0</v>
      </c>
      <c r="L43" s="801">
        <v>0</v>
      </c>
      <c r="M43" s="792">
        <f t="shared" si="3"/>
        <v>0</v>
      </c>
      <c r="N43" s="790">
        <v>0</v>
      </c>
      <c r="O43" s="801">
        <v>0</v>
      </c>
      <c r="P43" s="792">
        <f t="shared" si="4"/>
        <v>0</v>
      </c>
      <c r="Q43" s="790">
        <v>0</v>
      </c>
      <c r="R43" s="801">
        <v>0</v>
      </c>
      <c r="S43" s="792">
        <f t="shared" si="11"/>
        <v>0</v>
      </c>
      <c r="T43" s="780"/>
      <c r="U43" s="312"/>
      <c r="V43" s="329">
        <f t="shared" si="21"/>
        <v>1</v>
      </c>
      <c r="W43" s="330">
        <f t="shared" si="22"/>
        <v>0</v>
      </c>
      <c r="X43" s="331">
        <f t="shared" si="23"/>
        <v>0</v>
      </c>
      <c r="Y43" s="332">
        <f t="shared" si="24"/>
        <v>0</v>
      </c>
      <c r="Z43" s="303"/>
      <c r="AA43" s="355"/>
      <c r="AB43" s="353"/>
      <c r="AC43" s="353"/>
      <c r="AD43" s="353"/>
      <c r="AE43" s="353"/>
      <c r="AF43" s="354"/>
    </row>
    <row r="44" spans="1:32">
      <c r="A44" s="513">
        <v>50.03</v>
      </c>
      <c r="B44" s="517" t="s">
        <v>43</v>
      </c>
      <c r="C44" s="515">
        <f>'PMOC Profl Infl Adj'!S44</f>
        <v>0</v>
      </c>
      <c r="D44" s="320"/>
      <c r="E44" s="790">
        <v>0</v>
      </c>
      <c r="F44" s="791">
        <v>0</v>
      </c>
      <c r="G44" s="792">
        <f t="shared" si="1"/>
        <v>0</v>
      </c>
      <c r="H44" s="790">
        <v>0</v>
      </c>
      <c r="I44" s="801">
        <v>0</v>
      </c>
      <c r="J44" s="792">
        <f t="shared" si="2"/>
        <v>0</v>
      </c>
      <c r="K44" s="790">
        <v>0</v>
      </c>
      <c r="L44" s="801">
        <v>0</v>
      </c>
      <c r="M44" s="792">
        <f t="shared" si="3"/>
        <v>0</v>
      </c>
      <c r="N44" s="790">
        <v>0</v>
      </c>
      <c r="O44" s="801">
        <v>0</v>
      </c>
      <c r="P44" s="792">
        <f t="shared" si="4"/>
        <v>0</v>
      </c>
      <c r="Q44" s="790">
        <v>0</v>
      </c>
      <c r="R44" s="801">
        <v>0</v>
      </c>
      <c r="S44" s="792">
        <f t="shared" si="11"/>
        <v>0</v>
      </c>
      <c r="T44" s="780"/>
      <c r="U44" s="312"/>
      <c r="V44" s="329">
        <f t="shared" si="21"/>
        <v>1</v>
      </c>
      <c r="W44" s="330">
        <f t="shared" si="22"/>
        <v>0</v>
      </c>
      <c r="X44" s="331">
        <f t="shared" si="23"/>
        <v>0</v>
      </c>
      <c r="Y44" s="332">
        <f t="shared" si="24"/>
        <v>0</v>
      </c>
      <c r="Z44" s="303"/>
      <c r="AA44" s="355"/>
      <c r="AB44" s="353"/>
      <c r="AC44" s="353"/>
      <c r="AD44" s="353"/>
      <c r="AE44" s="353"/>
      <c r="AF44" s="354"/>
    </row>
    <row r="45" spans="1:32">
      <c r="A45" s="513">
        <v>50.04</v>
      </c>
      <c r="B45" s="517" t="s">
        <v>44</v>
      </c>
      <c r="C45" s="515">
        <f>'PMOC Profl Infl Adj'!S45</f>
        <v>0</v>
      </c>
      <c r="D45" s="320"/>
      <c r="E45" s="790">
        <v>0</v>
      </c>
      <c r="F45" s="791">
        <v>0</v>
      </c>
      <c r="G45" s="792">
        <f t="shared" si="1"/>
        <v>0</v>
      </c>
      <c r="H45" s="790">
        <v>0</v>
      </c>
      <c r="I45" s="801">
        <v>0</v>
      </c>
      <c r="J45" s="792">
        <f t="shared" si="2"/>
        <v>0</v>
      </c>
      <c r="K45" s="790">
        <v>0</v>
      </c>
      <c r="L45" s="801">
        <v>0</v>
      </c>
      <c r="M45" s="792">
        <f t="shared" si="3"/>
        <v>0</v>
      </c>
      <c r="N45" s="790">
        <v>0</v>
      </c>
      <c r="O45" s="801">
        <v>0</v>
      </c>
      <c r="P45" s="792">
        <f t="shared" si="4"/>
        <v>0</v>
      </c>
      <c r="Q45" s="790">
        <v>0</v>
      </c>
      <c r="R45" s="801">
        <v>0</v>
      </c>
      <c r="S45" s="792">
        <f t="shared" si="11"/>
        <v>0</v>
      </c>
      <c r="T45" s="780"/>
      <c r="U45" s="312"/>
      <c r="V45" s="329">
        <f t="shared" si="21"/>
        <v>1</v>
      </c>
      <c r="W45" s="330">
        <f t="shared" si="22"/>
        <v>0</v>
      </c>
      <c r="X45" s="331">
        <f t="shared" si="23"/>
        <v>0</v>
      </c>
      <c r="Y45" s="332">
        <f t="shared" si="24"/>
        <v>0</v>
      </c>
      <c r="Z45" s="303"/>
      <c r="AA45" s="355"/>
      <c r="AB45" s="353"/>
      <c r="AC45" s="353"/>
      <c r="AD45" s="353"/>
      <c r="AE45" s="353"/>
      <c r="AF45" s="354"/>
    </row>
    <row r="46" spans="1:32">
      <c r="A46" s="513">
        <v>50.05</v>
      </c>
      <c r="B46" s="517" t="s">
        <v>45</v>
      </c>
      <c r="C46" s="515">
        <f>'PMOC Profl Infl Adj'!S46</f>
        <v>0</v>
      </c>
      <c r="D46" s="320"/>
      <c r="E46" s="790">
        <v>0</v>
      </c>
      <c r="F46" s="791">
        <v>0</v>
      </c>
      <c r="G46" s="792">
        <f t="shared" si="1"/>
        <v>0</v>
      </c>
      <c r="H46" s="790">
        <v>0</v>
      </c>
      <c r="I46" s="801">
        <v>0</v>
      </c>
      <c r="J46" s="792">
        <f t="shared" si="2"/>
        <v>0</v>
      </c>
      <c r="K46" s="790">
        <v>0</v>
      </c>
      <c r="L46" s="801">
        <v>0</v>
      </c>
      <c r="M46" s="792">
        <f t="shared" si="3"/>
        <v>0</v>
      </c>
      <c r="N46" s="790">
        <v>0</v>
      </c>
      <c r="O46" s="801">
        <v>0</v>
      </c>
      <c r="P46" s="792">
        <f t="shared" si="4"/>
        <v>0</v>
      </c>
      <c r="Q46" s="790">
        <v>0</v>
      </c>
      <c r="R46" s="801">
        <v>0</v>
      </c>
      <c r="S46" s="792">
        <f t="shared" si="11"/>
        <v>0</v>
      </c>
      <c r="T46" s="780"/>
      <c r="U46" s="312"/>
      <c r="V46" s="329">
        <f t="shared" si="21"/>
        <v>1</v>
      </c>
      <c r="W46" s="330">
        <f t="shared" si="22"/>
        <v>0</v>
      </c>
      <c r="X46" s="331">
        <f t="shared" si="23"/>
        <v>0</v>
      </c>
      <c r="Y46" s="332">
        <f t="shared" si="24"/>
        <v>0</v>
      </c>
      <c r="Z46" s="303"/>
      <c r="AA46" s="355"/>
      <c r="AB46" s="353"/>
      <c r="AC46" s="353"/>
      <c r="AD46" s="353"/>
      <c r="AE46" s="353"/>
      <c r="AF46" s="354"/>
    </row>
    <row r="47" spans="1:32">
      <c r="A47" s="513">
        <v>50.06</v>
      </c>
      <c r="B47" s="517" t="s">
        <v>46</v>
      </c>
      <c r="C47" s="515">
        <f>'PMOC Profl Infl Adj'!S47</f>
        <v>0</v>
      </c>
      <c r="D47" s="320"/>
      <c r="E47" s="790">
        <v>0</v>
      </c>
      <c r="F47" s="791">
        <v>0</v>
      </c>
      <c r="G47" s="792">
        <f t="shared" si="1"/>
        <v>0</v>
      </c>
      <c r="H47" s="790">
        <v>0</v>
      </c>
      <c r="I47" s="801">
        <v>0</v>
      </c>
      <c r="J47" s="792">
        <f t="shared" si="2"/>
        <v>0</v>
      </c>
      <c r="K47" s="790">
        <v>0</v>
      </c>
      <c r="L47" s="801">
        <v>0</v>
      </c>
      <c r="M47" s="792">
        <f t="shared" si="3"/>
        <v>0</v>
      </c>
      <c r="N47" s="790">
        <v>0</v>
      </c>
      <c r="O47" s="801">
        <v>0</v>
      </c>
      <c r="P47" s="792">
        <f t="shared" si="4"/>
        <v>0</v>
      </c>
      <c r="Q47" s="790">
        <v>0</v>
      </c>
      <c r="R47" s="801">
        <v>0</v>
      </c>
      <c r="S47" s="792">
        <f t="shared" si="11"/>
        <v>0</v>
      </c>
      <c r="T47" s="780"/>
      <c r="U47" s="312"/>
      <c r="V47" s="329">
        <f t="shared" si="21"/>
        <v>1</v>
      </c>
      <c r="W47" s="330">
        <f t="shared" si="22"/>
        <v>0</v>
      </c>
      <c r="X47" s="331">
        <f t="shared" si="23"/>
        <v>0</v>
      </c>
      <c r="Y47" s="332">
        <f t="shared" si="24"/>
        <v>0</v>
      </c>
      <c r="Z47" s="303"/>
      <c r="AA47" s="355"/>
      <c r="AB47" s="353"/>
      <c r="AC47" s="353"/>
      <c r="AD47" s="353"/>
      <c r="AE47" s="353"/>
      <c r="AF47" s="354"/>
    </row>
    <row r="48" spans="1:32" ht="13.5" thickBot="1">
      <c r="A48" s="513">
        <v>50.07</v>
      </c>
      <c r="B48" s="517" t="s">
        <v>47</v>
      </c>
      <c r="C48" s="516">
        <f>'PMOC Profl Infl Adj'!S48</f>
        <v>0</v>
      </c>
      <c r="D48" s="320"/>
      <c r="E48" s="790">
        <v>0</v>
      </c>
      <c r="F48" s="791">
        <v>0</v>
      </c>
      <c r="G48" s="792">
        <f t="shared" si="1"/>
        <v>0</v>
      </c>
      <c r="H48" s="809">
        <v>0</v>
      </c>
      <c r="I48" s="801">
        <v>0</v>
      </c>
      <c r="J48" s="792">
        <f t="shared" si="2"/>
        <v>0</v>
      </c>
      <c r="K48" s="809">
        <v>0</v>
      </c>
      <c r="L48" s="801">
        <v>0</v>
      </c>
      <c r="M48" s="792">
        <f t="shared" si="3"/>
        <v>0</v>
      </c>
      <c r="N48" s="809">
        <v>0</v>
      </c>
      <c r="O48" s="801">
        <v>0</v>
      </c>
      <c r="P48" s="792">
        <f t="shared" si="4"/>
        <v>0</v>
      </c>
      <c r="Q48" s="809">
        <v>0</v>
      </c>
      <c r="R48" s="801">
        <v>0</v>
      </c>
      <c r="S48" s="792">
        <f t="shared" si="11"/>
        <v>0</v>
      </c>
      <c r="T48" s="780"/>
      <c r="U48" s="312"/>
      <c r="V48" s="344">
        <f t="shared" si="21"/>
        <v>1</v>
      </c>
      <c r="W48" s="345">
        <f t="shared" si="22"/>
        <v>0</v>
      </c>
      <c r="X48" s="346">
        <f t="shared" si="23"/>
        <v>0</v>
      </c>
      <c r="Y48" s="347">
        <f t="shared" si="24"/>
        <v>0</v>
      </c>
      <c r="Z48" s="303"/>
      <c r="AA48" s="355"/>
      <c r="AB48" s="353"/>
      <c r="AC48" s="353"/>
      <c r="AD48" s="353"/>
      <c r="AE48" s="353"/>
      <c r="AF48" s="354"/>
    </row>
    <row r="49" spans="1:32" ht="15">
      <c r="A49" s="513"/>
      <c r="B49" s="517"/>
      <c r="C49" s="307"/>
      <c r="D49" s="308"/>
      <c r="E49" s="1114" t="s">
        <v>543</v>
      </c>
      <c r="F49" s="1115"/>
      <c r="G49" s="1115"/>
      <c r="H49" s="1115"/>
      <c r="I49" s="1115"/>
      <c r="J49" s="1115"/>
      <c r="K49" s="1115"/>
      <c r="L49" s="1115"/>
      <c r="M49" s="1115"/>
      <c r="N49" s="1115"/>
      <c r="O49" s="1115"/>
      <c r="P49" s="1115"/>
      <c r="Q49" s="1115"/>
      <c r="R49" s="1115"/>
      <c r="S49" s="1116"/>
      <c r="T49" s="813"/>
      <c r="U49" s="312"/>
      <c r="V49" s="313"/>
      <c r="W49" s="314"/>
      <c r="X49" s="314"/>
      <c r="Y49" s="307"/>
      <c r="Z49" s="303"/>
      <c r="AA49" s="355"/>
      <c r="AB49" s="353"/>
      <c r="AC49" s="353"/>
      <c r="AD49" s="353"/>
      <c r="AE49" s="353"/>
      <c r="AF49" s="354"/>
    </row>
    <row r="50" spans="1:32" ht="13.5" thickBot="1">
      <c r="A50" s="513" t="s">
        <v>172</v>
      </c>
      <c r="B50" s="517"/>
      <c r="C50" s="307"/>
      <c r="D50" s="308"/>
      <c r="E50" s="1119" t="s">
        <v>544</v>
      </c>
      <c r="F50" s="1097"/>
      <c r="G50" s="1097"/>
      <c r="H50" s="1097"/>
      <c r="I50" s="1097"/>
      <c r="J50" s="1097"/>
      <c r="K50" s="1097"/>
      <c r="L50" s="1097"/>
      <c r="M50" s="1097"/>
      <c r="N50" s="1097"/>
      <c r="O50" s="1097"/>
      <c r="P50" s="1097"/>
      <c r="Q50" s="1097"/>
      <c r="R50" s="1097"/>
      <c r="S50" s="1098"/>
      <c r="T50" s="813"/>
      <c r="U50" s="312"/>
      <c r="V50" s="313"/>
      <c r="W50" s="314"/>
      <c r="X50" s="314"/>
      <c r="Y50" s="307"/>
      <c r="Z50" s="303"/>
      <c r="AA50" s="355"/>
      <c r="AB50" s="353"/>
      <c r="AC50" s="353"/>
      <c r="AD50" s="353"/>
      <c r="AE50" s="353"/>
      <c r="AF50" s="354"/>
    </row>
    <row r="51" spans="1:32">
      <c r="A51" s="513">
        <v>60.01</v>
      </c>
      <c r="B51" s="517" t="s">
        <v>48</v>
      </c>
      <c r="C51" s="514">
        <f>'PMOC Profl Infl Adj'!S51</f>
        <v>0</v>
      </c>
      <c r="D51" s="320"/>
      <c r="E51" s="790">
        <v>0</v>
      </c>
      <c r="F51" s="807">
        <v>0</v>
      </c>
      <c r="G51" s="808">
        <f>SUM(E51:F51)</f>
        <v>0</v>
      </c>
      <c r="H51" s="790">
        <v>0</v>
      </c>
      <c r="I51" s="807">
        <v>0</v>
      </c>
      <c r="J51" s="808">
        <f>SUM(H51:I51)</f>
        <v>0</v>
      </c>
      <c r="K51" s="790">
        <v>0</v>
      </c>
      <c r="L51" s="807">
        <v>0</v>
      </c>
      <c r="M51" s="808">
        <f>SUM(K51:L51)</f>
        <v>0</v>
      </c>
      <c r="N51" s="790">
        <v>0</v>
      </c>
      <c r="O51" s="807">
        <v>0</v>
      </c>
      <c r="P51" s="808">
        <f>SUM(N51:O51)</f>
        <v>0</v>
      </c>
      <c r="Q51" s="791">
        <v>0</v>
      </c>
      <c r="R51" s="807">
        <v>0</v>
      </c>
      <c r="S51" s="816">
        <f>SUM(Q51:R51)</f>
        <v>0</v>
      </c>
      <c r="T51" s="780"/>
      <c r="U51" s="312"/>
      <c r="V51" s="321">
        <f t="shared" ref="V51:V52" si="25">1+SUM(G51,J51,M51,P51,S51)</f>
        <v>1</v>
      </c>
      <c r="W51" s="322">
        <f>C51*V51</f>
        <v>0</v>
      </c>
      <c r="X51" s="323">
        <f>IF(C51,BETAINV(0.5,RA_alpha,RA_beta,C51,W51),0)</f>
        <v>0</v>
      </c>
      <c r="Y51" s="324">
        <f>((RA_alpha/(RA_alpha+RA_beta))*(W51-C51))+C51</f>
        <v>0</v>
      </c>
      <c r="Z51" s="303"/>
      <c r="AA51" s="355"/>
      <c r="AB51" s="353"/>
      <c r="AC51" s="353"/>
      <c r="AD51" s="353"/>
      <c r="AE51" s="353"/>
      <c r="AF51" s="354"/>
    </row>
    <row r="52" spans="1:32">
      <c r="A52" s="513">
        <v>60.02</v>
      </c>
      <c r="B52" s="517" t="s">
        <v>49</v>
      </c>
      <c r="C52" s="516">
        <f>'PMOC Profl Infl Adj'!S52</f>
        <v>0</v>
      </c>
      <c r="D52" s="320"/>
      <c r="E52" s="793">
        <v>0</v>
      </c>
      <c r="F52" s="805">
        <v>0</v>
      </c>
      <c r="G52" s="806">
        <f>SUM(E52:F52)</f>
        <v>0</v>
      </c>
      <c r="H52" s="793">
        <v>0</v>
      </c>
      <c r="I52" s="805">
        <v>0</v>
      </c>
      <c r="J52" s="806">
        <f>SUM(H52:I52)</f>
        <v>0</v>
      </c>
      <c r="K52" s="793">
        <v>0</v>
      </c>
      <c r="L52" s="805">
        <v>0</v>
      </c>
      <c r="M52" s="806">
        <f>SUM(K52:L52)</f>
        <v>0</v>
      </c>
      <c r="N52" s="793">
        <v>0</v>
      </c>
      <c r="O52" s="805">
        <v>0</v>
      </c>
      <c r="P52" s="806">
        <f>SUM(N52:O52)</f>
        <v>0</v>
      </c>
      <c r="Q52" s="794">
        <v>0</v>
      </c>
      <c r="R52" s="805">
        <v>0</v>
      </c>
      <c r="S52" s="817">
        <f>SUM(Q52:R52)</f>
        <v>0</v>
      </c>
      <c r="T52" s="780"/>
      <c r="U52" s="312"/>
      <c r="V52" s="344">
        <f t="shared" si="25"/>
        <v>1</v>
      </c>
      <c r="W52" s="345">
        <f>C52*V52</f>
        <v>0</v>
      </c>
      <c r="X52" s="346">
        <f>IF(C52,BETAINV(0.5,RA_alpha,RA_beta,C52,W52),0)</f>
        <v>0</v>
      </c>
      <c r="Y52" s="347">
        <f>((RA_alpha/(RA_alpha+RA_beta))*(W52-C52))+C52</f>
        <v>0</v>
      </c>
      <c r="Z52" s="303"/>
      <c r="AA52" s="355"/>
      <c r="AB52" s="353"/>
      <c r="AC52" s="353"/>
      <c r="AD52" s="353"/>
      <c r="AE52" s="353"/>
      <c r="AF52" s="354"/>
    </row>
    <row r="53" spans="1:32">
      <c r="A53" s="513" t="s">
        <v>173</v>
      </c>
      <c r="B53" s="517"/>
      <c r="C53" s="307"/>
      <c r="D53" s="308"/>
      <c r="E53" s="796"/>
      <c r="F53" s="797"/>
      <c r="G53" s="798"/>
      <c r="H53" s="796"/>
      <c r="I53" s="797"/>
      <c r="J53" s="798"/>
      <c r="K53" s="796"/>
      <c r="L53" s="797"/>
      <c r="M53" s="798"/>
      <c r="N53" s="796"/>
      <c r="O53" s="797"/>
      <c r="P53" s="798"/>
      <c r="Q53" s="797"/>
      <c r="R53" s="797"/>
      <c r="S53" s="802"/>
      <c r="T53" s="780"/>
      <c r="U53" s="312"/>
      <c r="V53" s="313"/>
      <c r="W53" s="314"/>
      <c r="X53" s="314"/>
      <c r="Y53" s="307"/>
      <c r="Z53" s="303"/>
      <c r="AA53" s="355"/>
      <c r="AB53" s="353"/>
      <c r="AC53" s="353"/>
      <c r="AD53" s="353"/>
      <c r="AE53" s="353"/>
      <c r="AF53" s="354"/>
    </row>
    <row r="54" spans="1:32">
      <c r="A54" s="513">
        <v>70.010000000000005</v>
      </c>
      <c r="B54" s="517" t="s">
        <v>50</v>
      </c>
      <c r="C54" s="514">
        <f>'PMOC Profl Infl Adj'!S54</f>
        <v>0</v>
      </c>
      <c r="D54" s="320"/>
      <c r="E54" s="787">
        <v>0</v>
      </c>
      <c r="F54" s="803">
        <v>0</v>
      </c>
      <c r="G54" s="804">
        <f t="shared" ref="G54:G60" si="26">SUM(E54:F54)</f>
        <v>0</v>
      </c>
      <c r="H54" s="787">
        <v>0</v>
      </c>
      <c r="I54" s="803">
        <v>0</v>
      </c>
      <c r="J54" s="804">
        <f t="shared" ref="J54:J60" si="27">SUM(H54:I54)</f>
        <v>0</v>
      </c>
      <c r="K54" s="787">
        <v>0</v>
      </c>
      <c r="L54" s="803">
        <v>0</v>
      </c>
      <c r="M54" s="804">
        <f>SUM(K54:L54)</f>
        <v>0</v>
      </c>
      <c r="N54" s="787">
        <v>0</v>
      </c>
      <c r="O54" s="803">
        <v>0</v>
      </c>
      <c r="P54" s="804">
        <f t="shared" ref="P54:P60" si="28">SUM(N54:O54)</f>
        <v>0</v>
      </c>
      <c r="Q54" s="788">
        <v>0</v>
      </c>
      <c r="R54" s="803">
        <v>0</v>
      </c>
      <c r="S54" s="818">
        <f t="shared" ref="S54:S60" si="29">SUM(Q54:R54)</f>
        <v>0</v>
      </c>
      <c r="T54" s="780"/>
      <c r="U54" s="312"/>
      <c r="V54" s="321">
        <f t="shared" ref="V54:V60" si="30">1+SUM(G54,J54,M54,P54,S54)</f>
        <v>1</v>
      </c>
      <c r="W54" s="322">
        <f t="shared" ref="W54:W60" si="31">C54*V54</f>
        <v>0</v>
      </c>
      <c r="X54" s="323">
        <f t="shared" ref="X54:X60" si="32">IF(C54,BETAINV(0.5,RA_alpha,RA_beta,C54,W54),0)</f>
        <v>0</v>
      </c>
      <c r="Y54" s="324">
        <f t="shared" ref="Y54:Y60" si="33">((RA_alpha/(RA_alpha+RA_beta))*(W54-C54))+C54</f>
        <v>0</v>
      </c>
      <c r="Z54" s="303"/>
      <c r="AA54" s="355"/>
      <c r="AB54" s="353"/>
      <c r="AC54" s="353"/>
      <c r="AD54" s="353"/>
      <c r="AE54" s="353"/>
      <c r="AF54" s="354"/>
    </row>
    <row r="55" spans="1:32">
      <c r="A55" s="513">
        <v>70.02</v>
      </c>
      <c r="B55" s="517" t="s">
        <v>51</v>
      </c>
      <c r="C55" s="515">
        <f>'PMOC Profl Infl Adj'!S55</f>
        <v>0</v>
      </c>
      <c r="D55" s="320"/>
      <c r="E55" s="790">
        <v>0</v>
      </c>
      <c r="F55" s="807">
        <v>0</v>
      </c>
      <c r="G55" s="808">
        <f t="shared" si="26"/>
        <v>0</v>
      </c>
      <c r="H55" s="790">
        <v>0</v>
      </c>
      <c r="I55" s="807">
        <v>0</v>
      </c>
      <c r="J55" s="808">
        <f t="shared" si="27"/>
        <v>0</v>
      </c>
      <c r="K55" s="790">
        <v>0</v>
      </c>
      <c r="L55" s="807">
        <v>0</v>
      </c>
      <c r="M55" s="808">
        <f t="shared" ref="M55:M60" si="34">SUM(K55:L55)</f>
        <v>0</v>
      </c>
      <c r="N55" s="790">
        <v>0</v>
      </c>
      <c r="O55" s="807">
        <v>0</v>
      </c>
      <c r="P55" s="808">
        <f t="shared" si="28"/>
        <v>0</v>
      </c>
      <c r="Q55" s="791">
        <v>0</v>
      </c>
      <c r="R55" s="807">
        <v>0</v>
      </c>
      <c r="S55" s="816">
        <f t="shared" si="29"/>
        <v>0</v>
      </c>
      <c r="T55" s="780"/>
      <c r="U55" s="312"/>
      <c r="V55" s="329">
        <f t="shared" si="30"/>
        <v>1</v>
      </c>
      <c r="W55" s="330">
        <f t="shared" si="31"/>
        <v>0</v>
      </c>
      <c r="X55" s="331">
        <f t="shared" si="32"/>
        <v>0</v>
      </c>
      <c r="Y55" s="332">
        <f t="shared" si="33"/>
        <v>0</v>
      </c>
      <c r="Z55" s="303"/>
      <c r="AA55" s="355"/>
      <c r="AB55" s="353"/>
      <c r="AC55" s="353"/>
      <c r="AD55" s="353"/>
      <c r="AE55" s="353"/>
      <c r="AF55" s="354"/>
    </row>
    <row r="56" spans="1:32">
      <c r="A56" s="513">
        <v>70.03</v>
      </c>
      <c r="B56" s="517" t="s">
        <v>52</v>
      </c>
      <c r="C56" s="515">
        <f>'PMOC Profl Infl Adj'!S56</f>
        <v>0</v>
      </c>
      <c r="D56" s="320"/>
      <c r="E56" s="790">
        <v>0</v>
      </c>
      <c r="F56" s="807">
        <v>0</v>
      </c>
      <c r="G56" s="808">
        <f t="shared" si="26"/>
        <v>0</v>
      </c>
      <c r="H56" s="790">
        <v>0</v>
      </c>
      <c r="I56" s="807">
        <v>0</v>
      </c>
      <c r="J56" s="808">
        <f t="shared" si="27"/>
        <v>0</v>
      </c>
      <c r="K56" s="790">
        <v>0</v>
      </c>
      <c r="L56" s="807">
        <v>0</v>
      </c>
      <c r="M56" s="808">
        <f t="shared" si="34"/>
        <v>0</v>
      </c>
      <c r="N56" s="790">
        <v>0</v>
      </c>
      <c r="O56" s="807">
        <v>0</v>
      </c>
      <c r="P56" s="808">
        <f t="shared" si="28"/>
        <v>0</v>
      </c>
      <c r="Q56" s="791">
        <v>0</v>
      </c>
      <c r="R56" s="807">
        <v>0</v>
      </c>
      <c r="S56" s="816">
        <f t="shared" si="29"/>
        <v>0</v>
      </c>
      <c r="T56" s="780"/>
      <c r="U56" s="312"/>
      <c r="V56" s="329">
        <f t="shared" si="30"/>
        <v>1</v>
      </c>
      <c r="W56" s="330">
        <f t="shared" si="31"/>
        <v>0</v>
      </c>
      <c r="X56" s="331">
        <f t="shared" si="32"/>
        <v>0</v>
      </c>
      <c r="Y56" s="332">
        <f t="shared" si="33"/>
        <v>0</v>
      </c>
      <c r="Z56" s="303"/>
      <c r="AA56" s="355"/>
      <c r="AB56" s="353"/>
      <c r="AC56" s="353"/>
      <c r="AD56" s="353"/>
      <c r="AE56" s="353"/>
      <c r="AF56" s="354"/>
    </row>
    <row r="57" spans="1:32" ht="13.5" thickBot="1">
      <c r="A57" s="513">
        <v>70.040000000000006</v>
      </c>
      <c r="B57" s="517" t="s">
        <v>53</v>
      </c>
      <c r="C57" s="515">
        <f>'PMOC Profl Infl Adj'!S57</f>
        <v>0</v>
      </c>
      <c r="D57" s="320"/>
      <c r="E57" s="790">
        <v>0</v>
      </c>
      <c r="F57" s="807">
        <v>0</v>
      </c>
      <c r="G57" s="808">
        <f t="shared" si="26"/>
        <v>0</v>
      </c>
      <c r="H57" s="790">
        <v>0</v>
      </c>
      <c r="I57" s="807">
        <v>0</v>
      </c>
      <c r="J57" s="808">
        <f t="shared" si="27"/>
        <v>0</v>
      </c>
      <c r="K57" s="790">
        <v>0</v>
      </c>
      <c r="L57" s="807">
        <v>0</v>
      </c>
      <c r="M57" s="808">
        <f t="shared" si="34"/>
        <v>0</v>
      </c>
      <c r="N57" s="790">
        <v>0</v>
      </c>
      <c r="O57" s="807">
        <v>0</v>
      </c>
      <c r="P57" s="808">
        <f t="shared" si="28"/>
        <v>0</v>
      </c>
      <c r="Q57" s="791">
        <v>0</v>
      </c>
      <c r="R57" s="807">
        <v>0</v>
      </c>
      <c r="S57" s="816">
        <f t="shared" si="29"/>
        <v>0</v>
      </c>
      <c r="T57" s="780"/>
      <c r="U57" s="312"/>
      <c r="V57" s="329">
        <f t="shared" si="30"/>
        <v>1</v>
      </c>
      <c r="W57" s="330">
        <f t="shared" si="31"/>
        <v>0</v>
      </c>
      <c r="X57" s="331">
        <f t="shared" si="32"/>
        <v>0</v>
      </c>
      <c r="Y57" s="332">
        <f t="shared" si="33"/>
        <v>0</v>
      </c>
      <c r="Z57" s="303"/>
      <c r="AA57" s="356"/>
      <c r="AB57" s="357"/>
      <c r="AC57" s="357"/>
      <c r="AD57" s="357"/>
      <c r="AE57" s="357"/>
      <c r="AF57" s="358"/>
    </row>
    <row r="58" spans="1:32">
      <c r="A58" s="513">
        <v>70.05</v>
      </c>
      <c r="B58" s="517" t="s">
        <v>54</v>
      </c>
      <c r="C58" s="515">
        <f>'PMOC Profl Infl Adj'!S58</f>
        <v>0</v>
      </c>
      <c r="D58" s="320"/>
      <c r="E58" s="790">
        <v>0</v>
      </c>
      <c r="F58" s="807">
        <v>0</v>
      </c>
      <c r="G58" s="808">
        <f t="shared" si="26"/>
        <v>0</v>
      </c>
      <c r="H58" s="790">
        <v>0</v>
      </c>
      <c r="I58" s="807">
        <v>0</v>
      </c>
      <c r="J58" s="808">
        <f t="shared" si="27"/>
        <v>0</v>
      </c>
      <c r="K58" s="790">
        <v>0</v>
      </c>
      <c r="L58" s="807">
        <v>0</v>
      </c>
      <c r="M58" s="808">
        <f t="shared" si="34"/>
        <v>0</v>
      </c>
      <c r="N58" s="790">
        <v>0</v>
      </c>
      <c r="O58" s="807">
        <v>0</v>
      </c>
      <c r="P58" s="808">
        <f>SUM(N58:O58)</f>
        <v>0</v>
      </c>
      <c r="Q58" s="791">
        <v>0</v>
      </c>
      <c r="R58" s="807">
        <v>0</v>
      </c>
      <c r="S58" s="816">
        <f t="shared" si="29"/>
        <v>0</v>
      </c>
      <c r="T58" s="780"/>
      <c r="U58" s="312"/>
      <c r="V58" s="329">
        <f t="shared" si="30"/>
        <v>1</v>
      </c>
      <c r="W58" s="330">
        <f t="shared" si="31"/>
        <v>0</v>
      </c>
      <c r="X58" s="331">
        <f t="shared" si="32"/>
        <v>0</v>
      </c>
      <c r="Y58" s="332">
        <f t="shared" si="33"/>
        <v>0</v>
      </c>
      <c r="Z58" s="303"/>
    </row>
    <row r="59" spans="1:32">
      <c r="A59" s="513">
        <v>70.06</v>
      </c>
      <c r="B59" s="517" t="s">
        <v>55</v>
      </c>
      <c r="C59" s="515">
        <f>'PMOC Profl Infl Adj'!S59</f>
        <v>0</v>
      </c>
      <c r="D59" s="320"/>
      <c r="E59" s="790">
        <v>0</v>
      </c>
      <c r="F59" s="807">
        <v>0</v>
      </c>
      <c r="G59" s="808">
        <f t="shared" si="26"/>
        <v>0</v>
      </c>
      <c r="H59" s="790">
        <v>0</v>
      </c>
      <c r="I59" s="807">
        <v>0</v>
      </c>
      <c r="J59" s="808">
        <f t="shared" si="27"/>
        <v>0</v>
      </c>
      <c r="K59" s="790">
        <v>0</v>
      </c>
      <c r="L59" s="807">
        <v>0</v>
      </c>
      <c r="M59" s="808">
        <f t="shared" si="34"/>
        <v>0</v>
      </c>
      <c r="N59" s="790">
        <v>0</v>
      </c>
      <c r="O59" s="807">
        <v>0</v>
      </c>
      <c r="P59" s="808">
        <f t="shared" si="28"/>
        <v>0</v>
      </c>
      <c r="Q59" s="791">
        <v>0</v>
      </c>
      <c r="R59" s="807">
        <v>0</v>
      </c>
      <c r="S59" s="816">
        <f t="shared" si="29"/>
        <v>0</v>
      </c>
      <c r="T59" s="780"/>
      <c r="U59" s="312"/>
      <c r="V59" s="329">
        <f t="shared" si="30"/>
        <v>1</v>
      </c>
      <c r="W59" s="330">
        <f t="shared" si="31"/>
        <v>0</v>
      </c>
      <c r="X59" s="331">
        <f t="shared" si="32"/>
        <v>0</v>
      </c>
      <c r="Y59" s="332">
        <f t="shared" si="33"/>
        <v>0</v>
      </c>
      <c r="Z59" s="303"/>
    </row>
    <row r="60" spans="1:32">
      <c r="A60" s="513">
        <v>70.069999999999993</v>
      </c>
      <c r="B60" s="517" t="s">
        <v>56</v>
      </c>
      <c r="C60" s="516">
        <f>'PMOC Profl Infl Adj'!S60</f>
        <v>0</v>
      </c>
      <c r="D60" s="320"/>
      <c r="E60" s="793">
        <v>0</v>
      </c>
      <c r="F60" s="805">
        <v>0</v>
      </c>
      <c r="G60" s="806">
        <f t="shared" si="26"/>
        <v>0</v>
      </c>
      <c r="H60" s="793">
        <v>0</v>
      </c>
      <c r="I60" s="805">
        <v>0</v>
      </c>
      <c r="J60" s="806">
        <f t="shared" si="27"/>
        <v>0</v>
      </c>
      <c r="K60" s="793">
        <v>0</v>
      </c>
      <c r="L60" s="805">
        <v>0</v>
      </c>
      <c r="M60" s="806">
        <f t="shared" si="34"/>
        <v>0</v>
      </c>
      <c r="N60" s="793">
        <v>0</v>
      </c>
      <c r="O60" s="805">
        <v>0</v>
      </c>
      <c r="P60" s="806">
        <f t="shared" si="28"/>
        <v>0</v>
      </c>
      <c r="Q60" s="794">
        <v>0</v>
      </c>
      <c r="R60" s="805">
        <v>0</v>
      </c>
      <c r="S60" s="817">
        <f t="shared" si="29"/>
        <v>0</v>
      </c>
      <c r="T60" s="780"/>
      <c r="U60" s="312"/>
      <c r="V60" s="344">
        <f t="shared" si="30"/>
        <v>1</v>
      </c>
      <c r="W60" s="345">
        <f t="shared" si="31"/>
        <v>0</v>
      </c>
      <c r="X60" s="346">
        <f t="shared" si="32"/>
        <v>0</v>
      </c>
      <c r="Y60" s="347">
        <f t="shared" si="33"/>
        <v>0</v>
      </c>
      <c r="Z60" s="303"/>
    </row>
    <row r="61" spans="1:32">
      <c r="A61" s="513" t="s">
        <v>174</v>
      </c>
      <c r="B61" s="517"/>
      <c r="C61" s="307"/>
      <c r="D61" s="308"/>
      <c r="E61" s="796"/>
      <c r="F61" s="797"/>
      <c r="G61" s="798"/>
      <c r="H61" s="796"/>
      <c r="I61" s="797"/>
      <c r="J61" s="798"/>
      <c r="K61" s="796"/>
      <c r="L61" s="797"/>
      <c r="M61" s="798"/>
      <c r="N61" s="796"/>
      <c r="O61" s="797"/>
      <c r="P61" s="798"/>
      <c r="Q61" s="797"/>
      <c r="R61" s="797"/>
      <c r="S61" s="802"/>
      <c r="T61" s="780"/>
      <c r="U61" s="312"/>
      <c r="V61" s="313"/>
      <c r="W61" s="314"/>
      <c r="X61" s="314"/>
      <c r="Y61" s="307"/>
      <c r="Z61" s="303"/>
    </row>
    <row r="62" spans="1:32">
      <c r="A62" s="513">
        <v>80.010000000000005</v>
      </c>
      <c r="B62" s="517" t="s">
        <v>143</v>
      </c>
      <c r="C62" s="514">
        <f>'PMOC Profl Infl Adj'!S62</f>
        <v>0</v>
      </c>
      <c r="D62" s="320"/>
      <c r="E62" s="787">
        <v>0</v>
      </c>
      <c r="F62" s="803">
        <v>0</v>
      </c>
      <c r="G62" s="804">
        <f t="shared" ref="G62:G69" si="35">SUM(E62:F62)</f>
        <v>0</v>
      </c>
      <c r="H62" s="787">
        <v>0</v>
      </c>
      <c r="I62" s="803">
        <v>0</v>
      </c>
      <c r="J62" s="804">
        <f t="shared" ref="J62:J69" si="36">SUM(H62:I62)</f>
        <v>0</v>
      </c>
      <c r="K62" s="787">
        <v>0</v>
      </c>
      <c r="L62" s="803">
        <v>0</v>
      </c>
      <c r="M62" s="804">
        <f t="shared" ref="M62:M69" si="37">SUM(K62:L62)</f>
        <v>0</v>
      </c>
      <c r="N62" s="787">
        <v>0</v>
      </c>
      <c r="O62" s="803">
        <v>0</v>
      </c>
      <c r="P62" s="804">
        <f t="shared" ref="P62:P69" si="38">SUM(N62:O62)</f>
        <v>0</v>
      </c>
      <c r="Q62" s="788">
        <v>0</v>
      </c>
      <c r="R62" s="803">
        <v>0</v>
      </c>
      <c r="S62" s="818">
        <f t="shared" ref="S62:S69" si="39">SUM(Q62:R62)</f>
        <v>0</v>
      </c>
      <c r="T62" s="780"/>
      <c r="U62" s="312"/>
      <c r="V62" s="321">
        <f t="shared" ref="V62:V69" si="40">1+SUM(G62,J62,M62,P62,S62)</f>
        <v>1</v>
      </c>
      <c r="W62" s="322">
        <f t="shared" ref="W62:W69" si="41">C62*V62</f>
        <v>0</v>
      </c>
      <c r="X62" s="323">
        <f t="shared" ref="X62:X69" si="42">IF(C62,BETAINV(0.5,RA_alpha,RA_beta,C62,W62),0)</f>
        <v>0</v>
      </c>
      <c r="Y62" s="324">
        <f t="shared" ref="Y62:Y69" si="43">((RA_alpha/(RA_alpha+RA_beta))*(W62-C62))+C62</f>
        <v>0</v>
      </c>
      <c r="Z62" s="303"/>
    </row>
    <row r="63" spans="1:32">
      <c r="A63" s="513">
        <v>80.02</v>
      </c>
      <c r="B63" s="517" t="s">
        <v>175</v>
      </c>
      <c r="C63" s="515">
        <f>'PMOC Profl Infl Adj'!S63</f>
        <v>0</v>
      </c>
      <c r="D63" s="320"/>
      <c r="E63" s="790">
        <v>0</v>
      </c>
      <c r="F63" s="807">
        <v>0</v>
      </c>
      <c r="G63" s="808">
        <f t="shared" si="35"/>
        <v>0</v>
      </c>
      <c r="H63" s="790">
        <v>0</v>
      </c>
      <c r="I63" s="807">
        <v>0</v>
      </c>
      <c r="J63" s="808">
        <f t="shared" si="36"/>
        <v>0</v>
      </c>
      <c r="K63" s="790">
        <v>0</v>
      </c>
      <c r="L63" s="807">
        <v>0</v>
      </c>
      <c r="M63" s="808">
        <f t="shared" si="37"/>
        <v>0</v>
      </c>
      <c r="N63" s="790">
        <v>0</v>
      </c>
      <c r="O63" s="807">
        <v>0</v>
      </c>
      <c r="P63" s="808">
        <f t="shared" si="38"/>
        <v>0</v>
      </c>
      <c r="Q63" s="791">
        <v>0</v>
      </c>
      <c r="R63" s="807">
        <v>0</v>
      </c>
      <c r="S63" s="816">
        <f t="shared" si="39"/>
        <v>0</v>
      </c>
      <c r="T63" s="780"/>
      <c r="U63" s="312"/>
      <c r="V63" s="329">
        <f t="shared" si="40"/>
        <v>1</v>
      </c>
      <c r="W63" s="330">
        <f t="shared" si="41"/>
        <v>0</v>
      </c>
      <c r="X63" s="331">
        <f t="shared" si="42"/>
        <v>0</v>
      </c>
      <c r="Y63" s="332">
        <f t="shared" si="43"/>
        <v>0</v>
      </c>
      <c r="Z63" s="303"/>
    </row>
    <row r="64" spans="1:32">
      <c r="A64" s="513">
        <v>80.03</v>
      </c>
      <c r="B64" s="517" t="s">
        <v>57</v>
      </c>
      <c r="C64" s="515">
        <f>'PMOC Profl Infl Adj'!S64</f>
        <v>0</v>
      </c>
      <c r="D64" s="320"/>
      <c r="E64" s="790">
        <v>0</v>
      </c>
      <c r="F64" s="807">
        <v>0</v>
      </c>
      <c r="G64" s="808">
        <f t="shared" si="35"/>
        <v>0</v>
      </c>
      <c r="H64" s="790">
        <v>0</v>
      </c>
      <c r="I64" s="807">
        <v>0</v>
      </c>
      <c r="J64" s="808">
        <f t="shared" si="36"/>
        <v>0</v>
      </c>
      <c r="K64" s="790">
        <v>0</v>
      </c>
      <c r="L64" s="807">
        <v>0</v>
      </c>
      <c r="M64" s="808">
        <f t="shared" si="37"/>
        <v>0</v>
      </c>
      <c r="N64" s="790">
        <v>0</v>
      </c>
      <c r="O64" s="807">
        <v>0</v>
      </c>
      <c r="P64" s="808">
        <f t="shared" si="38"/>
        <v>0</v>
      </c>
      <c r="Q64" s="791">
        <v>0</v>
      </c>
      <c r="R64" s="807">
        <v>0</v>
      </c>
      <c r="S64" s="816">
        <f t="shared" si="39"/>
        <v>0</v>
      </c>
      <c r="T64" s="780"/>
      <c r="U64" s="312"/>
      <c r="V64" s="329">
        <f t="shared" si="40"/>
        <v>1</v>
      </c>
      <c r="W64" s="330">
        <f t="shared" si="41"/>
        <v>0</v>
      </c>
      <c r="X64" s="331">
        <f t="shared" si="42"/>
        <v>0</v>
      </c>
      <c r="Y64" s="332">
        <f t="shared" si="43"/>
        <v>0</v>
      </c>
      <c r="Z64" s="303"/>
    </row>
    <row r="65" spans="1:26">
      <c r="A65" s="513">
        <v>80.040000000000006</v>
      </c>
      <c r="B65" s="517" t="s">
        <v>58</v>
      </c>
      <c r="C65" s="515">
        <f>'PMOC Profl Infl Adj'!S65</f>
        <v>0</v>
      </c>
      <c r="D65" s="320"/>
      <c r="E65" s="790">
        <v>0</v>
      </c>
      <c r="F65" s="807">
        <v>0</v>
      </c>
      <c r="G65" s="808">
        <f t="shared" si="35"/>
        <v>0</v>
      </c>
      <c r="H65" s="790">
        <v>0</v>
      </c>
      <c r="I65" s="807">
        <v>0</v>
      </c>
      <c r="J65" s="808">
        <f t="shared" si="36"/>
        <v>0</v>
      </c>
      <c r="K65" s="790">
        <v>0</v>
      </c>
      <c r="L65" s="807">
        <v>0</v>
      </c>
      <c r="M65" s="808">
        <f t="shared" si="37"/>
        <v>0</v>
      </c>
      <c r="N65" s="790">
        <v>0</v>
      </c>
      <c r="O65" s="807">
        <v>0</v>
      </c>
      <c r="P65" s="808">
        <f t="shared" si="38"/>
        <v>0</v>
      </c>
      <c r="Q65" s="791">
        <v>0</v>
      </c>
      <c r="R65" s="807">
        <v>0</v>
      </c>
      <c r="S65" s="816">
        <f t="shared" si="39"/>
        <v>0</v>
      </c>
      <c r="T65" s="780"/>
      <c r="U65" s="312"/>
      <c r="V65" s="329">
        <f t="shared" si="40"/>
        <v>1</v>
      </c>
      <c r="W65" s="330">
        <f t="shared" si="41"/>
        <v>0</v>
      </c>
      <c r="X65" s="331">
        <f t="shared" si="42"/>
        <v>0</v>
      </c>
      <c r="Y65" s="332">
        <f t="shared" si="43"/>
        <v>0</v>
      </c>
      <c r="Z65" s="303"/>
    </row>
    <row r="66" spans="1:26">
      <c r="A66" s="513">
        <v>80.05</v>
      </c>
      <c r="B66" s="517" t="s">
        <v>59</v>
      </c>
      <c r="C66" s="515">
        <f>'PMOC Profl Infl Adj'!S66</f>
        <v>0</v>
      </c>
      <c r="D66" s="320"/>
      <c r="E66" s="790">
        <v>0</v>
      </c>
      <c r="F66" s="807">
        <v>0</v>
      </c>
      <c r="G66" s="808">
        <f t="shared" si="35"/>
        <v>0</v>
      </c>
      <c r="H66" s="790">
        <v>0</v>
      </c>
      <c r="I66" s="807">
        <v>0</v>
      </c>
      <c r="J66" s="808">
        <f t="shared" si="36"/>
        <v>0</v>
      </c>
      <c r="K66" s="790">
        <v>0</v>
      </c>
      <c r="L66" s="807">
        <v>0</v>
      </c>
      <c r="M66" s="808">
        <f t="shared" si="37"/>
        <v>0</v>
      </c>
      <c r="N66" s="790">
        <v>0</v>
      </c>
      <c r="O66" s="807">
        <v>0</v>
      </c>
      <c r="P66" s="808">
        <f t="shared" si="38"/>
        <v>0</v>
      </c>
      <c r="Q66" s="791">
        <v>0</v>
      </c>
      <c r="R66" s="807">
        <v>0</v>
      </c>
      <c r="S66" s="816">
        <f t="shared" si="39"/>
        <v>0</v>
      </c>
      <c r="T66" s="780"/>
      <c r="U66" s="312"/>
      <c r="V66" s="329">
        <f t="shared" si="40"/>
        <v>1</v>
      </c>
      <c r="W66" s="330">
        <f t="shared" si="41"/>
        <v>0</v>
      </c>
      <c r="X66" s="331">
        <f t="shared" si="42"/>
        <v>0</v>
      </c>
      <c r="Y66" s="332">
        <f t="shared" si="43"/>
        <v>0</v>
      </c>
      <c r="Z66" s="303"/>
    </row>
    <row r="67" spans="1:26">
      <c r="A67" s="513">
        <v>80.06</v>
      </c>
      <c r="B67" s="517" t="s">
        <v>60</v>
      </c>
      <c r="C67" s="515">
        <f>'PMOC Profl Infl Adj'!S67</f>
        <v>0</v>
      </c>
      <c r="D67" s="320"/>
      <c r="E67" s="790">
        <v>0</v>
      </c>
      <c r="F67" s="807">
        <v>0</v>
      </c>
      <c r="G67" s="808">
        <f t="shared" si="35"/>
        <v>0</v>
      </c>
      <c r="H67" s="790">
        <v>0</v>
      </c>
      <c r="I67" s="807">
        <v>0</v>
      </c>
      <c r="J67" s="808">
        <f t="shared" si="36"/>
        <v>0</v>
      </c>
      <c r="K67" s="790">
        <v>0</v>
      </c>
      <c r="L67" s="807">
        <v>0</v>
      </c>
      <c r="M67" s="808">
        <f t="shared" si="37"/>
        <v>0</v>
      </c>
      <c r="N67" s="790">
        <v>0</v>
      </c>
      <c r="O67" s="807">
        <v>0</v>
      </c>
      <c r="P67" s="808">
        <f t="shared" si="38"/>
        <v>0</v>
      </c>
      <c r="Q67" s="791">
        <v>0</v>
      </c>
      <c r="R67" s="807">
        <v>0</v>
      </c>
      <c r="S67" s="816">
        <f t="shared" si="39"/>
        <v>0</v>
      </c>
      <c r="T67" s="780"/>
      <c r="U67" s="312"/>
      <c r="V67" s="329">
        <f t="shared" si="40"/>
        <v>1</v>
      </c>
      <c r="W67" s="330">
        <f t="shared" si="41"/>
        <v>0</v>
      </c>
      <c r="X67" s="331">
        <f t="shared" si="42"/>
        <v>0</v>
      </c>
      <c r="Y67" s="332">
        <f t="shared" si="43"/>
        <v>0</v>
      </c>
      <c r="Z67" s="303"/>
    </row>
    <row r="68" spans="1:26">
      <c r="A68" s="513">
        <v>80.069999999999993</v>
      </c>
      <c r="B68" s="517" t="s">
        <v>61</v>
      </c>
      <c r="C68" s="515">
        <f>'PMOC Profl Infl Adj'!S68</f>
        <v>0</v>
      </c>
      <c r="D68" s="320"/>
      <c r="E68" s="790">
        <v>0</v>
      </c>
      <c r="F68" s="807">
        <v>0</v>
      </c>
      <c r="G68" s="808">
        <f t="shared" si="35"/>
        <v>0</v>
      </c>
      <c r="H68" s="790">
        <v>0</v>
      </c>
      <c r="I68" s="807">
        <v>0</v>
      </c>
      <c r="J68" s="808">
        <f t="shared" si="36"/>
        <v>0</v>
      </c>
      <c r="K68" s="790">
        <v>0</v>
      </c>
      <c r="L68" s="807">
        <v>0</v>
      </c>
      <c r="M68" s="808">
        <f t="shared" si="37"/>
        <v>0</v>
      </c>
      <c r="N68" s="790">
        <v>0</v>
      </c>
      <c r="O68" s="807">
        <v>0</v>
      </c>
      <c r="P68" s="808">
        <f t="shared" si="38"/>
        <v>0</v>
      </c>
      <c r="Q68" s="791">
        <v>0</v>
      </c>
      <c r="R68" s="807">
        <v>0</v>
      </c>
      <c r="S68" s="816">
        <f t="shared" si="39"/>
        <v>0</v>
      </c>
      <c r="T68" s="780"/>
      <c r="U68" s="312"/>
      <c r="V68" s="329">
        <f t="shared" si="40"/>
        <v>1</v>
      </c>
      <c r="W68" s="330">
        <f t="shared" si="41"/>
        <v>0</v>
      </c>
      <c r="X68" s="331">
        <f t="shared" si="42"/>
        <v>0</v>
      </c>
      <c r="Y68" s="332">
        <f t="shared" si="43"/>
        <v>0</v>
      </c>
      <c r="Z68" s="303"/>
    </row>
    <row r="69" spans="1:26" ht="13.5" thickBot="1">
      <c r="A69" s="513">
        <v>80.08</v>
      </c>
      <c r="B69" s="517" t="s">
        <v>62</v>
      </c>
      <c r="C69" s="516">
        <f>'PMOC Profl Infl Adj'!S69</f>
        <v>0</v>
      </c>
      <c r="D69" s="320"/>
      <c r="E69" s="809">
        <v>0</v>
      </c>
      <c r="F69" s="810">
        <v>0</v>
      </c>
      <c r="G69" s="811">
        <f t="shared" si="35"/>
        <v>0</v>
      </c>
      <c r="H69" s="809">
        <v>0</v>
      </c>
      <c r="I69" s="810">
        <v>0</v>
      </c>
      <c r="J69" s="811">
        <f t="shared" si="36"/>
        <v>0</v>
      </c>
      <c r="K69" s="809">
        <v>0</v>
      </c>
      <c r="L69" s="810">
        <v>0</v>
      </c>
      <c r="M69" s="811">
        <f t="shared" si="37"/>
        <v>0</v>
      </c>
      <c r="N69" s="809">
        <v>0</v>
      </c>
      <c r="O69" s="810">
        <v>0</v>
      </c>
      <c r="P69" s="811">
        <f t="shared" si="38"/>
        <v>0</v>
      </c>
      <c r="Q69" s="812">
        <v>0</v>
      </c>
      <c r="R69" s="810">
        <v>0</v>
      </c>
      <c r="S69" s="819">
        <f t="shared" si="39"/>
        <v>0</v>
      </c>
      <c r="T69" s="781"/>
      <c r="U69" s="312"/>
      <c r="V69" s="344">
        <f t="shared" si="40"/>
        <v>1</v>
      </c>
      <c r="W69" s="345">
        <f t="shared" si="41"/>
        <v>0</v>
      </c>
      <c r="X69" s="346">
        <f t="shared" si="42"/>
        <v>0</v>
      </c>
      <c r="Y69" s="347">
        <f t="shared" si="43"/>
        <v>0</v>
      </c>
      <c r="Z69" s="303"/>
    </row>
    <row r="70" spans="1:26" ht="13.5" thickBot="1">
      <c r="A70" s="306"/>
      <c r="B70" s="509" t="s">
        <v>80</v>
      </c>
      <c r="C70" s="360">
        <f>SUM(C4:C69)</f>
        <v>0</v>
      </c>
      <c r="D70" s="320"/>
      <c r="E70" s="361"/>
      <c r="F70" s="361"/>
      <c r="G70" s="361"/>
      <c r="H70" s="361"/>
      <c r="I70" s="361"/>
      <c r="J70" s="361"/>
      <c r="K70" s="361"/>
      <c r="L70" s="361"/>
      <c r="M70" s="361"/>
      <c r="N70" s="361"/>
      <c r="O70" s="361"/>
      <c r="P70" s="361"/>
      <c r="Q70" s="361"/>
      <c r="R70" s="361"/>
      <c r="S70" s="361"/>
      <c r="T70" s="361"/>
      <c r="U70" s="361"/>
      <c r="V70" s="362">
        <f>IF(RA_lwrbnd,RA_uprbnd/RA_lwrbnd,0)</f>
        <v>0</v>
      </c>
      <c r="W70" s="363">
        <f>SUM(W4:W69)</f>
        <v>0</v>
      </c>
      <c r="X70" s="364">
        <f>SUM(X4:X69)</f>
        <v>0</v>
      </c>
      <c r="Y70" s="337">
        <f>SUM(Y4:Y69)</f>
        <v>0</v>
      </c>
      <c r="Z70" s="303"/>
    </row>
    <row r="71" spans="1:26" ht="13.5" thickBot="1">
      <c r="A71" s="359"/>
      <c r="B71" s="510"/>
      <c r="C71" s="365" t="s">
        <v>75</v>
      </c>
      <c r="D71" s="366"/>
      <c r="E71" s="367"/>
      <c r="F71" s="367"/>
      <c r="G71" s="367"/>
      <c r="H71" s="367"/>
      <c r="I71" s="367"/>
      <c r="J71" s="367"/>
      <c r="K71" s="367"/>
      <c r="L71" s="367"/>
      <c r="M71" s="367"/>
      <c r="N71" s="367"/>
      <c r="O71" s="367"/>
      <c r="P71" s="367"/>
      <c r="Q71" s="367"/>
      <c r="R71" s="367"/>
      <c r="S71" s="367"/>
      <c r="T71" s="367"/>
      <c r="U71" s="367"/>
      <c r="V71" s="368" t="s">
        <v>92</v>
      </c>
      <c r="W71" s="369" t="s">
        <v>76</v>
      </c>
      <c r="X71" s="369" t="s">
        <v>81</v>
      </c>
      <c r="Y71" s="365" t="s">
        <v>82</v>
      </c>
      <c r="Z71" s="303"/>
    </row>
    <row r="72" spans="1:26">
      <c r="A72" s="370"/>
      <c r="B72" s="367"/>
      <c r="C72" s="366"/>
      <c r="D72" s="366"/>
      <c r="E72" s="367"/>
      <c r="F72" s="367"/>
      <c r="G72" s="367"/>
      <c r="H72" s="367"/>
      <c r="I72" s="367"/>
      <c r="J72" s="367"/>
      <c r="K72" s="367"/>
      <c r="L72" s="367"/>
      <c r="M72" s="367"/>
      <c r="N72" s="367"/>
      <c r="O72" s="367"/>
      <c r="P72" s="367"/>
      <c r="Q72" s="367"/>
      <c r="R72" s="367"/>
      <c r="S72" s="367"/>
      <c r="T72" s="367"/>
      <c r="U72" s="367"/>
      <c r="V72" s="367"/>
      <c r="W72" s="367"/>
      <c r="X72" s="367"/>
      <c r="Y72" s="367"/>
      <c r="Z72" s="303"/>
    </row>
    <row r="73" spans="1:26">
      <c r="A73" s="370"/>
      <c r="B73" s="367"/>
      <c r="C73" s="366"/>
      <c r="D73" s="366"/>
      <c r="E73" s="367"/>
      <c r="F73" s="367"/>
      <c r="G73" s="367"/>
      <c r="H73" s="367"/>
      <c r="I73" s="367"/>
      <c r="J73" s="367"/>
      <c r="K73" s="367"/>
      <c r="L73" s="367"/>
      <c r="M73" s="367"/>
      <c r="N73" s="367"/>
      <c r="O73" s="367"/>
      <c r="P73" s="367"/>
      <c r="Q73" s="367"/>
      <c r="R73" s="367"/>
      <c r="S73" s="367"/>
      <c r="T73" s="367"/>
      <c r="U73" s="367"/>
      <c r="Z73" s="303"/>
    </row>
    <row r="74" spans="1:26" ht="13.5" thickBot="1">
      <c r="A74" s="370"/>
      <c r="B74" s="367"/>
      <c r="C74" s="366"/>
      <c r="D74" s="366"/>
      <c r="E74" s="367"/>
      <c r="F74" s="367"/>
      <c r="G74" s="367"/>
      <c r="H74" s="367"/>
      <c r="I74" s="367"/>
      <c r="J74" s="367"/>
      <c r="K74" s="367"/>
      <c r="L74" s="367"/>
      <c r="M74" s="367"/>
      <c r="N74" s="367"/>
      <c r="O74" s="367"/>
      <c r="P74" s="367"/>
      <c r="Q74" s="367"/>
      <c r="R74" s="367"/>
      <c r="S74" s="367"/>
      <c r="T74" s="367"/>
      <c r="U74" s="367"/>
      <c r="Z74" s="303"/>
    </row>
    <row r="75" spans="1:26">
      <c r="A75" s="370"/>
      <c r="B75" s="752" t="s">
        <v>88</v>
      </c>
      <c r="C75" s="753"/>
      <c r="D75" s="753"/>
      <c r="E75" s="753"/>
      <c r="F75" s="753"/>
      <c r="G75" s="602">
        <v>0</v>
      </c>
      <c r="H75" s="371"/>
      <c r="I75" s="371"/>
      <c r="J75" s="371"/>
      <c r="K75" s="371"/>
      <c r="L75" s="371"/>
      <c r="M75" s="371"/>
      <c r="N75" s="371"/>
      <c r="O75" s="371"/>
      <c r="P75" s="372"/>
      <c r="Q75" s="367"/>
      <c r="R75" s="367"/>
      <c r="S75" s="361"/>
      <c r="T75" s="825"/>
      <c r="U75" s="367"/>
      <c r="Z75" s="303"/>
    </row>
    <row r="76" spans="1:26">
      <c r="A76" s="370"/>
      <c r="B76" s="748" t="s">
        <v>89</v>
      </c>
      <c r="C76" s="749"/>
      <c r="D76" s="749"/>
      <c r="E76" s="749"/>
      <c r="F76" s="749"/>
      <c r="G76" s="749"/>
      <c r="H76" s="749"/>
      <c r="I76" s="749"/>
      <c r="J76" s="603">
        <v>0</v>
      </c>
      <c r="K76" s="267"/>
      <c r="L76" s="267"/>
      <c r="M76" s="267"/>
      <c r="N76" s="267"/>
      <c r="O76" s="267"/>
      <c r="P76" s="343"/>
      <c r="Q76" s="367"/>
      <c r="R76" s="367"/>
      <c r="S76" s="361"/>
      <c r="T76" s="780"/>
      <c r="U76" s="367"/>
      <c r="Z76" s="303"/>
    </row>
    <row r="77" spans="1:26">
      <c r="A77" s="370"/>
      <c r="B77" s="748" t="s">
        <v>90</v>
      </c>
      <c r="C77" s="749"/>
      <c r="D77" s="749"/>
      <c r="E77" s="749"/>
      <c r="F77" s="749"/>
      <c r="G77" s="749"/>
      <c r="H77" s="749"/>
      <c r="I77" s="749"/>
      <c r="J77" s="749"/>
      <c r="K77" s="749"/>
      <c r="L77" s="749"/>
      <c r="M77" s="603">
        <v>0</v>
      </c>
      <c r="N77" s="267"/>
      <c r="O77" s="267"/>
      <c r="P77" s="343"/>
      <c r="Q77" s="367"/>
      <c r="R77" s="367"/>
      <c r="S77" s="361"/>
      <c r="T77" s="780"/>
      <c r="U77" s="367"/>
      <c r="Z77" s="303"/>
    </row>
    <row r="78" spans="1:26" ht="13.5" thickBot="1">
      <c r="A78" s="370"/>
      <c r="B78" s="750" t="s">
        <v>91</v>
      </c>
      <c r="C78" s="751"/>
      <c r="D78" s="751"/>
      <c r="E78" s="751"/>
      <c r="F78" s="751"/>
      <c r="G78" s="751"/>
      <c r="H78" s="751"/>
      <c r="I78" s="751"/>
      <c r="J78" s="751"/>
      <c r="K78" s="751"/>
      <c r="L78" s="751"/>
      <c r="M78" s="751"/>
      <c r="N78" s="751"/>
      <c r="O78" s="751"/>
      <c r="P78" s="604">
        <v>0</v>
      </c>
      <c r="Q78" s="367"/>
      <c r="R78" s="367"/>
      <c r="S78" s="361"/>
      <c r="T78" s="781"/>
      <c r="U78" s="367"/>
      <c r="Z78" s="303"/>
    </row>
    <row r="89" ht="12.75" customHeight="1"/>
    <row r="90" ht="13.5" customHeight="1"/>
  </sheetData>
  <sheetProtection algorithmName="SHA-512" hashValue="IMVlD+ZQqagIfiCqcZ9aNRCG6YDuWvdKgddij9eWprZk1Jx4KbJKsmSYVphimbzVRejvAPu7DRqRZaLafT5WMQ==" saltValue="O4CRlyga3fL8pnQVdQ/vPA==" spinCount="100000" sheet="1" formatCells="0" formatColumns="0" formatRows="0"/>
  <mergeCells count="10">
    <mergeCell ref="A1:G1"/>
    <mergeCell ref="E49:S49"/>
    <mergeCell ref="E50:S50"/>
    <mergeCell ref="AC18:AF18"/>
    <mergeCell ref="A2:C2"/>
    <mergeCell ref="E2:G2"/>
    <mergeCell ref="H2:J2"/>
    <mergeCell ref="K2:M2"/>
    <mergeCell ref="N2:P2"/>
    <mergeCell ref="Q2:S2"/>
  </mergeCells>
  <pageMargins left="0.75" right="0.75" top="1" bottom="1" header="0.5" footer="0.5"/>
  <pageSetup orientation="portrait" horizontalDpi="4294967293" verticalDpi="4294967293"/>
  <headerFooter alignWithMargins="0"/>
  <ignoredErrors>
    <ignoredError sqref="S18:S44" unlockedFormula="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92C3-0441-D645-AFD5-D6D908549847}">
  <sheetPr codeName="Sheet22">
    <tabColor theme="4" tint="0.39997558519241921"/>
  </sheetPr>
  <dimension ref="A1:AF90"/>
  <sheetViews>
    <sheetView zoomScale="85" zoomScaleNormal="8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2.75"/>
  <cols>
    <col min="2" max="2" width="54.42578125" customWidth="1"/>
    <col min="3" max="3" width="10.85546875" customWidth="1"/>
    <col min="4" max="4" width="3.42578125" customWidth="1"/>
    <col min="5" max="5" width="6.5703125" customWidth="1"/>
    <col min="6" max="6" width="6.5703125" style="763" customWidth="1"/>
    <col min="7" max="8" width="6.5703125" customWidth="1"/>
    <col min="9" max="9" width="6.5703125" style="763" customWidth="1"/>
    <col min="10" max="11" width="6.5703125" customWidth="1"/>
    <col min="12" max="12" width="6.5703125" style="763" customWidth="1"/>
    <col min="13" max="14" width="6.5703125" customWidth="1"/>
    <col min="15" max="15" width="6.5703125" style="763" customWidth="1"/>
    <col min="16" max="16" width="6.5703125" customWidth="1"/>
    <col min="17" max="18" width="6.5703125" style="763" customWidth="1"/>
    <col min="19" max="19" width="6.5703125" customWidth="1"/>
    <col min="20" max="20" width="52.85546875" customWidth="1"/>
    <col min="21" max="21" width="2.140625" style="763" customWidth="1"/>
    <col min="22" max="22" width="12" customWidth="1"/>
    <col min="23" max="25" width="10.85546875" customWidth="1"/>
    <col min="26" max="26" width="5.85546875" customWidth="1"/>
    <col min="27" max="28" width="10.85546875" customWidth="1"/>
    <col min="29" max="29" width="1.5703125" customWidth="1"/>
    <col min="30" max="32" width="10.85546875" customWidth="1"/>
  </cols>
  <sheetData>
    <row r="1" spans="1:32" s="770" customFormat="1" ht="87.95" customHeight="1" thickBot="1">
      <c r="A1" s="1120" t="str">
        <f ca="1">MID(CELL("filename",A1), FIND("]", CELL("filename", A1))+ 1, 255)&amp;":  Refer to Base Uncertainty and Project-specific Instructions worksheets and OP40 before completing this worksheet;
"&amp;"1) Enter uncertainty Beta values from addenda in the workbook, based on risk profile progress;
2) Enter Specific Risk Beta changes to individual SCC/Risk Types, by assessing Beta values using the Project-Specific Risk worksheet or other method;
"&amp;"3) Note reasons for changes in the Adjustment comments column"</f>
        <v>Risk Assessment (3):  Refer to Base Uncertainty and Project-specific Instructions worksheets and OP40 before completing this worksheet;
1) Enter uncertainty Beta values from addenda in the workbook, based on risk profile progress;
2) Enter Specific Risk Beta changes to individual SCC/Risk Types, by assessing Beta values using the Project-Specific Risk worksheet or other method;
3) Note reasons for changes in the Adjustment comments column</v>
      </c>
      <c r="B1" s="1121"/>
      <c r="C1" s="1121"/>
      <c r="D1" s="1121"/>
      <c r="E1" s="1121"/>
      <c r="F1" s="1121"/>
      <c r="G1" s="1121"/>
      <c r="H1" s="769"/>
      <c r="I1" s="769"/>
      <c r="J1" s="769"/>
      <c r="K1" s="769"/>
      <c r="L1" s="769"/>
      <c r="M1" s="769"/>
      <c r="N1" s="769"/>
      <c r="O1" s="769"/>
      <c r="P1" s="769"/>
      <c r="Q1" s="769"/>
      <c r="R1" s="769"/>
      <c r="S1" s="769"/>
      <c r="T1" s="769"/>
      <c r="U1" s="769"/>
      <c r="V1" s="784"/>
      <c r="W1" s="784"/>
      <c r="X1" s="784"/>
      <c r="Y1" s="784"/>
      <c r="Z1" s="784"/>
      <c r="AA1" s="784"/>
      <c r="AB1" s="784"/>
      <c r="AC1" s="784"/>
      <c r="AD1" s="784"/>
      <c r="AE1" s="784"/>
      <c r="AF1" s="784"/>
    </row>
    <row r="2" spans="1:32" s="654" customFormat="1" ht="23.1" customHeight="1" thickBot="1">
      <c r="A2" s="1124" t="str">
        <f>PMRP3ShrtName</f>
        <v>Not Used</v>
      </c>
      <c r="B2" s="1125"/>
      <c r="C2" s="1125"/>
      <c r="D2" s="659"/>
      <c r="E2" s="1110" t="s">
        <v>536</v>
      </c>
      <c r="F2" s="1111"/>
      <c r="G2" s="1112"/>
      <c r="H2" s="1110" t="s">
        <v>539</v>
      </c>
      <c r="I2" s="1111"/>
      <c r="J2" s="1113"/>
      <c r="K2" s="1110" t="s">
        <v>540</v>
      </c>
      <c r="L2" s="1111"/>
      <c r="M2" s="1113"/>
      <c r="N2" s="1110" t="s">
        <v>541</v>
      </c>
      <c r="O2" s="1111"/>
      <c r="P2" s="1113"/>
      <c r="Q2" s="1111" t="s">
        <v>542</v>
      </c>
      <c r="R2" s="1111"/>
      <c r="S2" s="1112"/>
      <c r="T2" s="659"/>
      <c r="U2" s="659"/>
      <c r="V2" s="659"/>
      <c r="W2" s="659"/>
      <c r="X2" s="659"/>
      <c r="Y2" s="659"/>
      <c r="Z2" s="659"/>
      <c r="AA2" s="659"/>
      <c r="AB2" s="659"/>
      <c r="AC2" s="659"/>
      <c r="AD2" s="659"/>
      <c r="AE2" s="659"/>
      <c r="AF2" s="659"/>
    </row>
    <row r="3" spans="1:32" s="1" customFormat="1" ht="38.1" customHeight="1">
      <c r="A3" s="300" t="s">
        <v>11</v>
      </c>
      <c r="B3" s="301" t="s">
        <v>12</v>
      </c>
      <c r="C3" s="302" t="s">
        <v>72</v>
      </c>
      <c r="D3" s="93"/>
      <c r="E3" s="300" t="s">
        <v>538</v>
      </c>
      <c r="F3" s="301" t="s">
        <v>537</v>
      </c>
      <c r="G3" s="302" t="s">
        <v>84</v>
      </c>
      <c r="H3" s="300" t="s">
        <v>538</v>
      </c>
      <c r="I3" s="301" t="s">
        <v>537</v>
      </c>
      <c r="J3" s="302" t="s">
        <v>85</v>
      </c>
      <c r="K3" s="300" t="s">
        <v>538</v>
      </c>
      <c r="L3" s="301" t="s">
        <v>537</v>
      </c>
      <c r="M3" s="302" t="s">
        <v>85</v>
      </c>
      <c r="N3" s="300" t="s">
        <v>538</v>
      </c>
      <c r="O3" s="301" t="s">
        <v>537</v>
      </c>
      <c r="P3" s="302" t="s">
        <v>87</v>
      </c>
      <c r="Q3" s="300" t="s">
        <v>538</v>
      </c>
      <c r="R3" s="301" t="s">
        <v>537</v>
      </c>
      <c r="S3" s="302" t="s">
        <v>553</v>
      </c>
      <c r="T3" s="776" t="s">
        <v>535</v>
      </c>
      <c r="U3" s="93"/>
      <c r="V3" s="220" t="s">
        <v>1</v>
      </c>
      <c r="W3" s="189" t="s">
        <v>71</v>
      </c>
      <c r="X3" s="189" t="s">
        <v>73</v>
      </c>
      <c r="Y3" s="190" t="s">
        <v>7</v>
      </c>
      <c r="Z3" s="89"/>
      <c r="AA3" s="220" t="s">
        <v>0</v>
      </c>
      <c r="AB3" s="190" t="s">
        <v>77</v>
      </c>
      <c r="AC3" s="129"/>
      <c r="AD3" s="220" t="s">
        <v>77</v>
      </c>
      <c r="AE3" s="189" t="s">
        <v>78</v>
      </c>
      <c r="AF3" s="190" t="s">
        <v>79</v>
      </c>
    </row>
    <row r="4" spans="1:32">
      <c r="A4" s="513" t="s">
        <v>165</v>
      </c>
      <c r="B4" s="517"/>
      <c r="C4" s="307"/>
      <c r="D4" s="2"/>
      <c r="E4" s="309"/>
      <c r="F4" s="310"/>
      <c r="G4" s="311"/>
      <c r="H4" s="309"/>
      <c r="I4" s="310"/>
      <c r="J4" s="311"/>
      <c r="K4" s="309"/>
      <c r="L4" s="310"/>
      <c r="M4" s="311"/>
      <c r="N4" s="309"/>
      <c r="O4" s="310"/>
      <c r="P4" s="311"/>
      <c r="Q4" s="777"/>
      <c r="R4" s="777"/>
      <c r="S4" s="779"/>
      <c r="T4" s="780"/>
      <c r="U4" s="94"/>
      <c r="V4" s="39"/>
      <c r="W4" s="38"/>
      <c r="X4" s="38"/>
      <c r="Y4" s="52"/>
      <c r="Z4" s="89"/>
      <c r="AA4" s="75">
        <v>0</v>
      </c>
      <c r="AB4" s="76">
        <f>IF(RA_lwrbnd,RA_lwrbnd,0)</f>
        <v>0</v>
      </c>
      <c r="AC4" s="38"/>
      <c r="AD4" s="49">
        <f>RA_lwrbnd</f>
        <v>0</v>
      </c>
      <c r="AE4" s="69" t="e">
        <f t="shared" ref="AE4:AE14" si="0">BETADIST(AD4,RA_alpha,RA_beta,RA_lwrbnd,RA_uprbnd)</f>
        <v>#NUM!</v>
      </c>
      <c r="AF4" s="71" t="e">
        <f>AE4</f>
        <v>#NUM!</v>
      </c>
    </row>
    <row r="5" spans="1:32">
      <c r="A5" s="513">
        <v>10.01</v>
      </c>
      <c r="B5" s="517" t="s">
        <v>15</v>
      </c>
      <c r="C5" s="514">
        <f>'PMOC Profl Infl Adj'!AA5</f>
        <v>0</v>
      </c>
      <c r="D5" s="96"/>
      <c r="E5" s="787">
        <v>0</v>
      </c>
      <c r="F5" s="788">
        <v>0</v>
      </c>
      <c r="G5" s="789">
        <f t="shared" ref="G5:G48" si="1">SUM(E5:F5)+RA_global_rqts_adj</f>
        <v>0</v>
      </c>
      <c r="H5" s="787">
        <v>0</v>
      </c>
      <c r="I5" s="788">
        <v>0</v>
      </c>
      <c r="J5" s="789">
        <f t="shared" ref="J5:J48" si="2">SUM(H5:I5)+RA_global_dsgn_adj</f>
        <v>0</v>
      </c>
      <c r="K5" s="787">
        <v>0</v>
      </c>
      <c r="L5" s="788">
        <v>0</v>
      </c>
      <c r="M5" s="789">
        <f t="shared" ref="M5:M48" si="3">SUM(K5:L5)+RA_global_mkt_adj</f>
        <v>0</v>
      </c>
      <c r="N5" s="787">
        <v>0</v>
      </c>
      <c r="O5" s="788">
        <v>0</v>
      </c>
      <c r="P5" s="789">
        <f t="shared" ref="P5:P48" si="4">SUM(N5:O5)+RA_global_constr_adj</f>
        <v>0</v>
      </c>
      <c r="Q5" s="787">
        <v>0</v>
      </c>
      <c r="R5" s="788">
        <v>0</v>
      </c>
      <c r="S5" s="789">
        <f>SUM(Q5:R5)</f>
        <v>0</v>
      </c>
      <c r="T5" s="780"/>
      <c r="U5" s="95"/>
      <c r="V5" s="85">
        <f t="shared" ref="V5:V17" si="5">1+SUM(G5,J5,M5,P5,S5)</f>
        <v>1</v>
      </c>
      <c r="W5" s="81">
        <f t="shared" ref="W5:W17" si="6">C5*V5</f>
        <v>0</v>
      </c>
      <c r="X5" s="82">
        <f t="shared" ref="X5:X17" si="7">IF(C5,BETAINV(0.5,RA_alpha,RA_beta,C5,W5),0)</f>
        <v>0</v>
      </c>
      <c r="Y5" s="86">
        <f t="shared" ref="Y5:Y17" si="8">((RA_alpha/(RA_alpha+RA_beta))*(W5-C5))+C5</f>
        <v>0</v>
      </c>
      <c r="Z5" s="89"/>
      <c r="AA5" s="77">
        <v>0.1</v>
      </c>
      <c r="AB5" s="78">
        <f t="shared" ref="AB5:AB14" si="9">IF(RA_lwrbnd,BETAINV(AA5,RA_alpha,RA_beta,RA_lwrbnd,RA_uprbnd),0)</f>
        <v>0</v>
      </c>
      <c r="AC5" s="38"/>
      <c r="AD5" s="49">
        <f t="shared" ref="AD5:AD13" si="10">AD4+((RA_uprbnd-RA_lwrbnd)/10)</f>
        <v>0</v>
      </c>
      <c r="AE5" s="70" t="e">
        <f t="shared" si="0"/>
        <v>#NUM!</v>
      </c>
      <c r="AF5" s="72" t="e">
        <f>AE5-AE4</f>
        <v>#NUM!</v>
      </c>
    </row>
    <row r="6" spans="1:32">
      <c r="A6" s="513">
        <v>10.02</v>
      </c>
      <c r="B6" s="517" t="s">
        <v>16</v>
      </c>
      <c r="C6" s="515">
        <f>'PMOC Profl Infl Adj'!AA6</f>
        <v>0</v>
      </c>
      <c r="D6" s="96"/>
      <c r="E6" s="790">
        <v>0</v>
      </c>
      <c r="F6" s="791">
        <v>0</v>
      </c>
      <c r="G6" s="792">
        <f t="shared" si="1"/>
        <v>0</v>
      </c>
      <c r="H6" s="790">
        <v>0</v>
      </c>
      <c r="I6" s="791">
        <v>0</v>
      </c>
      <c r="J6" s="792">
        <f t="shared" si="2"/>
        <v>0</v>
      </c>
      <c r="K6" s="790">
        <v>0</v>
      </c>
      <c r="L6" s="791">
        <v>0</v>
      </c>
      <c r="M6" s="792">
        <f t="shared" si="3"/>
        <v>0</v>
      </c>
      <c r="N6" s="790">
        <v>0</v>
      </c>
      <c r="O6" s="791">
        <v>0</v>
      </c>
      <c r="P6" s="792">
        <f t="shared" si="4"/>
        <v>0</v>
      </c>
      <c r="Q6" s="790">
        <v>0</v>
      </c>
      <c r="R6" s="791">
        <v>0</v>
      </c>
      <c r="S6" s="792">
        <f t="shared" ref="S6:S48" si="11">SUM(Q6:R6)</f>
        <v>0</v>
      </c>
      <c r="T6" s="780"/>
      <c r="U6" s="95"/>
      <c r="V6" s="80">
        <f t="shared" si="5"/>
        <v>1</v>
      </c>
      <c r="W6" s="83">
        <f t="shared" si="6"/>
        <v>0</v>
      </c>
      <c r="X6" s="41">
        <f t="shared" si="7"/>
        <v>0</v>
      </c>
      <c r="Y6" s="42">
        <f t="shared" si="8"/>
        <v>0</v>
      </c>
      <c r="Z6" s="89"/>
      <c r="AA6" s="77">
        <v>0.2</v>
      </c>
      <c r="AB6" s="78">
        <f t="shared" si="9"/>
        <v>0</v>
      </c>
      <c r="AC6" s="38"/>
      <c r="AD6" s="49">
        <f t="shared" si="10"/>
        <v>0</v>
      </c>
      <c r="AE6" s="70" t="e">
        <f t="shared" si="0"/>
        <v>#NUM!</v>
      </c>
      <c r="AF6" s="72" t="e">
        <f t="shared" ref="AF6:AF13" si="12">AE6-AE5</f>
        <v>#NUM!</v>
      </c>
    </row>
    <row r="7" spans="1:32">
      <c r="A7" s="513">
        <v>10.029999999999999</v>
      </c>
      <c r="B7" s="517" t="s">
        <v>17</v>
      </c>
      <c r="C7" s="515">
        <f>'PMOC Profl Infl Adj'!AA7</f>
        <v>0</v>
      </c>
      <c r="D7" s="96"/>
      <c r="E7" s="790">
        <v>0</v>
      </c>
      <c r="F7" s="791">
        <v>0</v>
      </c>
      <c r="G7" s="792">
        <f t="shared" si="1"/>
        <v>0</v>
      </c>
      <c r="H7" s="790">
        <v>0</v>
      </c>
      <c r="I7" s="791">
        <v>0</v>
      </c>
      <c r="J7" s="792">
        <f t="shared" si="2"/>
        <v>0</v>
      </c>
      <c r="K7" s="790">
        <v>0</v>
      </c>
      <c r="L7" s="791">
        <v>0</v>
      </c>
      <c r="M7" s="792">
        <f t="shared" si="3"/>
        <v>0</v>
      </c>
      <c r="N7" s="790">
        <v>0</v>
      </c>
      <c r="O7" s="791">
        <v>0</v>
      </c>
      <c r="P7" s="792">
        <f t="shared" si="4"/>
        <v>0</v>
      </c>
      <c r="Q7" s="790">
        <v>0</v>
      </c>
      <c r="R7" s="791">
        <v>0</v>
      </c>
      <c r="S7" s="792">
        <f t="shared" si="11"/>
        <v>0</v>
      </c>
      <c r="T7" s="780"/>
      <c r="U7" s="95"/>
      <c r="V7" s="80">
        <f t="shared" si="5"/>
        <v>1</v>
      </c>
      <c r="W7" s="83">
        <f t="shared" si="6"/>
        <v>0</v>
      </c>
      <c r="X7" s="41">
        <f t="shared" si="7"/>
        <v>0</v>
      </c>
      <c r="Y7" s="42">
        <f t="shared" si="8"/>
        <v>0</v>
      </c>
      <c r="Z7" s="89"/>
      <c r="AA7" s="77">
        <v>0.3</v>
      </c>
      <c r="AB7" s="78">
        <f t="shared" si="9"/>
        <v>0</v>
      </c>
      <c r="AC7" s="38"/>
      <c r="AD7" s="49">
        <f t="shared" si="10"/>
        <v>0</v>
      </c>
      <c r="AE7" s="70" t="e">
        <f t="shared" si="0"/>
        <v>#NUM!</v>
      </c>
      <c r="AF7" s="72" t="e">
        <f t="shared" si="12"/>
        <v>#NUM!</v>
      </c>
    </row>
    <row r="8" spans="1:32">
      <c r="A8" s="513">
        <v>10.039999999999999</v>
      </c>
      <c r="B8" s="517" t="s">
        <v>18</v>
      </c>
      <c r="C8" s="515">
        <f>'PMOC Profl Infl Adj'!AA8</f>
        <v>0</v>
      </c>
      <c r="D8" s="96"/>
      <c r="E8" s="790">
        <v>0</v>
      </c>
      <c r="F8" s="791">
        <v>0</v>
      </c>
      <c r="G8" s="792">
        <f t="shared" si="1"/>
        <v>0</v>
      </c>
      <c r="H8" s="790">
        <v>0</v>
      </c>
      <c r="I8" s="791">
        <v>0</v>
      </c>
      <c r="J8" s="792">
        <f t="shared" si="2"/>
        <v>0</v>
      </c>
      <c r="K8" s="790">
        <v>0</v>
      </c>
      <c r="L8" s="791">
        <v>0</v>
      </c>
      <c r="M8" s="792">
        <f t="shared" si="3"/>
        <v>0</v>
      </c>
      <c r="N8" s="790">
        <v>0</v>
      </c>
      <c r="O8" s="791">
        <v>0</v>
      </c>
      <c r="P8" s="792">
        <f t="shared" si="4"/>
        <v>0</v>
      </c>
      <c r="Q8" s="790">
        <v>0</v>
      </c>
      <c r="R8" s="791">
        <v>0</v>
      </c>
      <c r="S8" s="792">
        <f t="shared" si="11"/>
        <v>0</v>
      </c>
      <c r="T8" s="780"/>
      <c r="U8" s="95"/>
      <c r="V8" s="80">
        <f t="shared" si="5"/>
        <v>1</v>
      </c>
      <c r="W8" s="83">
        <f t="shared" si="6"/>
        <v>0</v>
      </c>
      <c r="X8" s="41">
        <f t="shared" si="7"/>
        <v>0</v>
      </c>
      <c r="Y8" s="42">
        <f t="shared" si="8"/>
        <v>0</v>
      </c>
      <c r="Z8" s="89"/>
      <c r="AA8" s="77">
        <v>0.4</v>
      </c>
      <c r="AB8" s="78">
        <f t="shared" si="9"/>
        <v>0</v>
      </c>
      <c r="AC8" s="38"/>
      <c r="AD8" s="49">
        <f t="shared" si="10"/>
        <v>0</v>
      </c>
      <c r="AE8" s="70" t="e">
        <f t="shared" si="0"/>
        <v>#NUM!</v>
      </c>
      <c r="AF8" s="72" t="e">
        <f t="shared" si="12"/>
        <v>#NUM!</v>
      </c>
    </row>
    <row r="9" spans="1:32">
      <c r="A9" s="513">
        <v>10.050000000000001</v>
      </c>
      <c r="B9" s="517" t="s">
        <v>19</v>
      </c>
      <c r="C9" s="515">
        <f>'PMOC Profl Infl Adj'!AA9</f>
        <v>0</v>
      </c>
      <c r="D9" s="96"/>
      <c r="E9" s="790">
        <v>0</v>
      </c>
      <c r="F9" s="791">
        <v>0</v>
      </c>
      <c r="G9" s="792">
        <f t="shared" si="1"/>
        <v>0</v>
      </c>
      <c r="H9" s="790">
        <v>0</v>
      </c>
      <c r="I9" s="791">
        <v>0</v>
      </c>
      <c r="J9" s="792">
        <f t="shared" si="2"/>
        <v>0</v>
      </c>
      <c r="K9" s="790">
        <v>0</v>
      </c>
      <c r="L9" s="791">
        <v>0</v>
      </c>
      <c r="M9" s="792">
        <f t="shared" si="3"/>
        <v>0</v>
      </c>
      <c r="N9" s="790">
        <v>0</v>
      </c>
      <c r="O9" s="791">
        <v>0</v>
      </c>
      <c r="P9" s="792">
        <f t="shared" si="4"/>
        <v>0</v>
      </c>
      <c r="Q9" s="790">
        <v>0</v>
      </c>
      <c r="R9" s="791">
        <v>0</v>
      </c>
      <c r="S9" s="792">
        <f t="shared" si="11"/>
        <v>0</v>
      </c>
      <c r="T9" s="780"/>
      <c r="U9" s="95"/>
      <c r="V9" s="80">
        <f t="shared" si="5"/>
        <v>1</v>
      </c>
      <c r="W9" s="83">
        <f t="shared" si="6"/>
        <v>0</v>
      </c>
      <c r="X9" s="41">
        <f t="shared" si="7"/>
        <v>0</v>
      </c>
      <c r="Y9" s="42">
        <f t="shared" si="8"/>
        <v>0</v>
      </c>
      <c r="Z9" s="89"/>
      <c r="AA9" s="77">
        <v>0.5</v>
      </c>
      <c r="AB9" s="78">
        <f t="shared" si="9"/>
        <v>0</v>
      </c>
      <c r="AC9" s="38"/>
      <c r="AD9" s="49">
        <f t="shared" si="10"/>
        <v>0</v>
      </c>
      <c r="AE9" s="70" t="e">
        <f t="shared" si="0"/>
        <v>#NUM!</v>
      </c>
      <c r="AF9" s="72" t="e">
        <f t="shared" si="12"/>
        <v>#NUM!</v>
      </c>
    </row>
    <row r="10" spans="1:32">
      <c r="A10" s="513">
        <v>10.06</v>
      </c>
      <c r="B10" s="517" t="s">
        <v>20</v>
      </c>
      <c r="C10" s="515">
        <f>'PMOC Profl Infl Adj'!AA10</f>
        <v>0</v>
      </c>
      <c r="D10" s="96"/>
      <c r="E10" s="790">
        <v>0</v>
      </c>
      <c r="F10" s="791">
        <v>0</v>
      </c>
      <c r="G10" s="792">
        <f t="shared" si="1"/>
        <v>0</v>
      </c>
      <c r="H10" s="790">
        <v>0</v>
      </c>
      <c r="I10" s="791">
        <v>0</v>
      </c>
      <c r="J10" s="792">
        <f t="shared" si="2"/>
        <v>0</v>
      </c>
      <c r="K10" s="790">
        <v>0</v>
      </c>
      <c r="L10" s="791">
        <v>0</v>
      </c>
      <c r="M10" s="792">
        <f t="shared" si="3"/>
        <v>0</v>
      </c>
      <c r="N10" s="790">
        <v>0</v>
      </c>
      <c r="O10" s="791">
        <v>0</v>
      </c>
      <c r="P10" s="792">
        <f t="shared" si="4"/>
        <v>0</v>
      </c>
      <c r="Q10" s="790">
        <v>0</v>
      </c>
      <c r="R10" s="791">
        <v>0</v>
      </c>
      <c r="S10" s="792">
        <f t="shared" si="11"/>
        <v>0</v>
      </c>
      <c r="T10" s="780"/>
      <c r="U10" s="95"/>
      <c r="V10" s="80">
        <f t="shared" si="5"/>
        <v>1</v>
      </c>
      <c r="W10" s="83">
        <f t="shared" si="6"/>
        <v>0</v>
      </c>
      <c r="X10" s="41">
        <f t="shared" si="7"/>
        <v>0</v>
      </c>
      <c r="Y10" s="42">
        <f t="shared" si="8"/>
        <v>0</v>
      </c>
      <c r="Z10" s="89"/>
      <c r="AA10" s="77">
        <v>0.6</v>
      </c>
      <c r="AB10" s="78">
        <f t="shared" si="9"/>
        <v>0</v>
      </c>
      <c r="AC10" s="38"/>
      <c r="AD10" s="49">
        <f t="shared" si="10"/>
        <v>0</v>
      </c>
      <c r="AE10" s="70" t="e">
        <f t="shared" si="0"/>
        <v>#NUM!</v>
      </c>
      <c r="AF10" s="72" t="e">
        <f t="shared" si="12"/>
        <v>#NUM!</v>
      </c>
    </row>
    <row r="11" spans="1:32">
      <c r="A11" s="513">
        <v>10.07</v>
      </c>
      <c r="B11" s="517" t="s">
        <v>21</v>
      </c>
      <c r="C11" s="515">
        <f>'PMOC Profl Infl Adj'!AA11</f>
        <v>0</v>
      </c>
      <c r="D11" s="96"/>
      <c r="E11" s="790">
        <v>0</v>
      </c>
      <c r="F11" s="791">
        <v>0</v>
      </c>
      <c r="G11" s="792">
        <f t="shared" si="1"/>
        <v>0</v>
      </c>
      <c r="H11" s="790">
        <v>0</v>
      </c>
      <c r="I11" s="791">
        <v>0</v>
      </c>
      <c r="J11" s="792">
        <f t="shared" si="2"/>
        <v>0</v>
      </c>
      <c r="K11" s="790">
        <v>0</v>
      </c>
      <c r="L11" s="791">
        <v>0</v>
      </c>
      <c r="M11" s="792">
        <f t="shared" si="3"/>
        <v>0</v>
      </c>
      <c r="N11" s="790">
        <v>0</v>
      </c>
      <c r="O11" s="791">
        <v>0</v>
      </c>
      <c r="P11" s="792">
        <f t="shared" si="4"/>
        <v>0</v>
      </c>
      <c r="Q11" s="790">
        <v>0</v>
      </c>
      <c r="R11" s="791">
        <v>0</v>
      </c>
      <c r="S11" s="792">
        <f t="shared" si="11"/>
        <v>0</v>
      </c>
      <c r="T11" s="780"/>
      <c r="U11" s="95"/>
      <c r="V11" s="80">
        <f t="shared" si="5"/>
        <v>1</v>
      </c>
      <c r="W11" s="83">
        <f t="shared" si="6"/>
        <v>0</v>
      </c>
      <c r="X11" s="41">
        <f t="shared" si="7"/>
        <v>0</v>
      </c>
      <c r="Y11" s="42">
        <f t="shared" si="8"/>
        <v>0</v>
      </c>
      <c r="Z11" s="89"/>
      <c r="AA11" s="77">
        <v>0.65</v>
      </c>
      <c r="AB11" s="78">
        <f t="shared" si="9"/>
        <v>0</v>
      </c>
      <c r="AC11" s="38"/>
      <c r="AD11" s="49">
        <f t="shared" si="10"/>
        <v>0</v>
      </c>
      <c r="AE11" s="70" t="e">
        <f t="shared" si="0"/>
        <v>#NUM!</v>
      </c>
      <c r="AF11" s="72" t="e">
        <f t="shared" si="12"/>
        <v>#NUM!</v>
      </c>
    </row>
    <row r="12" spans="1:32">
      <c r="A12" s="513">
        <v>10.08</v>
      </c>
      <c r="B12" s="517" t="s">
        <v>22</v>
      </c>
      <c r="C12" s="515">
        <f>'PMOC Profl Infl Adj'!AA12</f>
        <v>0</v>
      </c>
      <c r="D12" s="96"/>
      <c r="E12" s="790">
        <v>0</v>
      </c>
      <c r="F12" s="791">
        <v>0</v>
      </c>
      <c r="G12" s="792">
        <f t="shared" si="1"/>
        <v>0</v>
      </c>
      <c r="H12" s="790">
        <v>0</v>
      </c>
      <c r="I12" s="791">
        <v>0</v>
      </c>
      <c r="J12" s="792">
        <f t="shared" si="2"/>
        <v>0</v>
      </c>
      <c r="K12" s="790">
        <v>0</v>
      </c>
      <c r="L12" s="791">
        <v>0</v>
      </c>
      <c r="M12" s="792">
        <f t="shared" si="3"/>
        <v>0</v>
      </c>
      <c r="N12" s="790">
        <v>0</v>
      </c>
      <c r="O12" s="791">
        <v>0</v>
      </c>
      <c r="P12" s="792">
        <f t="shared" si="4"/>
        <v>0</v>
      </c>
      <c r="Q12" s="790">
        <v>0</v>
      </c>
      <c r="R12" s="791">
        <v>0</v>
      </c>
      <c r="S12" s="792">
        <f t="shared" si="11"/>
        <v>0</v>
      </c>
      <c r="T12" s="780"/>
      <c r="U12" s="95"/>
      <c r="V12" s="80">
        <f t="shared" si="5"/>
        <v>1</v>
      </c>
      <c r="W12" s="83">
        <f t="shared" si="6"/>
        <v>0</v>
      </c>
      <c r="X12" s="41">
        <f t="shared" si="7"/>
        <v>0</v>
      </c>
      <c r="Y12" s="42">
        <f t="shared" si="8"/>
        <v>0</v>
      </c>
      <c r="Z12" s="89"/>
      <c r="AA12" s="77">
        <v>0.7</v>
      </c>
      <c r="AB12" s="78">
        <f t="shared" si="9"/>
        <v>0</v>
      </c>
      <c r="AC12" s="38"/>
      <c r="AD12" s="49">
        <f t="shared" si="10"/>
        <v>0</v>
      </c>
      <c r="AE12" s="70" t="e">
        <f t="shared" si="0"/>
        <v>#NUM!</v>
      </c>
      <c r="AF12" s="72" t="e">
        <f t="shared" si="12"/>
        <v>#NUM!</v>
      </c>
    </row>
    <row r="13" spans="1:32">
      <c r="A13" s="513">
        <v>10.09</v>
      </c>
      <c r="B13" s="517" t="s">
        <v>23</v>
      </c>
      <c r="C13" s="515">
        <f>'PMOC Profl Infl Adj'!AA13</f>
        <v>0</v>
      </c>
      <c r="D13" s="96"/>
      <c r="E13" s="790">
        <v>0</v>
      </c>
      <c r="F13" s="791">
        <v>0</v>
      </c>
      <c r="G13" s="792">
        <f t="shared" si="1"/>
        <v>0</v>
      </c>
      <c r="H13" s="790">
        <v>0</v>
      </c>
      <c r="I13" s="791">
        <v>0</v>
      </c>
      <c r="J13" s="792">
        <f t="shared" si="2"/>
        <v>0</v>
      </c>
      <c r="K13" s="790">
        <v>0</v>
      </c>
      <c r="L13" s="791">
        <v>0</v>
      </c>
      <c r="M13" s="792">
        <f t="shared" si="3"/>
        <v>0</v>
      </c>
      <c r="N13" s="790">
        <v>0</v>
      </c>
      <c r="O13" s="791">
        <v>0</v>
      </c>
      <c r="P13" s="792">
        <f t="shared" si="4"/>
        <v>0</v>
      </c>
      <c r="Q13" s="790">
        <v>0</v>
      </c>
      <c r="R13" s="791">
        <v>0</v>
      </c>
      <c r="S13" s="792">
        <f t="shared" si="11"/>
        <v>0</v>
      </c>
      <c r="T13" s="780"/>
      <c r="U13" s="95"/>
      <c r="V13" s="80">
        <f t="shared" si="5"/>
        <v>1</v>
      </c>
      <c r="W13" s="83">
        <f t="shared" si="6"/>
        <v>0</v>
      </c>
      <c r="X13" s="41">
        <f t="shared" si="7"/>
        <v>0</v>
      </c>
      <c r="Y13" s="42">
        <f t="shared" si="8"/>
        <v>0</v>
      </c>
      <c r="Z13" s="89"/>
      <c r="AA13" s="77">
        <v>0.8</v>
      </c>
      <c r="AB13" s="78">
        <f t="shared" si="9"/>
        <v>0</v>
      </c>
      <c r="AC13" s="38"/>
      <c r="AD13" s="49">
        <f t="shared" si="10"/>
        <v>0</v>
      </c>
      <c r="AE13" s="70" t="e">
        <f t="shared" si="0"/>
        <v>#NUM!</v>
      </c>
      <c r="AF13" s="72" t="e">
        <f t="shared" si="12"/>
        <v>#NUM!</v>
      </c>
    </row>
    <row r="14" spans="1:32" ht="13.5" thickBot="1">
      <c r="A14" s="513">
        <v>10.1</v>
      </c>
      <c r="B14" s="517" t="s">
        <v>24</v>
      </c>
      <c r="C14" s="515">
        <f>'PMOC Profl Infl Adj'!AA14</f>
        <v>0</v>
      </c>
      <c r="D14" s="96"/>
      <c r="E14" s="790">
        <v>0</v>
      </c>
      <c r="F14" s="791">
        <v>0</v>
      </c>
      <c r="G14" s="792">
        <f t="shared" si="1"/>
        <v>0</v>
      </c>
      <c r="H14" s="790">
        <v>0</v>
      </c>
      <c r="I14" s="791">
        <v>0</v>
      </c>
      <c r="J14" s="792">
        <f t="shared" si="2"/>
        <v>0</v>
      </c>
      <c r="K14" s="790">
        <v>0</v>
      </c>
      <c r="L14" s="791">
        <v>0</v>
      </c>
      <c r="M14" s="792">
        <f t="shared" si="3"/>
        <v>0</v>
      </c>
      <c r="N14" s="790">
        <v>0</v>
      </c>
      <c r="O14" s="791">
        <v>0</v>
      </c>
      <c r="P14" s="792">
        <f t="shared" si="4"/>
        <v>0</v>
      </c>
      <c r="Q14" s="790">
        <v>0</v>
      </c>
      <c r="R14" s="791">
        <v>0</v>
      </c>
      <c r="S14" s="792">
        <f t="shared" si="11"/>
        <v>0</v>
      </c>
      <c r="T14" s="780"/>
      <c r="U14" s="95"/>
      <c r="V14" s="80">
        <f t="shared" si="5"/>
        <v>1</v>
      </c>
      <c r="W14" s="83">
        <f t="shared" si="6"/>
        <v>0</v>
      </c>
      <c r="X14" s="41">
        <f t="shared" si="7"/>
        <v>0</v>
      </c>
      <c r="Y14" s="42">
        <f t="shared" si="8"/>
        <v>0</v>
      </c>
      <c r="Z14" s="89"/>
      <c r="AA14" s="77">
        <v>0.9</v>
      </c>
      <c r="AB14" s="78">
        <f t="shared" si="9"/>
        <v>0</v>
      </c>
      <c r="AC14" s="38"/>
      <c r="AD14" s="50">
        <f>RA_uprbnd</f>
        <v>0</v>
      </c>
      <c r="AE14" s="73" t="e">
        <f t="shared" si="0"/>
        <v>#NUM!</v>
      </c>
      <c r="AF14" s="74" t="e">
        <f>AE14-AE13</f>
        <v>#NUM!</v>
      </c>
    </row>
    <row r="15" spans="1:32" ht="13.5" thickBot="1">
      <c r="A15" s="513">
        <v>10.11</v>
      </c>
      <c r="B15" s="517" t="s">
        <v>25</v>
      </c>
      <c r="C15" s="515">
        <f>'PMOC Profl Infl Adj'!AA15</f>
        <v>0</v>
      </c>
      <c r="D15" s="96"/>
      <c r="E15" s="790">
        <v>0</v>
      </c>
      <c r="F15" s="791">
        <v>0</v>
      </c>
      <c r="G15" s="792">
        <f t="shared" si="1"/>
        <v>0</v>
      </c>
      <c r="H15" s="790">
        <v>0</v>
      </c>
      <c r="I15" s="791">
        <v>0</v>
      </c>
      <c r="J15" s="792">
        <f t="shared" si="2"/>
        <v>0</v>
      </c>
      <c r="K15" s="790">
        <v>0</v>
      </c>
      <c r="L15" s="791">
        <v>0</v>
      </c>
      <c r="M15" s="792">
        <f t="shared" si="3"/>
        <v>0</v>
      </c>
      <c r="N15" s="790">
        <v>0</v>
      </c>
      <c r="O15" s="791">
        <v>0</v>
      </c>
      <c r="P15" s="792">
        <f t="shared" si="4"/>
        <v>0</v>
      </c>
      <c r="Q15" s="790">
        <v>0</v>
      </c>
      <c r="R15" s="791">
        <v>0</v>
      </c>
      <c r="S15" s="792">
        <f t="shared" si="11"/>
        <v>0</v>
      </c>
      <c r="T15" s="780"/>
      <c r="U15" s="95"/>
      <c r="V15" s="80">
        <f t="shared" si="5"/>
        <v>1</v>
      </c>
      <c r="W15" s="83">
        <f t="shared" si="6"/>
        <v>0</v>
      </c>
      <c r="X15" s="41">
        <f t="shared" si="7"/>
        <v>0</v>
      </c>
      <c r="Y15" s="42">
        <f t="shared" si="8"/>
        <v>0</v>
      </c>
      <c r="Z15" s="89"/>
      <c r="AA15" s="79">
        <v>1</v>
      </c>
      <c r="AB15" s="47">
        <f>RA_uprbnd</f>
        <v>0</v>
      </c>
      <c r="AC15" s="38"/>
      <c r="AD15" s="54"/>
      <c r="AE15" s="55"/>
      <c r="AF15" s="67"/>
    </row>
    <row r="16" spans="1:32">
      <c r="A16" s="513">
        <v>10.119999999999999</v>
      </c>
      <c r="B16" s="517" t="s">
        <v>26</v>
      </c>
      <c r="C16" s="515">
        <f>'PMOC Profl Infl Adj'!AA16</f>
        <v>0</v>
      </c>
      <c r="D16" s="96"/>
      <c r="E16" s="790">
        <v>0</v>
      </c>
      <c r="F16" s="791">
        <v>0</v>
      </c>
      <c r="G16" s="792">
        <f t="shared" si="1"/>
        <v>0</v>
      </c>
      <c r="H16" s="790">
        <v>0</v>
      </c>
      <c r="I16" s="791">
        <v>0</v>
      </c>
      <c r="J16" s="792">
        <f t="shared" si="2"/>
        <v>0</v>
      </c>
      <c r="K16" s="790">
        <v>0</v>
      </c>
      <c r="L16" s="791">
        <v>0</v>
      </c>
      <c r="M16" s="792">
        <f t="shared" si="3"/>
        <v>0</v>
      </c>
      <c r="N16" s="790">
        <v>0</v>
      </c>
      <c r="O16" s="791">
        <v>0</v>
      </c>
      <c r="P16" s="792">
        <f t="shared" si="4"/>
        <v>0</v>
      </c>
      <c r="Q16" s="790">
        <v>0</v>
      </c>
      <c r="R16" s="791">
        <v>0</v>
      </c>
      <c r="S16" s="792">
        <f t="shared" si="11"/>
        <v>0</v>
      </c>
      <c r="T16" s="780"/>
      <c r="U16" s="95"/>
      <c r="V16" s="80">
        <f t="shared" si="5"/>
        <v>1</v>
      </c>
      <c r="W16" s="83">
        <f t="shared" si="6"/>
        <v>0</v>
      </c>
      <c r="X16" s="41">
        <f t="shared" si="7"/>
        <v>0</v>
      </c>
      <c r="Y16" s="42">
        <f t="shared" si="8"/>
        <v>0</v>
      </c>
      <c r="Z16" s="89"/>
      <c r="AA16" s="53"/>
      <c r="AB16" s="40"/>
      <c r="AC16" s="33"/>
      <c r="AD16" s="33"/>
      <c r="AE16" s="33"/>
      <c r="AF16" s="56"/>
    </row>
    <row r="17" spans="1:32" ht="13.5" thickBot="1">
      <c r="A17" s="513">
        <v>10.130000000000001</v>
      </c>
      <c r="B17" s="517" t="s">
        <v>27</v>
      </c>
      <c r="C17" s="516">
        <f>'PMOC Profl Infl Adj'!AA17</f>
        <v>0</v>
      </c>
      <c r="D17" s="96"/>
      <c r="E17" s="793">
        <v>0</v>
      </c>
      <c r="F17" s="794">
        <v>0</v>
      </c>
      <c r="G17" s="795">
        <f t="shared" si="1"/>
        <v>0</v>
      </c>
      <c r="H17" s="793">
        <v>0</v>
      </c>
      <c r="I17" s="794">
        <v>0</v>
      </c>
      <c r="J17" s="795">
        <f t="shared" si="2"/>
        <v>0</v>
      </c>
      <c r="K17" s="793">
        <v>0</v>
      </c>
      <c r="L17" s="794">
        <v>0</v>
      </c>
      <c r="M17" s="795">
        <f t="shared" si="3"/>
        <v>0</v>
      </c>
      <c r="N17" s="793">
        <v>0</v>
      </c>
      <c r="O17" s="794">
        <v>0</v>
      </c>
      <c r="P17" s="795">
        <f t="shared" si="4"/>
        <v>0</v>
      </c>
      <c r="Q17" s="793">
        <v>0</v>
      </c>
      <c r="R17" s="794">
        <v>0</v>
      </c>
      <c r="S17" s="795">
        <f t="shared" si="11"/>
        <v>0</v>
      </c>
      <c r="T17" s="780"/>
      <c r="U17" s="95"/>
      <c r="V17" s="87">
        <f t="shared" si="5"/>
        <v>1</v>
      </c>
      <c r="W17" s="84">
        <f t="shared" si="6"/>
        <v>0</v>
      </c>
      <c r="X17" s="43">
        <f t="shared" si="7"/>
        <v>0</v>
      </c>
      <c r="Y17" s="44">
        <f t="shared" si="8"/>
        <v>0</v>
      </c>
      <c r="Z17" s="89"/>
      <c r="AA17" s="53"/>
      <c r="AB17" s="33"/>
      <c r="AC17" s="33"/>
      <c r="AD17" s="33"/>
      <c r="AE17" s="33"/>
      <c r="AF17" s="56"/>
    </row>
    <row r="18" spans="1:32" ht="13.5" thickBot="1">
      <c r="A18" s="513" t="s">
        <v>167</v>
      </c>
      <c r="B18" s="517"/>
      <c r="C18" s="307"/>
      <c r="D18" s="2"/>
      <c r="E18" s="796">
        <v>0</v>
      </c>
      <c r="F18" s="797">
        <v>0</v>
      </c>
      <c r="G18" s="798">
        <f>SUM(E18:F18)+RA_global_rqts_adj</f>
        <v>0</v>
      </c>
      <c r="H18" s="796">
        <v>0</v>
      </c>
      <c r="I18" s="797">
        <v>0</v>
      </c>
      <c r="J18" s="798">
        <f>SUM(H18:I18)+RA_global_dsgn_adj</f>
        <v>0</v>
      </c>
      <c r="K18" s="796">
        <v>0</v>
      </c>
      <c r="L18" s="797">
        <v>0</v>
      </c>
      <c r="M18" s="798">
        <f>SUM(K18:L18)+RA_global_mkt_adj</f>
        <v>0</v>
      </c>
      <c r="N18" s="796">
        <v>0</v>
      </c>
      <c r="O18" s="797">
        <v>0</v>
      </c>
      <c r="P18" s="798">
        <f>SUM(N18:O18)+RA_global_constr_adj</f>
        <v>0</v>
      </c>
      <c r="Q18" s="796">
        <v>0</v>
      </c>
      <c r="R18" s="797">
        <v>0</v>
      </c>
      <c r="S18" s="799">
        <f>SUM(Q18:R18)</f>
        <v>0</v>
      </c>
      <c r="T18" s="780"/>
      <c r="U18" s="94"/>
      <c r="V18" s="39"/>
      <c r="W18" s="38"/>
      <c r="X18" s="38"/>
      <c r="Y18" s="52"/>
      <c r="Z18" s="89"/>
      <c r="AA18" s="59">
        <f>RA_lwrrange</f>
        <v>0.4</v>
      </c>
      <c r="AB18" s="68">
        <f>IF(RA_lwrbnd,BETAINV(AA18,RA_alpha,RA_beta,RA_lwrbnd,RA_uprbnd),0)</f>
        <v>0</v>
      </c>
      <c r="AC18" s="1122" t="s">
        <v>136</v>
      </c>
      <c r="AD18" s="1122"/>
      <c r="AE18" s="1122"/>
      <c r="AF18" s="1123"/>
    </row>
    <row r="19" spans="1:32" ht="13.5" thickBot="1">
      <c r="A19" s="513">
        <v>20.010000000000002</v>
      </c>
      <c r="B19" s="517" t="s">
        <v>63</v>
      </c>
      <c r="C19" s="514">
        <f>'PMOC Profl Infl Adj'!AA19</f>
        <v>0</v>
      </c>
      <c r="D19" s="96"/>
      <c r="E19" s="787">
        <v>0</v>
      </c>
      <c r="F19" s="788">
        <v>0</v>
      </c>
      <c r="G19" s="789">
        <f t="shared" si="1"/>
        <v>0</v>
      </c>
      <c r="H19" s="790">
        <v>0</v>
      </c>
      <c r="I19" s="791">
        <v>0</v>
      </c>
      <c r="J19" s="789">
        <f t="shared" si="2"/>
        <v>0</v>
      </c>
      <c r="K19" s="787">
        <v>0</v>
      </c>
      <c r="L19" s="788">
        <v>0</v>
      </c>
      <c r="M19" s="789">
        <f t="shared" si="3"/>
        <v>0</v>
      </c>
      <c r="N19" s="787">
        <v>0</v>
      </c>
      <c r="O19" s="788">
        <v>0</v>
      </c>
      <c r="P19" s="789">
        <f t="shared" si="4"/>
        <v>0</v>
      </c>
      <c r="Q19" s="787">
        <v>0</v>
      </c>
      <c r="R19" s="788">
        <v>0</v>
      </c>
      <c r="S19" s="789">
        <f t="shared" si="11"/>
        <v>0</v>
      </c>
      <c r="T19" s="780"/>
      <c r="U19" s="95"/>
      <c r="V19" s="85">
        <f t="shared" ref="V19:V25" si="13">1+SUM(G19,J19,M19,P19,S19)</f>
        <v>1</v>
      </c>
      <c r="W19" s="81">
        <f t="shared" ref="W19:W25" si="14">C19*V19</f>
        <v>0</v>
      </c>
      <c r="X19" s="82">
        <f t="shared" ref="X19:X25" si="15">IF(C19,BETAINV(0.5,RA_alpha,RA_beta,C19,W19),0)</f>
        <v>0</v>
      </c>
      <c r="Y19" s="86">
        <f t="shared" ref="Y19:Y25" si="16">((RA_alpha/(RA_alpha+RA_beta))*(W19-C19))+C19</f>
        <v>0</v>
      </c>
      <c r="Z19" s="89"/>
      <c r="AA19" s="59">
        <f>RA_contingency_percent</f>
        <v>0.65</v>
      </c>
      <c r="AB19" s="68">
        <f>IF(RA_lwrbnd,BETAINV(AA19,RA_alpha,RA_beta,RA_lwrbnd,RA_uprbnd),0)</f>
        <v>0</v>
      </c>
      <c r="AC19" s="57" t="s">
        <v>83</v>
      </c>
      <c r="AD19" s="57"/>
      <c r="AE19" s="57"/>
      <c r="AF19" s="58"/>
    </row>
    <row r="20" spans="1:32" ht="13.5" thickBot="1">
      <c r="A20" s="513">
        <v>20.02</v>
      </c>
      <c r="B20" s="517" t="s">
        <v>64</v>
      </c>
      <c r="C20" s="515">
        <f>'PMOC Profl Infl Adj'!AA20</f>
        <v>0</v>
      </c>
      <c r="D20" s="96"/>
      <c r="E20" s="790">
        <v>0</v>
      </c>
      <c r="F20" s="791">
        <v>0</v>
      </c>
      <c r="G20" s="792">
        <f t="shared" si="1"/>
        <v>0</v>
      </c>
      <c r="H20" s="790">
        <v>0</v>
      </c>
      <c r="I20" s="791">
        <v>0</v>
      </c>
      <c r="J20" s="792">
        <f t="shared" si="2"/>
        <v>0</v>
      </c>
      <c r="K20" s="790">
        <v>0</v>
      </c>
      <c r="L20" s="791">
        <v>0</v>
      </c>
      <c r="M20" s="792">
        <f t="shared" si="3"/>
        <v>0</v>
      </c>
      <c r="N20" s="790">
        <v>0</v>
      </c>
      <c r="O20" s="791">
        <v>0</v>
      </c>
      <c r="P20" s="792">
        <f t="shared" si="4"/>
        <v>0</v>
      </c>
      <c r="Q20" s="790">
        <v>0</v>
      </c>
      <c r="R20" s="791">
        <v>0</v>
      </c>
      <c r="S20" s="792">
        <f t="shared" si="11"/>
        <v>0</v>
      </c>
      <c r="T20" s="780"/>
      <c r="U20" s="95"/>
      <c r="V20" s="80">
        <f t="shared" si="13"/>
        <v>1</v>
      </c>
      <c r="W20" s="83">
        <f t="shared" si="14"/>
        <v>0</v>
      </c>
      <c r="X20" s="41">
        <f t="shared" si="15"/>
        <v>0</v>
      </c>
      <c r="Y20" s="42">
        <f t="shared" si="16"/>
        <v>0</v>
      </c>
      <c r="Z20" s="89"/>
      <c r="AA20" s="59">
        <f>RA_uprrange</f>
        <v>0.8</v>
      </c>
      <c r="AB20" s="68">
        <f>IF(RA_lwrbnd,BETAINV(AA20,RA_alpha,RA_beta,RA_lwrbnd,RA_uprbnd),0)</f>
        <v>0</v>
      </c>
      <c r="AC20" s="57" t="s">
        <v>137</v>
      </c>
      <c r="AD20" s="57"/>
      <c r="AE20" s="57"/>
      <c r="AF20" s="58"/>
    </row>
    <row r="21" spans="1:32" ht="12.95" customHeight="1">
      <c r="A21" s="513">
        <v>20.03</v>
      </c>
      <c r="B21" s="517" t="s">
        <v>65</v>
      </c>
      <c r="C21" s="515">
        <f>'PMOC Profl Infl Adj'!AA21</f>
        <v>0</v>
      </c>
      <c r="D21" s="96"/>
      <c r="E21" s="790">
        <v>0</v>
      </c>
      <c r="F21" s="791">
        <v>0</v>
      </c>
      <c r="G21" s="792">
        <f t="shared" si="1"/>
        <v>0</v>
      </c>
      <c r="H21" s="790">
        <v>0</v>
      </c>
      <c r="I21" s="791">
        <v>0</v>
      </c>
      <c r="J21" s="792">
        <f t="shared" si="2"/>
        <v>0</v>
      </c>
      <c r="K21" s="790">
        <v>0</v>
      </c>
      <c r="L21" s="791">
        <v>0</v>
      </c>
      <c r="M21" s="792">
        <f t="shared" si="3"/>
        <v>0</v>
      </c>
      <c r="N21" s="790">
        <v>0</v>
      </c>
      <c r="O21" s="791">
        <v>0</v>
      </c>
      <c r="P21" s="792">
        <f t="shared" si="4"/>
        <v>0</v>
      </c>
      <c r="Q21" s="790">
        <v>0</v>
      </c>
      <c r="R21" s="791">
        <v>0</v>
      </c>
      <c r="S21" s="792">
        <f t="shared" si="11"/>
        <v>0</v>
      </c>
      <c r="T21" s="780"/>
      <c r="U21" s="95"/>
      <c r="V21" s="80">
        <f t="shared" si="13"/>
        <v>1</v>
      </c>
      <c r="W21" s="83">
        <f t="shared" si="14"/>
        <v>0</v>
      </c>
      <c r="X21" s="41">
        <f t="shared" si="15"/>
        <v>0</v>
      </c>
      <c r="Y21" s="42">
        <f t="shared" si="16"/>
        <v>0</v>
      </c>
      <c r="Z21" s="89"/>
      <c r="AA21" s="217"/>
      <c r="AB21" s="212"/>
      <c r="AC21" s="212"/>
      <c r="AD21" s="212"/>
      <c r="AE21" s="212"/>
      <c r="AF21" s="215"/>
    </row>
    <row r="22" spans="1:32">
      <c r="A22" s="513">
        <v>20.04</v>
      </c>
      <c r="B22" s="517" t="s">
        <v>66</v>
      </c>
      <c r="C22" s="515">
        <f>'PMOC Profl Infl Adj'!AA22</f>
        <v>0</v>
      </c>
      <c r="D22" s="96"/>
      <c r="E22" s="790">
        <v>0</v>
      </c>
      <c r="F22" s="791">
        <v>0</v>
      </c>
      <c r="G22" s="792">
        <f t="shared" si="1"/>
        <v>0</v>
      </c>
      <c r="H22" s="790">
        <v>0</v>
      </c>
      <c r="I22" s="791">
        <v>0</v>
      </c>
      <c r="J22" s="792">
        <f t="shared" si="2"/>
        <v>0</v>
      </c>
      <c r="K22" s="790">
        <v>0</v>
      </c>
      <c r="L22" s="791">
        <v>0</v>
      </c>
      <c r="M22" s="792">
        <f t="shared" si="3"/>
        <v>0</v>
      </c>
      <c r="N22" s="790">
        <v>0</v>
      </c>
      <c r="O22" s="791">
        <v>0</v>
      </c>
      <c r="P22" s="792">
        <f t="shared" si="4"/>
        <v>0</v>
      </c>
      <c r="Q22" s="790">
        <v>0</v>
      </c>
      <c r="R22" s="791">
        <v>0</v>
      </c>
      <c r="S22" s="792">
        <f t="shared" si="11"/>
        <v>0</v>
      </c>
      <c r="T22" s="780"/>
      <c r="U22" s="95"/>
      <c r="V22" s="80">
        <f t="shared" si="13"/>
        <v>1</v>
      </c>
      <c r="W22" s="83">
        <f t="shared" si="14"/>
        <v>0</v>
      </c>
      <c r="X22" s="41">
        <f t="shared" si="15"/>
        <v>0</v>
      </c>
      <c r="Y22" s="42">
        <f t="shared" si="16"/>
        <v>0</v>
      </c>
      <c r="Z22" s="89"/>
      <c r="AA22" s="217"/>
      <c r="AB22" s="212"/>
      <c r="AC22" s="212"/>
      <c r="AD22" s="212"/>
      <c r="AE22" s="212"/>
      <c r="AF22" s="215"/>
    </row>
    <row r="23" spans="1:32">
      <c r="A23" s="513">
        <v>20.05</v>
      </c>
      <c r="B23" s="517" t="s">
        <v>67</v>
      </c>
      <c r="C23" s="515">
        <f>'PMOC Profl Infl Adj'!AA23</f>
        <v>0</v>
      </c>
      <c r="D23" s="96"/>
      <c r="E23" s="790">
        <v>0</v>
      </c>
      <c r="F23" s="791">
        <v>0</v>
      </c>
      <c r="G23" s="792">
        <f t="shared" si="1"/>
        <v>0</v>
      </c>
      <c r="H23" s="790">
        <v>0</v>
      </c>
      <c r="I23" s="791">
        <v>0</v>
      </c>
      <c r="J23" s="792">
        <f t="shared" si="2"/>
        <v>0</v>
      </c>
      <c r="K23" s="790">
        <v>0</v>
      </c>
      <c r="L23" s="791">
        <v>0</v>
      </c>
      <c r="M23" s="792">
        <f t="shared" si="3"/>
        <v>0</v>
      </c>
      <c r="N23" s="790">
        <v>0</v>
      </c>
      <c r="O23" s="791">
        <v>0</v>
      </c>
      <c r="P23" s="792">
        <f t="shared" si="4"/>
        <v>0</v>
      </c>
      <c r="Q23" s="790">
        <v>0</v>
      </c>
      <c r="R23" s="791">
        <v>0</v>
      </c>
      <c r="S23" s="792">
        <f t="shared" si="11"/>
        <v>0</v>
      </c>
      <c r="T23" s="780"/>
      <c r="U23" s="95"/>
      <c r="V23" s="80">
        <f t="shared" si="13"/>
        <v>1</v>
      </c>
      <c r="W23" s="83">
        <f t="shared" si="14"/>
        <v>0</v>
      </c>
      <c r="X23" s="41">
        <f t="shared" si="15"/>
        <v>0</v>
      </c>
      <c r="Y23" s="42">
        <f t="shared" si="16"/>
        <v>0</v>
      </c>
      <c r="Z23" s="89"/>
      <c r="AA23" s="211"/>
      <c r="AB23" s="212"/>
      <c r="AC23" s="212"/>
      <c r="AD23" s="212"/>
      <c r="AE23" s="212"/>
      <c r="AF23" s="215"/>
    </row>
    <row r="24" spans="1:32">
      <c r="A24" s="513">
        <v>20.059999999999999</v>
      </c>
      <c r="B24" s="517" t="s">
        <v>68</v>
      </c>
      <c r="C24" s="515">
        <f>'PMOC Profl Infl Adj'!AA24</f>
        <v>0</v>
      </c>
      <c r="D24" s="96"/>
      <c r="E24" s="790">
        <v>0</v>
      </c>
      <c r="F24" s="791">
        <v>0</v>
      </c>
      <c r="G24" s="792">
        <f t="shared" si="1"/>
        <v>0</v>
      </c>
      <c r="H24" s="790">
        <v>0</v>
      </c>
      <c r="I24" s="791">
        <v>0</v>
      </c>
      <c r="J24" s="792">
        <f t="shared" si="2"/>
        <v>0</v>
      </c>
      <c r="K24" s="790">
        <v>0</v>
      </c>
      <c r="L24" s="791">
        <v>0</v>
      </c>
      <c r="M24" s="792">
        <f t="shared" si="3"/>
        <v>0</v>
      </c>
      <c r="N24" s="790">
        <v>0</v>
      </c>
      <c r="O24" s="791">
        <v>0</v>
      </c>
      <c r="P24" s="792">
        <f t="shared" si="4"/>
        <v>0</v>
      </c>
      <c r="Q24" s="790">
        <v>0</v>
      </c>
      <c r="R24" s="791">
        <v>0</v>
      </c>
      <c r="S24" s="792">
        <f t="shared" si="11"/>
        <v>0</v>
      </c>
      <c r="T24" s="780"/>
      <c r="U24" s="95"/>
      <c r="V24" s="80">
        <f t="shared" si="13"/>
        <v>1</v>
      </c>
      <c r="W24" s="83">
        <f t="shared" si="14"/>
        <v>0</v>
      </c>
      <c r="X24" s="41">
        <f t="shared" si="15"/>
        <v>0</v>
      </c>
      <c r="Y24" s="42">
        <f t="shared" si="16"/>
        <v>0</v>
      </c>
      <c r="Z24" s="89"/>
      <c r="AA24" s="211"/>
      <c r="AB24" s="212"/>
      <c r="AC24" s="212"/>
      <c r="AD24" s="212"/>
      <c r="AE24" s="212"/>
      <c r="AF24" s="215"/>
    </row>
    <row r="25" spans="1:32">
      <c r="A25" s="513">
        <v>20.07</v>
      </c>
      <c r="B25" s="517" t="s">
        <v>69</v>
      </c>
      <c r="C25" s="516">
        <f>'PMOC Profl Infl Adj'!AA25</f>
        <v>0</v>
      </c>
      <c r="D25" s="96"/>
      <c r="E25" s="793">
        <v>0</v>
      </c>
      <c r="F25" s="794">
        <v>0</v>
      </c>
      <c r="G25" s="795">
        <f t="shared" si="1"/>
        <v>0</v>
      </c>
      <c r="H25" s="793">
        <v>0</v>
      </c>
      <c r="I25" s="794">
        <v>0</v>
      </c>
      <c r="J25" s="795">
        <f t="shared" si="2"/>
        <v>0</v>
      </c>
      <c r="K25" s="793">
        <v>0</v>
      </c>
      <c r="L25" s="794">
        <v>0</v>
      </c>
      <c r="M25" s="795">
        <f t="shared" si="3"/>
        <v>0</v>
      </c>
      <c r="N25" s="793">
        <v>0</v>
      </c>
      <c r="O25" s="794">
        <v>0</v>
      </c>
      <c r="P25" s="795">
        <f t="shared" si="4"/>
        <v>0</v>
      </c>
      <c r="Q25" s="793">
        <v>0</v>
      </c>
      <c r="R25" s="794">
        <v>0</v>
      </c>
      <c r="S25" s="795">
        <f t="shared" si="11"/>
        <v>0</v>
      </c>
      <c r="T25" s="780"/>
      <c r="U25" s="95"/>
      <c r="V25" s="87">
        <f t="shared" si="13"/>
        <v>1</v>
      </c>
      <c r="W25" s="84">
        <f t="shared" si="14"/>
        <v>0</v>
      </c>
      <c r="X25" s="43">
        <f t="shared" si="15"/>
        <v>0</v>
      </c>
      <c r="Y25" s="44">
        <f t="shared" si="16"/>
        <v>0</v>
      </c>
      <c r="Z25" s="89"/>
      <c r="AA25" s="211"/>
      <c r="AB25" s="212"/>
      <c r="AC25" s="212"/>
      <c r="AD25" s="212"/>
      <c r="AE25" s="212"/>
      <c r="AF25" s="215"/>
    </row>
    <row r="26" spans="1:32">
      <c r="A26" s="513" t="s">
        <v>168</v>
      </c>
      <c r="B26" s="517"/>
      <c r="C26" s="307"/>
      <c r="D26" s="2"/>
      <c r="E26" s="796">
        <v>0</v>
      </c>
      <c r="F26" s="797">
        <v>0</v>
      </c>
      <c r="G26" s="798">
        <f>SUM(E26:F26)+RA_global_rqts_adj</f>
        <v>0</v>
      </c>
      <c r="H26" s="796">
        <v>0</v>
      </c>
      <c r="I26" s="797">
        <v>0</v>
      </c>
      <c r="J26" s="798">
        <f>SUM(H26:I26)+RA_global_dsgn_adj</f>
        <v>0</v>
      </c>
      <c r="K26" s="796">
        <v>0</v>
      </c>
      <c r="L26" s="797">
        <v>0</v>
      </c>
      <c r="M26" s="798">
        <f>SUM(K26:L26)+RA_global_mkt_adj</f>
        <v>0</v>
      </c>
      <c r="N26" s="796">
        <v>0</v>
      </c>
      <c r="O26" s="797">
        <v>0</v>
      </c>
      <c r="P26" s="798">
        <f>SUM(N26:O26)+RA_global_constr_adj</f>
        <v>0</v>
      </c>
      <c r="Q26" s="796">
        <v>0</v>
      </c>
      <c r="R26" s="797">
        <v>0</v>
      </c>
      <c r="S26" s="799">
        <f>SUM(Q26:R26)</f>
        <v>0</v>
      </c>
      <c r="T26" s="780"/>
      <c r="U26" s="94"/>
      <c r="V26" s="39"/>
      <c r="W26" s="38"/>
      <c r="X26" s="38"/>
      <c r="Y26" s="52"/>
      <c r="Z26" s="89"/>
      <c r="AA26" s="211"/>
      <c r="AB26" s="212"/>
      <c r="AC26" s="212"/>
      <c r="AD26" s="212"/>
      <c r="AE26" s="212"/>
      <c r="AF26" s="215"/>
    </row>
    <row r="27" spans="1:32">
      <c r="A27" s="513">
        <v>30.01</v>
      </c>
      <c r="B27" s="517" t="s">
        <v>28</v>
      </c>
      <c r="C27" s="514">
        <f>'PMOC Profl Infl Adj'!AA27</f>
        <v>0</v>
      </c>
      <c r="D27" s="96"/>
      <c r="E27" s="787">
        <v>0</v>
      </c>
      <c r="F27" s="788">
        <v>0</v>
      </c>
      <c r="G27" s="789">
        <f t="shared" si="1"/>
        <v>0</v>
      </c>
      <c r="H27" s="787">
        <v>0</v>
      </c>
      <c r="I27" s="788">
        <v>0</v>
      </c>
      <c r="J27" s="789">
        <f t="shared" si="2"/>
        <v>0</v>
      </c>
      <c r="K27" s="787">
        <v>0</v>
      </c>
      <c r="L27" s="788">
        <v>0</v>
      </c>
      <c r="M27" s="789">
        <f t="shared" si="3"/>
        <v>0</v>
      </c>
      <c r="N27" s="787">
        <v>0</v>
      </c>
      <c r="O27" s="788">
        <v>0</v>
      </c>
      <c r="P27" s="789">
        <f t="shared" si="4"/>
        <v>0</v>
      </c>
      <c r="Q27" s="787">
        <v>0</v>
      </c>
      <c r="R27" s="788">
        <v>0</v>
      </c>
      <c r="S27" s="789">
        <f t="shared" si="11"/>
        <v>0</v>
      </c>
      <c r="T27" s="780"/>
      <c r="U27" s="95"/>
      <c r="V27" s="85">
        <f>1+SUM(G27,J27,M27,P27,S27)</f>
        <v>1</v>
      </c>
      <c r="W27" s="81">
        <f>C27*V27</f>
        <v>0</v>
      </c>
      <c r="X27" s="82">
        <f>IF(C27,BETAINV(0.5,RA_alpha,RA_beta,C27,W27),0)</f>
        <v>0</v>
      </c>
      <c r="Y27" s="86">
        <f>((RA_alpha/(RA_alpha+RA_beta))*(W27-C27))+C27</f>
        <v>0</v>
      </c>
      <c r="Z27" s="89"/>
      <c r="AA27" s="211"/>
      <c r="AB27" s="212"/>
      <c r="AC27" s="212"/>
      <c r="AD27" s="212"/>
      <c r="AE27" s="212"/>
      <c r="AF27" s="215"/>
    </row>
    <row r="28" spans="1:32">
      <c r="A28" s="513">
        <v>30.02</v>
      </c>
      <c r="B28" s="517" t="s">
        <v>29</v>
      </c>
      <c r="C28" s="515">
        <f>'PMOC Profl Infl Adj'!AA28</f>
        <v>0</v>
      </c>
      <c r="D28" s="96"/>
      <c r="E28" s="790">
        <v>0</v>
      </c>
      <c r="F28" s="791">
        <v>0</v>
      </c>
      <c r="G28" s="792">
        <f t="shared" si="1"/>
        <v>0</v>
      </c>
      <c r="H28" s="790">
        <v>0</v>
      </c>
      <c r="I28" s="791">
        <v>0</v>
      </c>
      <c r="J28" s="792">
        <f t="shared" si="2"/>
        <v>0</v>
      </c>
      <c r="K28" s="790">
        <v>0</v>
      </c>
      <c r="L28" s="791">
        <v>0</v>
      </c>
      <c r="M28" s="792">
        <f t="shared" si="3"/>
        <v>0</v>
      </c>
      <c r="N28" s="790">
        <v>0</v>
      </c>
      <c r="O28" s="791">
        <v>0</v>
      </c>
      <c r="P28" s="792">
        <f t="shared" si="4"/>
        <v>0</v>
      </c>
      <c r="Q28" s="790">
        <v>0</v>
      </c>
      <c r="R28" s="791">
        <v>0</v>
      </c>
      <c r="S28" s="792">
        <f t="shared" si="11"/>
        <v>0</v>
      </c>
      <c r="T28" s="780"/>
      <c r="U28" s="95"/>
      <c r="V28" s="80">
        <f>1+SUM(G28,J28,M28,P28,S28)</f>
        <v>1</v>
      </c>
      <c r="W28" s="83">
        <f>C28*V28</f>
        <v>0</v>
      </c>
      <c r="X28" s="41">
        <f>IF(C28,BETAINV(0.5,RA_alpha,RA_beta,C28,W28),0)</f>
        <v>0</v>
      </c>
      <c r="Y28" s="42">
        <f>((RA_alpha/(RA_alpha+RA_beta))*(W28-C28))+C28</f>
        <v>0</v>
      </c>
      <c r="Z28" s="89"/>
      <c r="AA28" s="211"/>
      <c r="AB28" s="212"/>
      <c r="AC28" s="212"/>
      <c r="AD28" s="212"/>
      <c r="AE28" s="212"/>
      <c r="AF28" s="215"/>
    </row>
    <row r="29" spans="1:32">
      <c r="A29" s="513">
        <v>30.03</v>
      </c>
      <c r="B29" s="517" t="s">
        <v>30</v>
      </c>
      <c r="C29" s="515">
        <f>'PMOC Profl Infl Adj'!AA29</f>
        <v>0</v>
      </c>
      <c r="D29" s="96"/>
      <c r="E29" s="790">
        <v>0</v>
      </c>
      <c r="F29" s="791">
        <v>0</v>
      </c>
      <c r="G29" s="792">
        <f t="shared" si="1"/>
        <v>0</v>
      </c>
      <c r="H29" s="790">
        <v>0</v>
      </c>
      <c r="I29" s="791">
        <v>0</v>
      </c>
      <c r="J29" s="792">
        <f t="shared" si="2"/>
        <v>0</v>
      </c>
      <c r="K29" s="790">
        <v>0</v>
      </c>
      <c r="L29" s="791">
        <v>0</v>
      </c>
      <c r="M29" s="792">
        <f t="shared" si="3"/>
        <v>0</v>
      </c>
      <c r="N29" s="790">
        <v>0</v>
      </c>
      <c r="O29" s="791">
        <v>0</v>
      </c>
      <c r="P29" s="792">
        <f t="shared" si="4"/>
        <v>0</v>
      </c>
      <c r="Q29" s="790">
        <v>0</v>
      </c>
      <c r="R29" s="791">
        <v>0</v>
      </c>
      <c r="S29" s="792">
        <f t="shared" si="11"/>
        <v>0</v>
      </c>
      <c r="T29" s="780"/>
      <c r="U29" s="95"/>
      <c r="V29" s="80">
        <f>1+SUM(G29,J29,M29,P29,S29)</f>
        <v>1</v>
      </c>
      <c r="W29" s="83">
        <f>C29*V29</f>
        <v>0</v>
      </c>
      <c r="X29" s="41">
        <f>IF(C29,BETAINV(0.5,RA_alpha,RA_beta,C29,W29),0)</f>
        <v>0</v>
      </c>
      <c r="Y29" s="42">
        <f>((RA_alpha/(RA_alpha+RA_beta))*(W29-C29))+C29</f>
        <v>0</v>
      </c>
      <c r="Z29" s="89"/>
      <c r="AA29" s="211"/>
      <c r="AB29" s="212"/>
      <c r="AC29" s="212"/>
      <c r="AD29" s="212"/>
      <c r="AE29" s="212"/>
      <c r="AF29" s="215"/>
    </row>
    <row r="30" spans="1:32">
      <c r="A30" s="513">
        <v>30.04</v>
      </c>
      <c r="B30" s="517" t="s">
        <v>31</v>
      </c>
      <c r="C30" s="515">
        <f>'PMOC Profl Infl Adj'!AA30</f>
        <v>0</v>
      </c>
      <c r="D30" s="96"/>
      <c r="E30" s="790">
        <v>0</v>
      </c>
      <c r="F30" s="791">
        <v>0</v>
      </c>
      <c r="G30" s="792">
        <f t="shared" si="1"/>
        <v>0</v>
      </c>
      <c r="H30" s="790">
        <v>0</v>
      </c>
      <c r="I30" s="791">
        <v>0</v>
      </c>
      <c r="J30" s="792">
        <f t="shared" si="2"/>
        <v>0</v>
      </c>
      <c r="K30" s="790">
        <v>0</v>
      </c>
      <c r="L30" s="791">
        <v>0</v>
      </c>
      <c r="M30" s="792">
        <f t="shared" si="3"/>
        <v>0</v>
      </c>
      <c r="N30" s="790">
        <v>0</v>
      </c>
      <c r="O30" s="791">
        <v>0</v>
      </c>
      <c r="P30" s="792">
        <f t="shared" si="4"/>
        <v>0</v>
      </c>
      <c r="Q30" s="790">
        <v>0</v>
      </c>
      <c r="R30" s="791">
        <v>0</v>
      </c>
      <c r="S30" s="792">
        <f t="shared" si="11"/>
        <v>0</v>
      </c>
      <c r="T30" s="780"/>
      <c r="U30" s="95"/>
      <c r="V30" s="80">
        <f>1+SUM(G30,J30,M30,P30,S30)</f>
        <v>1</v>
      </c>
      <c r="W30" s="83">
        <f>C30*V30</f>
        <v>0</v>
      </c>
      <c r="X30" s="41">
        <f>IF(C30,BETAINV(0.5,RA_alpha,RA_beta,C30,W30),0)</f>
        <v>0</v>
      </c>
      <c r="Y30" s="42">
        <f>((RA_alpha/(RA_alpha+RA_beta))*(W30-C30))+C30</f>
        <v>0</v>
      </c>
      <c r="Z30" s="89"/>
      <c r="AA30" s="211"/>
      <c r="AB30" s="212"/>
      <c r="AC30" s="212"/>
      <c r="AD30" s="212"/>
      <c r="AE30" s="212"/>
      <c r="AF30" s="215"/>
    </row>
    <row r="31" spans="1:32">
      <c r="A31" s="513">
        <v>30.05</v>
      </c>
      <c r="B31" s="517" t="s">
        <v>32</v>
      </c>
      <c r="C31" s="516">
        <f>'PMOC Profl Infl Adj'!AA31</f>
        <v>0</v>
      </c>
      <c r="D31" s="96"/>
      <c r="E31" s="793">
        <v>0</v>
      </c>
      <c r="F31" s="794">
        <v>0</v>
      </c>
      <c r="G31" s="795">
        <f t="shared" si="1"/>
        <v>0</v>
      </c>
      <c r="H31" s="793">
        <v>0</v>
      </c>
      <c r="I31" s="794">
        <v>0</v>
      </c>
      <c r="J31" s="795">
        <f t="shared" si="2"/>
        <v>0</v>
      </c>
      <c r="K31" s="793">
        <v>0</v>
      </c>
      <c r="L31" s="794">
        <v>0</v>
      </c>
      <c r="M31" s="795">
        <f t="shared" si="3"/>
        <v>0</v>
      </c>
      <c r="N31" s="793">
        <v>0</v>
      </c>
      <c r="O31" s="794">
        <v>0</v>
      </c>
      <c r="P31" s="795">
        <f t="shared" si="4"/>
        <v>0</v>
      </c>
      <c r="Q31" s="793">
        <v>0</v>
      </c>
      <c r="R31" s="794">
        <v>0</v>
      </c>
      <c r="S31" s="795">
        <f t="shared" si="11"/>
        <v>0</v>
      </c>
      <c r="T31" s="780"/>
      <c r="U31" s="95"/>
      <c r="V31" s="87">
        <f>1+SUM(G31,J31,M31,P31,S31)</f>
        <v>1</v>
      </c>
      <c r="W31" s="84">
        <f>C31*V31</f>
        <v>0</v>
      </c>
      <c r="X31" s="43">
        <f>IF(C31,BETAINV(0.5,RA_alpha,RA_beta,C31,W31),0)</f>
        <v>0</v>
      </c>
      <c r="Y31" s="44">
        <f>((RA_alpha/(RA_alpha+RA_beta))*(W31-C31))+C31</f>
        <v>0</v>
      </c>
      <c r="Z31" s="89"/>
      <c r="AA31" s="211"/>
      <c r="AB31" s="212"/>
      <c r="AC31" s="212"/>
      <c r="AD31" s="212"/>
      <c r="AE31" s="212"/>
      <c r="AF31" s="215"/>
    </row>
    <row r="32" spans="1:32">
      <c r="A32" s="513" t="s">
        <v>169</v>
      </c>
      <c r="B32" s="517"/>
      <c r="C32" s="307"/>
      <c r="D32" s="2"/>
      <c r="E32" s="796">
        <v>0</v>
      </c>
      <c r="F32" s="797">
        <v>0</v>
      </c>
      <c r="G32" s="798">
        <f>SUM(E32:F32)+RA_global_rqts_adj</f>
        <v>0</v>
      </c>
      <c r="H32" s="796">
        <v>0</v>
      </c>
      <c r="I32" s="797">
        <v>0</v>
      </c>
      <c r="J32" s="798">
        <f>SUM(H32:I32)+RA_global_dsgn_adj</f>
        <v>0</v>
      </c>
      <c r="K32" s="796">
        <v>0</v>
      </c>
      <c r="L32" s="797">
        <v>0</v>
      </c>
      <c r="M32" s="798">
        <f>SUM(K32:L32)+RA_global_mkt_adj</f>
        <v>0</v>
      </c>
      <c r="N32" s="796">
        <v>0</v>
      </c>
      <c r="O32" s="797">
        <v>0</v>
      </c>
      <c r="P32" s="798">
        <f>SUM(N32:O32)+RA_global_constr_adj</f>
        <v>0</v>
      </c>
      <c r="Q32" s="796">
        <v>0</v>
      </c>
      <c r="R32" s="797">
        <v>0</v>
      </c>
      <c r="S32" s="799">
        <f>SUM(Q32:R32)</f>
        <v>0</v>
      </c>
      <c r="T32" s="780"/>
      <c r="U32" s="94"/>
      <c r="V32" s="39"/>
      <c r="W32" s="38"/>
      <c r="X32" s="38"/>
      <c r="Y32" s="52"/>
      <c r="Z32" s="89"/>
      <c r="AA32" s="211"/>
      <c r="AB32" s="212"/>
      <c r="AC32" s="212"/>
      <c r="AD32" s="212"/>
      <c r="AE32" s="212"/>
      <c r="AF32" s="215"/>
    </row>
    <row r="33" spans="1:32">
      <c r="A33" s="513">
        <v>40.01</v>
      </c>
      <c r="B33" s="517" t="s">
        <v>33</v>
      </c>
      <c r="C33" s="514">
        <f>'PMOC Profl Infl Adj'!AA33</f>
        <v>0</v>
      </c>
      <c r="D33" s="96"/>
      <c r="E33" s="787">
        <v>0</v>
      </c>
      <c r="F33" s="788">
        <v>0</v>
      </c>
      <c r="G33" s="789">
        <f t="shared" si="1"/>
        <v>0</v>
      </c>
      <c r="H33" s="787">
        <v>0</v>
      </c>
      <c r="I33" s="788">
        <v>0</v>
      </c>
      <c r="J33" s="789">
        <f t="shared" si="2"/>
        <v>0</v>
      </c>
      <c r="K33" s="787">
        <v>0</v>
      </c>
      <c r="L33" s="788">
        <v>0</v>
      </c>
      <c r="M33" s="789">
        <f t="shared" si="3"/>
        <v>0</v>
      </c>
      <c r="N33" s="787">
        <v>0</v>
      </c>
      <c r="O33" s="788">
        <v>0</v>
      </c>
      <c r="P33" s="789">
        <f t="shared" si="4"/>
        <v>0</v>
      </c>
      <c r="Q33" s="787">
        <v>0</v>
      </c>
      <c r="R33" s="788">
        <v>0</v>
      </c>
      <c r="S33" s="789">
        <f t="shared" si="11"/>
        <v>0</v>
      </c>
      <c r="T33" s="780"/>
      <c r="U33" s="95"/>
      <c r="V33" s="85">
        <f t="shared" ref="V33:V40" si="17">1+SUM(G33,J33,M33,P33,S33)</f>
        <v>1</v>
      </c>
      <c r="W33" s="81">
        <f t="shared" ref="W33:W40" si="18">C33*V33</f>
        <v>0</v>
      </c>
      <c r="X33" s="82">
        <f t="shared" ref="X33:X40" si="19">IF(C33,BETAINV(0.5,RA_alpha,RA_beta,C33,W33),0)</f>
        <v>0</v>
      </c>
      <c r="Y33" s="86">
        <f t="shared" ref="Y33:Y40" si="20">((RA_alpha/(RA_alpha+RA_beta))*(W33-C33))+C33</f>
        <v>0</v>
      </c>
      <c r="Z33" s="89"/>
      <c r="AA33" s="211"/>
      <c r="AB33" s="212"/>
      <c r="AC33" s="212"/>
      <c r="AD33" s="212"/>
      <c r="AE33" s="212"/>
      <c r="AF33" s="215"/>
    </row>
    <row r="34" spans="1:32">
      <c r="A34" s="513">
        <v>40.020000000000003</v>
      </c>
      <c r="B34" s="517" t="s">
        <v>34</v>
      </c>
      <c r="C34" s="515">
        <f>'PMOC Profl Infl Adj'!AA34</f>
        <v>0</v>
      </c>
      <c r="D34" s="96"/>
      <c r="E34" s="790">
        <v>0</v>
      </c>
      <c r="F34" s="791">
        <v>0</v>
      </c>
      <c r="G34" s="792">
        <f t="shared" si="1"/>
        <v>0</v>
      </c>
      <c r="H34" s="790">
        <v>0</v>
      </c>
      <c r="I34" s="791">
        <v>0</v>
      </c>
      <c r="J34" s="792">
        <f t="shared" si="2"/>
        <v>0</v>
      </c>
      <c r="K34" s="790">
        <v>0</v>
      </c>
      <c r="L34" s="791">
        <v>0</v>
      </c>
      <c r="M34" s="792">
        <f t="shared" si="3"/>
        <v>0</v>
      </c>
      <c r="N34" s="790">
        <v>0</v>
      </c>
      <c r="O34" s="791">
        <v>0</v>
      </c>
      <c r="P34" s="792">
        <f t="shared" si="4"/>
        <v>0</v>
      </c>
      <c r="Q34" s="790">
        <v>0</v>
      </c>
      <c r="R34" s="791">
        <v>0</v>
      </c>
      <c r="S34" s="792">
        <f t="shared" si="11"/>
        <v>0</v>
      </c>
      <c r="T34" s="780"/>
      <c r="U34" s="95"/>
      <c r="V34" s="80">
        <f t="shared" si="17"/>
        <v>1</v>
      </c>
      <c r="W34" s="83">
        <f t="shared" si="18"/>
        <v>0</v>
      </c>
      <c r="X34" s="41">
        <f t="shared" si="19"/>
        <v>0</v>
      </c>
      <c r="Y34" s="42">
        <f t="shared" si="20"/>
        <v>0</v>
      </c>
      <c r="Z34" s="89"/>
      <c r="AA34" s="211"/>
      <c r="AB34" s="212"/>
      <c r="AC34" s="212"/>
      <c r="AD34" s="212"/>
      <c r="AE34" s="212"/>
      <c r="AF34" s="215"/>
    </row>
    <row r="35" spans="1:32">
      <c r="A35" s="513">
        <v>40.03</v>
      </c>
      <c r="B35" s="517" t="s">
        <v>35</v>
      </c>
      <c r="C35" s="515">
        <f>'PMOC Profl Infl Adj'!AA35</f>
        <v>0</v>
      </c>
      <c r="D35" s="96"/>
      <c r="E35" s="790">
        <v>0</v>
      </c>
      <c r="F35" s="791">
        <v>0</v>
      </c>
      <c r="G35" s="792">
        <f t="shared" si="1"/>
        <v>0</v>
      </c>
      <c r="H35" s="790">
        <v>0</v>
      </c>
      <c r="I35" s="791">
        <v>0</v>
      </c>
      <c r="J35" s="792">
        <f t="shared" si="2"/>
        <v>0</v>
      </c>
      <c r="K35" s="790">
        <v>0</v>
      </c>
      <c r="L35" s="791">
        <v>0</v>
      </c>
      <c r="M35" s="792">
        <f t="shared" si="3"/>
        <v>0</v>
      </c>
      <c r="N35" s="790">
        <v>0</v>
      </c>
      <c r="O35" s="791">
        <v>0</v>
      </c>
      <c r="P35" s="792">
        <f t="shared" si="4"/>
        <v>0</v>
      </c>
      <c r="Q35" s="790">
        <v>0</v>
      </c>
      <c r="R35" s="791">
        <v>0</v>
      </c>
      <c r="S35" s="792">
        <f t="shared" si="11"/>
        <v>0</v>
      </c>
      <c r="T35" s="780"/>
      <c r="U35" s="95"/>
      <c r="V35" s="80">
        <f t="shared" si="17"/>
        <v>1</v>
      </c>
      <c r="W35" s="83">
        <f t="shared" si="18"/>
        <v>0</v>
      </c>
      <c r="X35" s="41">
        <f t="shared" si="19"/>
        <v>0</v>
      </c>
      <c r="Y35" s="42">
        <f t="shared" si="20"/>
        <v>0</v>
      </c>
      <c r="Z35" s="89"/>
      <c r="AA35" s="211"/>
      <c r="AB35" s="212"/>
      <c r="AC35" s="212"/>
      <c r="AD35" s="212"/>
      <c r="AE35" s="212"/>
      <c r="AF35" s="215"/>
    </row>
    <row r="36" spans="1:32">
      <c r="A36" s="513">
        <v>40.04</v>
      </c>
      <c r="B36" s="517" t="s">
        <v>36</v>
      </c>
      <c r="C36" s="515">
        <f>'PMOC Profl Infl Adj'!AA36</f>
        <v>0</v>
      </c>
      <c r="D36" s="96"/>
      <c r="E36" s="790">
        <v>0</v>
      </c>
      <c r="F36" s="791">
        <v>0</v>
      </c>
      <c r="G36" s="792">
        <f t="shared" si="1"/>
        <v>0</v>
      </c>
      <c r="H36" s="790">
        <v>0</v>
      </c>
      <c r="I36" s="791">
        <v>0</v>
      </c>
      <c r="J36" s="792">
        <f t="shared" si="2"/>
        <v>0</v>
      </c>
      <c r="K36" s="790">
        <v>0</v>
      </c>
      <c r="L36" s="791">
        <v>0</v>
      </c>
      <c r="M36" s="792">
        <f t="shared" si="3"/>
        <v>0</v>
      </c>
      <c r="N36" s="790">
        <v>0</v>
      </c>
      <c r="O36" s="791">
        <v>0</v>
      </c>
      <c r="P36" s="792">
        <f t="shared" si="4"/>
        <v>0</v>
      </c>
      <c r="Q36" s="790">
        <v>0</v>
      </c>
      <c r="R36" s="791">
        <v>0</v>
      </c>
      <c r="S36" s="792">
        <f t="shared" si="11"/>
        <v>0</v>
      </c>
      <c r="T36" s="780"/>
      <c r="U36" s="95"/>
      <c r="V36" s="80">
        <f t="shared" si="17"/>
        <v>1</v>
      </c>
      <c r="W36" s="83">
        <f t="shared" si="18"/>
        <v>0</v>
      </c>
      <c r="X36" s="41">
        <f t="shared" si="19"/>
        <v>0</v>
      </c>
      <c r="Y36" s="42">
        <f t="shared" si="20"/>
        <v>0</v>
      </c>
      <c r="Z36" s="89"/>
      <c r="AA36" s="211"/>
      <c r="AB36" s="212"/>
      <c r="AC36" s="212"/>
      <c r="AD36" s="212"/>
      <c r="AE36" s="212"/>
      <c r="AF36" s="215"/>
    </row>
    <row r="37" spans="1:32">
      <c r="A37" s="513">
        <v>40.049999999999997</v>
      </c>
      <c r="B37" s="517" t="s">
        <v>37</v>
      </c>
      <c r="C37" s="515">
        <f>'PMOC Profl Infl Adj'!AA37</f>
        <v>0</v>
      </c>
      <c r="D37" s="96"/>
      <c r="E37" s="790">
        <v>0</v>
      </c>
      <c r="F37" s="791">
        <v>0</v>
      </c>
      <c r="G37" s="792">
        <f t="shared" si="1"/>
        <v>0</v>
      </c>
      <c r="H37" s="790">
        <v>0</v>
      </c>
      <c r="I37" s="791">
        <v>0</v>
      </c>
      <c r="J37" s="792">
        <f t="shared" si="2"/>
        <v>0</v>
      </c>
      <c r="K37" s="790">
        <v>0</v>
      </c>
      <c r="L37" s="791">
        <v>0</v>
      </c>
      <c r="M37" s="792">
        <f t="shared" si="3"/>
        <v>0</v>
      </c>
      <c r="N37" s="790">
        <v>0</v>
      </c>
      <c r="O37" s="791">
        <v>0</v>
      </c>
      <c r="P37" s="792">
        <f t="shared" si="4"/>
        <v>0</v>
      </c>
      <c r="Q37" s="790">
        <v>0</v>
      </c>
      <c r="R37" s="791">
        <v>0</v>
      </c>
      <c r="S37" s="792">
        <f t="shared" si="11"/>
        <v>0</v>
      </c>
      <c r="T37" s="780"/>
      <c r="U37" s="95"/>
      <c r="V37" s="80">
        <f t="shared" si="17"/>
        <v>1</v>
      </c>
      <c r="W37" s="83">
        <f t="shared" si="18"/>
        <v>0</v>
      </c>
      <c r="X37" s="41">
        <f t="shared" si="19"/>
        <v>0</v>
      </c>
      <c r="Y37" s="42">
        <f t="shared" si="20"/>
        <v>0</v>
      </c>
      <c r="Z37" s="89"/>
      <c r="AA37" s="211"/>
      <c r="AB37" s="212"/>
      <c r="AC37" s="212"/>
      <c r="AD37" s="212"/>
      <c r="AE37" s="212"/>
      <c r="AF37" s="215"/>
    </row>
    <row r="38" spans="1:32">
      <c r="A38" s="513">
        <v>40.06</v>
      </c>
      <c r="B38" s="517" t="s">
        <v>38</v>
      </c>
      <c r="C38" s="515">
        <f>'PMOC Profl Infl Adj'!AA38</f>
        <v>0</v>
      </c>
      <c r="D38" s="96"/>
      <c r="E38" s="790">
        <v>0</v>
      </c>
      <c r="F38" s="791">
        <v>0</v>
      </c>
      <c r="G38" s="792">
        <f t="shared" si="1"/>
        <v>0</v>
      </c>
      <c r="H38" s="790">
        <v>0</v>
      </c>
      <c r="I38" s="791">
        <v>0</v>
      </c>
      <c r="J38" s="792">
        <f t="shared" si="2"/>
        <v>0</v>
      </c>
      <c r="K38" s="790">
        <v>0</v>
      </c>
      <c r="L38" s="791">
        <v>0</v>
      </c>
      <c r="M38" s="792">
        <f t="shared" si="3"/>
        <v>0</v>
      </c>
      <c r="N38" s="790">
        <v>0</v>
      </c>
      <c r="O38" s="791">
        <v>0</v>
      </c>
      <c r="P38" s="792">
        <f t="shared" si="4"/>
        <v>0</v>
      </c>
      <c r="Q38" s="790">
        <v>0</v>
      </c>
      <c r="R38" s="791">
        <v>0</v>
      </c>
      <c r="S38" s="792">
        <f t="shared" si="11"/>
        <v>0</v>
      </c>
      <c r="T38" s="780"/>
      <c r="U38" s="95"/>
      <c r="V38" s="80">
        <f t="shared" si="17"/>
        <v>1</v>
      </c>
      <c r="W38" s="83">
        <f t="shared" si="18"/>
        <v>0</v>
      </c>
      <c r="X38" s="41">
        <f t="shared" si="19"/>
        <v>0</v>
      </c>
      <c r="Y38" s="42">
        <f t="shared" si="20"/>
        <v>0</v>
      </c>
      <c r="Z38" s="89"/>
      <c r="AA38" s="211"/>
      <c r="AB38" s="212"/>
      <c r="AC38" s="212"/>
      <c r="AD38" s="212"/>
      <c r="AE38" s="212"/>
      <c r="AF38" s="215"/>
    </row>
    <row r="39" spans="1:32">
      <c r="A39" s="513">
        <v>40.07</v>
      </c>
      <c r="B39" s="517" t="s">
        <v>39</v>
      </c>
      <c r="C39" s="515">
        <f>'PMOC Profl Infl Adj'!AA39</f>
        <v>0</v>
      </c>
      <c r="D39" s="96"/>
      <c r="E39" s="790">
        <v>0</v>
      </c>
      <c r="F39" s="791">
        <v>0</v>
      </c>
      <c r="G39" s="792">
        <f t="shared" si="1"/>
        <v>0</v>
      </c>
      <c r="H39" s="790">
        <v>0</v>
      </c>
      <c r="I39" s="791">
        <v>0</v>
      </c>
      <c r="J39" s="792">
        <f t="shared" si="2"/>
        <v>0</v>
      </c>
      <c r="K39" s="790">
        <v>0</v>
      </c>
      <c r="L39" s="791">
        <v>0</v>
      </c>
      <c r="M39" s="792">
        <f t="shared" si="3"/>
        <v>0</v>
      </c>
      <c r="N39" s="790">
        <v>0</v>
      </c>
      <c r="O39" s="791">
        <v>0</v>
      </c>
      <c r="P39" s="792">
        <f t="shared" si="4"/>
        <v>0</v>
      </c>
      <c r="Q39" s="790">
        <v>0</v>
      </c>
      <c r="R39" s="791">
        <v>0</v>
      </c>
      <c r="S39" s="792">
        <f t="shared" si="11"/>
        <v>0</v>
      </c>
      <c r="T39" s="780"/>
      <c r="U39" s="95"/>
      <c r="V39" s="80">
        <f t="shared" si="17"/>
        <v>1</v>
      </c>
      <c r="W39" s="83">
        <f t="shared" si="18"/>
        <v>0</v>
      </c>
      <c r="X39" s="41">
        <f t="shared" si="19"/>
        <v>0</v>
      </c>
      <c r="Y39" s="42">
        <f t="shared" si="20"/>
        <v>0</v>
      </c>
      <c r="Z39" s="89"/>
      <c r="AA39" s="211"/>
      <c r="AB39" s="212"/>
      <c r="AC39" s="212"/>
      <c r="AD39" s="212"/>
      <c r="AE39" s="212"/>
      <c r="AF39" s="215"/>
    </row>
    <row r="40" spans="1:32">
      <c r="A40" s="513">
        <v>40.08</v>
      </c>
      <c r="B40" s="517" t="s">
        <v>40</v>
      </c>
      <c r="C40" s="516">
        <f>'PMOC Profl Infl Adj'!AA40</f>
        <v>0</v>
      </c>
      <c r="D40" s="96"/>
      <c r="E40" s="793">
        <v>0</v>
      </c>
      <c r="F40" s="794">
        <v>0</v>
      </c>
      <c r="G40" s="795">
        <f t="shared" si="1"/>
        <v>0</v>
      </c>
      <c r="H40" s="793">
        <v>0</v>
      </c>
      <c r="I40" s="794">
        <v>0</v>
      </c>
      <c r="J40" s="795">
        <f t="shared" si="2"/>
        <v>0</v>
      </c>
      <c r="K40" s="793">
        <v>0</v>
      </c>
      <c r="L40" s="794">
        <v>0</v>
      </c>
      <c r="M40" s="795">
        <f t="shared" si="3"/>
        <v>0</v>
      </c>
      <c r="N40" s="790">
        <v>0</v>
      </c>
      <c r="O40" s="791">
        <v>0</v>
      </c>
      <c r="P40" s="795">
        <f t="shared" si="4"/>
        <v>0</v>
      </c>
      <c r="Q40" s="790">
        <v>0</v>
      </c>
      <c r="R40" s="791">
        <v>0</v>
      </c>
      <c r="S40" s="795">
        <f t="shared" si="11"/>
        <v>0</v>
      </c>
      <c r="T40" s="780"/>
      <c r="U40" s="95"/>
      <c r="V40" s="87">
        <f t="shared" si="17"/>
        <v>1</v>
      </c>
      <c r="W40" s="84">
        <f t="shared" si="18"/>
        <v>0</v>
      </c>
      <c r="X40" s="43">
        <f t="shared" si="19"/>
        <v>0</v>
      </c>
      <c r="Y40" s="44">
        <f t="shared" si="20"/>
        <v>0</v>
      </c>
      <c r="Z40" s="89"/>
      <c r="AA40" s="211"/>
      <c r="AB40" s="212"/>
      <c r="AC40" s="212"/>
      <c r="AD40" s="212"/>
      <c r="AE40" s="212"/>
      <c r="AF40" s="215"/>
    </row>
    <row r="41" spans="1:32">
      <c r="A41" s="513" t="s">
        <v>170</v>
      </c>
      <c r="B41" s="517"/>
      <c r="C41" s="307"/>
      <c r="D41" s="2"/>
      <c r="E41" s="796">
        <v>0</v>
      </c>
      <c r="F41" s="797">
        <v>0</v>
      </c>
      <c r="G41" s="798">
        <f>SUM(E41:F41)+RA_global_rqts_adj</f>
        <v>0</v>
      </c>
      <c r="H41" s="796">
        <v>0</v>
      </c>
      <c r="I41" s="797">
        <v>0</v>
      </c>
      <c r="J41" s="798">
        <f>SUM(H41:I41)+RA_global_dsgn_adj</f>
        <v>0</v>
      </c>
      <c r="K41" s="796">
        <v>0</v>
      </c>
      <c r="L41" s="797">
        <v>0</v>
      </c>
      <c r="M41" s="798">
        <f>SUM(K41:L41)+RA_global_mkt_adj</f>
        <v>0</v>
      </c>
      <c r="N41" s="796">
        <v>0</v>
      </c>
      <c r="O41" s="797">
        <v>0</v>
      </c>
      <c r="P41" s="798">
        <f>SUM(N41:O41)+RA_global_constr_adj</f>
        <v>0</v>
      </c>
      <c r="Q41" s="796">
        <v>0</v>
      </c>
      <c r="R41" s="797">
        <v>0</v>
      </c>
      <c r="S41" s="799">
        <f>SUM(Q41:R41)</f>
        <v>0</v>
      </c>
      <c r="T41" s="780"/>
      <c r="U41" s="94"/>
      <c r="V41" s="39"/>
      <c r="W41" s="38"/>
      <c r="X41" s="38"/>
      <c r="Y41" s="52"/>
      <c r="Z41" s="89"/>
      <c r="AA41" s="211"/>
      <c r="AB41" s="212"/>
      <c r="AC41" s="212"/>
      <c r="AD41" s="212"/>
      <c r="AE41" s="212"/>
      <c r="AF41" s="215"/>
    </row>
    <row r="42" spans="1:32">
      <c r="A42" s="513">
        <v>50.01</v>
      </c>
      <c r="B42" s="517" t="s">
        <v>41</v>
      </c>
      <c r="C42" s="514">
        <f>'PMOC Profl Infl Adj'!AA42</f>
        <v>0</v>
      </c>
      <c r="D42" s="96"/>
      <c r="E42" s="787">
        <v>0</v>
      </c>
      <c r="F42" s="788">
        <v>0</v>
      </c>
      <c r="G42" s="789">
        <f t="shared" si="1"/>
        <v>0</v>
      </c>
      <c r="H42" s="787">
        <v>0</v>
      </c>
      <c r="I42" s="800">
        <v>0</v>
      </c>
      <c r="J42" s="789">
        <f t="shared" si="2"/>
        <v>0</v>
      </c>
      <c r="K42" s="787">
        <v>0</v>
      </c>
      <c r="L42" s="800">
        <v>0</v>
      </c>
      <c r="M42" s="789">
        <f t="shared" si="3"/>
        <v>0</v>
      </c>
      <c r="N42" s="787">
        <v>0</v>
      </c>
      <c r="O42" s="800">
        <v>0</v>
      </c>
      <c r="P42" s="789">
        <f t="shared" si="4"/>
        <v>0</v>
      </c>
      <c r="Q42" s="787">
        <v>0</v>
      </c>
      <c r="R42" s="800">
        <v>0</v>
      </c>
      <c r="S42" s="789">
        <f t="shared" si="11"/>
        <v>0</v>
      </c>
      <c r="T42" s="780"/>
      <c r="U42" s="95"/>
      <c r="V42" s="85">
        <f t="shared" ref="V42:V48" si="21">1+SUM(G42,J42,M42,P42,S42)</f>
        <v>1</v>
      </c>
      <c r="W42" s="81">
        <f t="shared" ref="W42:W48" si="22">C42*V42</f>
        <v>0</v>
      </c>
      <c r="X42" s="82">
        <f t="shared" ref="X42:X48" si="23">IF(C42,BETAINV(0.5,RA_alpha,RA_beta,C42,W42),0)</f>
        <v>0</v>
      </c>
      <c r="Y42" s="86">
        <f t="shared" ref="Y42:Y48" si="24">((RA_alpha/(RA_alpha+RA_beta))*(W42-C42))+C42</f>
        <v>0</v>
      </c>
      <c r="Z42" s="89"/>
      <c r="AA42" s="211"/>
      <c r="AB42" s="212"/>
      <c r="AC42" s="212"/>
      <c r="AD42" s="212"/>
      <c r="AE42" s="212"/>
      <c r="AF42" s="215"/>
    </row>
    <row r="43" spans="1:32">
      <c r="A43" s="513">
        <v>50.02</v>
      </c>
      <c r="B43" s="517" t="s">
        <v>42</v>
      </c>
      <c r="C43" s="515">
        <f>'PMOC Profl Infl Adj'!AA43</f>
        <v>0</v>
      </c>
      <c r="D43" s="96"/>
      <c r="E43" s="790">
        <v>0</v>
      </c>
      <c r="F43" s="791">
        <v>0</v>
      </c>
      <c r="G43" s="792">
        <f t="shared" si="1"/>
        <v>0</v>
      </c>
      <c r="H43" s="790">
        <v>0</v>
      </c>
      <c r="I43" s="801">
        <v>0</v>
      </c>
      <c r="J43" s="792">
        <f t="shared" si="2"/>
        <v>0</v>
      </c>
      <c r="K43" s="790">
        <v>0</v>
      </c>
      <c r="L43" s="801">
        <v>0</v>
      </c>
      <c r="M43" s="792">
        <f t="shared" si="3"/>
        <v>0</v>
      </c>
      <c r="N43" s="790">
        <v>0</v>
      </c>
      <c r="O43" s="801">
        <v>0</v>
      </c>
      <c r="P43" s="792">
        <f t="shared" si="4"/>
        <v>0</v>
      </c>
      <c r="Q43" s="790">
        <v>0</v>
      </c>
      <c r="R43" s="801">
        <v>0</v>
      </c>
      <c r="S43" s="792">
        <f t="shared" si="11"/>
        <v>0</v>
      </c>
      <c r="T43" s="780"/>
      <c r="U43" s="95"/>
      <c r="V43" s="80">
        <f t="shared" si="21"/>
        <v>1</v>
      </c>
      <c r="W43" s="83">
        <f t="shared" si="22"/>
        <v>0</v>
      </c>
      <c r="X43" s="41">
        <f t="shared" si="23"/>
        <v>0</v>
      </c>
      <c r="Y43" s="42">
        <f t="shared" si="24"/>
        <v>0</v>
      </c>
      <c r="Z43" s="89"/>
      <c r="AA43" s="211"/>
      <c r="AB43" s="212"/>
      <c r="AC43" s="212"/>
      <c r="AD43" s="212"/>
      <c r="AE43" s="212"/>
      <c r="AF43" s="215"/>
    </row>
    <row r="44" spans="1:32">
      <c r="A44" s="513">
        <v>50.03</v>
      </c>
      <c r="B44" s="517" t="s">
        <v>43</v>
      </c>
      <c r="C44" s="515">
        <f>'PMOC Profl Infl Adj'!AA44</f>
        <v>0</v>
      </c>
      <c r="D44" s="96"/>
      <c r="E44" s="790">
        <v>0</v>
      </c>
      <c r="F44" s="791">
        <v>0</v>
      </c>
      <c r="G44" s="792">
        <f t="shared" si="1"/>
        <v>0</v>
      </c>
      <c r="H44" s="790">
        <v>0</v>
      </c>
      <c r="I44" s="801">
        <v>0</v>
      </c>
      <c r="J44" s="792">
        <f t="shared" si="2"/>
        <v>0</v>
      </c>
      <c r="K44" s="790">
        <v>0</v>
      </c>
      <c r="L44" s="801">
        <v>0</v>
      </c>
      <c r="M44" s="792">
        <f t="shared" si="3"/>
        <v>0</v>
      </c>
      <c r="N44" s="790">
        <v>0</v>
      </c>
      <c r="O44" s="801">
        <v>0</v>
      </c>
      <c r="P44" s="792">
        <f t="shared" si="4"/>
        <v>0</v>
      </c>
      <c r="Q44" s="790">
        <v>0</v>
      </c>
      <c r="R44" s="801">
        <v>0</v>
      </c>
      <c r="S44" s="792">
        <f t="shared" si="11"/>
        <v>0</v>
      </c>
      <c r="T44" s="780"/>
      <c r="U44" s="95"/>
      <c r="V44" s="80">
        <f t="shared" si="21"/>
        <v>1</v>
      </c>
      <c r="W44" s="83">
        <f t="shared" si="22"/>
        <v>0</v>
      </c>
      <c r="X44" s="41">
        <f t="shared" si="23"/>
        <v>0</v>
      </c>
      <c r="Y44" s="42">
        <f t="shared" si="24"/>
        <v>0</v>
      </c>
      <c r="Z44" s="89"/>
      <c r="AA44" s="211"/>
      <c r="AB44" s="212"/>
      <c r="AC44" s="212"/>
      <c r="AD44" s="212"/>
      <c r="AE44" s="212"/>
      <c r="AF44" s="215"/>
    </row>
    <row r="45" spans="1:32">
      <c r="A45" s="513">
        <v>50.04</v>
      </c>
      <c r="B45" s="517" t="s">
        <v>44</v>
      </c>
      <c r="C45" s="515">
        <f>'PMOC Profl Infl Adj'!AA45</f>
        <v>0</v>
      </c>
      <c r="D45" s="96"/>
      <c r="E45" s="790">
        <v>0</v>
      </c>
      <c r="F45" s="791">
        <v>0</v>
      </c>
      <c r="G45" s="792">
        <f t="shared" si="1"/>
        <v>0</v>
      </c>
      <c r="H45" s="790">
        <v>0</v>
      </c>
      <c r="I45" s="801">
        <v>0</v>
      </c>
      <c r="J45" s="792">
        <f t="shared" si="2"/>
        <v>0</v>
      </c>
      <c r="K45" s="790">
        <v>0</v>
      </c>
      <c r="L45" s="801">
        <v>0</v>
      </c>
      <c r="M45" s="792">
        <f t="shared" si="3"/>
        <v>0</v>
      </c>
      <c r="N45" s="790">
        <v>0</v>
      </c>
      <c r="O45" s="801">
        <v>0</v>
      </c>
      <c r="P45" s="792">
        <f t="shared" si="4"/>
        <v>0</v>
      </c>
      <c r="Q45" s="790">
        <v>0</v>
      </c>
      <c r="R45" s="801">
        <v>0</v>
      </c>
      <c r="S45" s="792">
        <f t="shared" si="11"/>
        <v>0</v>
      </c>
      <c r="T45" s="780"/>
      <c r="U45" s="95"/>
      <c r="V45" s="80">
        <f t="shared" si="21"/>
        <v>1</v>
      </c>
      <c r="W45" s="83">
        <f t="shared" si="22"/>
        <v>0</v>
      </c>
      <c r="X45" s="41">
        <f t="shared" si="23"/>
        <v>0</v>
      </c>
      <c r="Y45" s="42">
        <f t="shared" si="24"/>
        <v>0</v>
      </c>
      <c r="Z45" s="89"/>
      <c r="AA45" s="211"/>
      <c r="AB45" s="212"/>
      <c r="AC45" s="212"/>
      <c r="AD45" s="212"/>
      <c r="AE45" s="212"/>
      <c r="AF45" s="215"/>
    </row>
    <row r="46" spans="1:32">
      <c r="A46" s="513">
        <v>50.05</v>
      </c>
      <c r="B46" s="517" t="s">
        <v>45</v>
      </c>
      <c r="C46" s="515">
        <f>'PMOC Profl Infl Adj'!AA46</f>
        <v>0</v>
      </c>
      <c r="D46" s="96"/>
      <c r="E46" s="790">
        <v>0</v>
      </c>
      <c r="F46" s="791">
        <v>0</v>
      </c>
      <c r="G46" s="792">
        <f t="shared" si="1"/>
        <v>0</v>
      </c>
      <c r="H46" s="790">
        <v>0</v>
      </c>
      <c r="I46" s="801">
        <v>0</v>
      </c>
      <c r="J46" s="792">
        <f t="shared" si="2"/>
        <v>0</v>
      </c>
      <c r="K46" s="790">
        <v>0</v>
      </c>
      <c r="L46" s="801">
        <v>0</v>
      </c>
      <c r="M46" s="792">
        <f t="shared" si="3"/>
        <v>0</v>
      </c>
      <c r="N46" s="790">
        <v>0</v>
      </c>
      <c r="O46" s="801">
        <v>0</v>
      </c>
      <c r="P46" s="792">
        <f t="shared" si="4"/>
        <v>0</v>
      </c>
      <c r="Q46" s="790">
        <v>0</v>
      </c>
      <c r="R46" s="801">
        <v>0</v>
      </c>
      <c r="S46" s="792">
        <f t="shared" si="11"/>
        <v>0</v>
      </c>
      <c r="T46" s="780"/>
      <c r="U46" s="95"/>
      <c r="V46" s="80">
        <f t="shared" si="21"/>
        <v>1</v>
      </c>
      <c r="W46" s="83">
        <f t="shared" si="22"/>
        <v>0</v>
      </c>
      <c r="X46" s="41">
        <f t="shared" si="23"/>
        <v>0</v>
      </c>
      <c r="Y46" s="42">
        <f t="shared" si="24"/>
        <v>0</v>
      </c>
      <c r="Z46" s="89"/>
      <c r="AA46" s="211"/>
      <c r="AB46" s="212"/>
      <c r="AC46" s="212"/>
      <c r="AD46" s="212"/>
      <c r="AE46" s="212"/>
      <c r="AF46" s="215"/>
    </row>
    <row r="47" spans="1:32">
      <c r="A47" s="513">
        <v>50.06</v>
      </c>
      <c r="B47" s="517" t="s">
        <v>46</v>
      </c>
      <c r="C47" s="515">
        <f>'PMOC Profl Infl Adj'!AA47</f>
        <v>0</v>
      </c>
      <c r="D47" s="96"/>
      <c r="E47" s="790">
        <v>0</v>
      </c>
      <c r="F47" s="791">
        <v>0</v>
      </c>
      <c r="G47" s="792">
        <f t="shared" si="1"/>
        <v>0</v>
      </c>
      <c r="H47" s="790">
        <v>0</v>
      </c>
      <c r="I47" s="801">
        <v>0</v>
      </c>
      <c r="J47" s="792">
        <f t="shared" si="2"/>
        <v>0</v>
      </c>
      <c r="K47" s="790">
        <v>0</v>
      </c>
      <c r="L47" s="801">
        <v>0</v>
      </c>
      <c r="M47" s="792">
        <f t="shared" si="3"/>
        <v>0</v>
      </c>
      <c r="N47" s="790">
        <v>0</v>
      </c>
      <c r="O47" s="801">
        <v>0</v>
      </c>
      <c r="P47" s="792">
        <f t="shared" si="4"/>
        <v>0</v>
      </c>
      <c r="Q47" s="790">
        <v>0</v>
      </c>
      <c r="R47" s="801">
        <v>0</v>
      </c>
      <c r="S47" s="792">
        <f t="shared" si="11"/>
        <v>0</v>
      </c>
      <c r="T47" s="780"/>
      <c r="U47" s="95"/>
      <c r="V47" s="80">
        <f t="shared" si="21"/>
        <v>1</v>
      </c>
      <c r="W47" s="83">
        <f t="shared" si="22"/>
        <v>0</v>
      </c>
      <c r="X47" s="41">
        <f t="shared" si="23"/>
        <v>0</v>
      </c>
      <c r="Y47" s="42">
        <f t="shared" si="24"/>
        <v>0</v>
      </c>
      <c r="Z47" s="89"/>
      <c r="AA47" s="211"/>
      <c r="AB47" s="212"/>
      <c r="AC47" s="212"/>
      <c r="AD47" s="212"/>
      <c r="AE47" s="212"/>
      <c r="AF47" s="215"/>
    </row>
    <row r="48" spans="1:32" ht="13.5" thickBot="1">
      <c r="A48" s="513">
        <v>50.07</v>
      </c>
      <c r="B48" s="517" t="s">
        <v>47</v>
      </c>
      <c r="C48" s="516">
        <f>'PMOC Profl Infl Adj'!AA48</f>
        <v>0</v>
      </c>
      <c r="D48" s="96"/>
      <c r="E48" s="790">
        <v>0</v>
      </c>
      <c r="F48" s="791">
        <v>0</v>
      </c>
      <c r="G48" s="792">
        <f t="shared" si="1"/>
        <v>0</v>
      </c>
      <c r="H48" s="809">
        <v>0</v>
      </c>
      <c r="I48" s="801">
        <v>0</v>
      </c>
      <c r="J48" s="792">
        <f t="shared" si="2"/>
        <v>0</v>
      </c>
      <c r="K48" s="809">
        <v>0</v>
      </c>
      <c r="L48" s="801">
        <v>0</v>
      </c>
      <c r="M48" s="792">
        <f t="shared" si="3"/>
        <v>0</v>
      </c>
      <c r="N48" s="809">
        <v>0</v>
      </c>
      <c r="O48" s="801">
        <v>0</v>
      </c>
      <c r="P48" s="792">
        <f t="shared" si="4"/>
        <v>0</v>
      </c>
      <c r="Q48" s="809">
        <v>0</v>
      </c>
      <c r="R48" s="801">
        <v>0</v>
      </c>
      <c r="S48" s="792">
        <f t="shared" si="11"/>
        <v>0</v>
      </c>
      <c r="T48" s="780"/>
      <c r="U48" s="95"/>
      <c r="V48" s="87">
        <f t="shared" si="21"/>
        <v>1</v>
      </c>
      <c r="W48" s="84">
        <f t="shared" si="22"/>
        <v>0</v>
      </c>
      <c r="X48" s="43">
        <f t="shared" si="23"/>
        <v>0</v>
      </c>
      <c r="Y48" s="44">
        <f t="shared" si="24"/>
        <v>0</v>
      </c>
      <c r="Z48" s="89"/>
      <c r="AA48" s="211"/>
      <c r="AB48" s="212"/>
      <c r="AC48" s="212"/>
      <c r="AD48" s="212"/>
      <c r="AE48" s="212"/>
      <c r="AF48" s="215"/>
    </row>
    <row r="49" spans="1:32" ht="15">
      <c r="A49" s="513"/>
      <c r="B49" s="517"/>
      <c r="C49" s="307"/>
      <c r="D49" s="2"/>
      <c r="E49" s="1114" t="s">
        <v>543</v>
      </c>
      <c r="F49" s="1115"/>
      <c r="G49" s="1115"/>
      <c r="H49" s="1115"/>
      <c r="I49" s="1115"/>
      <c r="J49" s="1115"/>
      <c r="K49" s="1115"/>
      <c r="L49" s="1115"/>
      <c r="M49" s="1115"/>
      <c r="N49" s="1115"/>
      <c r="O49" s="1115"/>
      <c r="P49" s="1115"/>
      <c r="Q49" s="1115"/>
      <c r="R49" s="1115"/>
      <c r="S49" s="1116"/>
      <c r="T49" s="813"/>
      <c r="U49" s="94"/>
      <c r="V49" s="39"/>
      <c r="W49" s="38"/>
      <c r="X49" s="38"/>
      <c r="Y49" s="52"/>
      <c r="Z49" s="89"/>
      <c r="AA49" s="211"/>
      <c r="AB49" s="212"/>
      <c r="AC49" s="212"/>
      <c r="AD49" s="212"/>
      <c r="AE49" s="212"/>
      <c r="AF49" s="215"/>
    </row>
    <row r="50" spans="1:32" ht="13.5" thickBot="1">
      <c r="A50" s="513" t="s">
        <v>172</v>
      </c>
      <c r="B50" s="517"/>
      <c r="C50" s="307"/>
      <c r="D50" s="2"/>
      <c r="E50" s="1119" t="s">
        <v>544</v>
      </c>
      <c r="F50" s="1097"/>
      <c r="G50" s="1097"/>
      <c r="H50" s="1097"/>
      <c r="I50" s="1097"/>
      <c r="J50" s="1097"/>
      <c r="K50" s="1097"/>
      <c r="L50" s="1097"/>
      <c r="M50" s="1097"/>
      <c r="N50" s="1097"/>
      <c r="O50" s="1097"/>
      <c r="P50" s="1097"/>
      <c r="Q50" s="1097"/>
      <c r="R50" s="1097"/>
      <c r="S50" s="1098"/>
      <c r="T50" s="813"/>
      <c r="U50" s="94"/>
      <c r="V50" s="39"/>
      <c r="W50" s="38"/>
      <c r="X50" s="38"/>
      <c r="Y50" s="52"/>
      <c r="Z50" s="89"/>
      <c r="AA50" s="211"/>
      <c r="AB50" s="212"/>
      <c r="AC50" s="212"/>
      <c r="AD50" s="212"/>
      <c r="AE50" s="212"/>
      <c r="AF50" s="215"/>
    </row>
    <row r="51" spans="1:32">
      <c r="A51" s="513">
        <v>60.01</v>
      </c>
      <c r="B51" s="517" t="s">
        <v>48</v>
      </c>
      <c r="C51" s="514">
        <f>'PMOC Profl Infl Adj'!AA51</f>
        <v>0</v>
      </c>
      <c r="D51" s="96"/>
      <c r="E51" s="790">
        <v>0</v>
      </c>
      <c r="F51" s="807">
        <v>0</v>
      </c>
      <c r="G51" s="808">
        <f>SUM(E51:F51)</f>
        <v>0</v>
      </c>
      <c r="H51" s="790">
        <v>0</v>
      </c>
      <c r="I51" s="807">
        <v>0</v>
      </c>
      <c r="J51" s="808">
        <f>SUM(H51:I51)</f>
        <v>0</v>
      </c>
      <c r="K51" s="790">
        <v>0</v>
      </c>
      <c r="L51" s="807">
        <v>0</v>
      </c>
      <c r="M51" s="808">
        <f>SUM(K51:L51)</f>
        <v>0</v>
      </c>
      <c r="N51" s="790">
        <v>0</v>
      </c>
      <c r="O51" s="807">
        <v>0</v>
      </c>
      <c r="P51" s="808">
        <f>SUM(N51:O51)</f>
        <v>0</v>
      </c>
      <c r="Q51" s="791">
        <v>0</v>
      </c>
      <c r="R51" s="807">
        <v>0</v>
      </c>
      <c r="S51" s="816">
        <f>SUM(Q51:R51)</f>
        <v>0</v>
      </c>
      <c r="T51" s="780"/>
      <c r="U51" s="95"/>
      <c r="V51" s="85">
        <f t="shared" ref="V51:V52" si="25">1+SUM(G51,J51,M51,P51,S51)</f>
        <v>1</v>
      </c>
      <c r="W51" s="81">
        <f>C51*V51</f>
        <v>0</v>
      </c>
      <c r="X51" s="82">
        <f>IF(C51,BETAINV(0.5,RA_alpha,RA_beta,C51,W51),0)</f>
        <v>0</v>
      </c>
      <c r="Y51" s="86">
        <f>((RA_alpha/(RA_alpha+RA_beta))*(W51-C51))+C51</f>
        <v>0</v>
      </c>
      <c r="Z51" s="89"/>
      <c r="AA51" s="211"/>
      <c r="AB51" s="212"/>
      <c r="AC51" s="212"/>
      <c r="AD51" s="212"/>
      <c r="AE51" s="212"/>
      <c r="AF51" s="215"/>
    </row>
    <row r="52" spans="1:32">
      <c r="A52" s="513">
        <v>60.02</v>
      </c>
      <c r="B52" s="517" t="s">
        <v>49</v>
      </c>
      <c r="C52" s="516">
        <f>'PMOC Profl Infl Adj'!AA52</f>
        <v>0</v>
      </c>
      <c r="D52" s="96"/>
      <c r="E52" s="793">
        <v>0</v>
      </c>
      <c r="F52" s="805">
        <v>0</v>
      </c>
      <c r="G52" s="806">
        <f>SUM(E52:F52)</f>
        <v>0</v>
      </c>
      <c r="H52" s="793">
        <v>0</v>
      </c>
      <c r="I52" s="805">
        <v>0</v>
      </c>
      <c r="J52" s="806">
        <f>SUM(H52:I52)</f>
        <v>0</v>
      </c>
      <c r="K52" s="793">
        <v>0</v>
      </c>
      <c r="L52" s="805">
        <v>0</v>
      </c>
      <c r="M52" s="806">
        <f>SUM(K52:L52)</f>
        <v>0</v>
      </c>
      <c r="N52" s="793">
        <v>0</v>
      </c>
      <c r="O52" s="805">
        <v>0</v>
      </c>
      <c r="P52" s="806">
        <f>SUM(N52:O52)</f>
        <v>0</v>
      </c>
      <c r="Q52" s="794">
        <v>0</v>
      </c>
      <c r="R52" s="805">
        <v>0</v>
      </c>
      <c r="S52" s="817">
        <f>SUM(Q52:R52)</f>
        <v>0</v>
      </c>
      <c r="T52" s="780"/>
      <c r="U52" s="95"/>
      <c r="V52" s="87">
        <f t="shared" si="25"/>
        <v>1</v>
      </c>
      <c r="W52" s="84">
        <f>C52*V52</f>
        <v>0</v>
      </c>
      <c r="X52" s="43">
        <f>IF(C52,BETAINV(0.5,RA_alpha,RA_beta,C52,W52),0)</f>
        <v>0</v>
      </c>
      <c r="Y52" s="44">
        <f>((RA_alpha/(RA_alpha+RA_beta))*(W52-C52))+C52</f>
        <v>0</v>
      </c>
      <c r="Z52" s="89"/>
      <c r="AA52" s="211"/>
      <c r="AB52" s="212"/>
      <c r="AC52" s="212"/>
      <c r="AD52" s="212"/>
      <c r="AE52" s="212"/>
      <c r="AF52" s="215"/>
    </row>
    <row r="53" spans="1:32">
      <c r="A53" s="513" t="s">
        <v>173</v>
      </c>
      <c r="B53" s="517"/>
      <c r="C53" s="307"/>
      <c r="D53" s="2"/>
      <c r="E53" s="796"/>
      <c r="F53" s="797"/>
      <c r="G53" s="798"/>
      <c r="H53" s="796"/>
      <c r="I53" s="797"/>
      <c r="J53" s="798"/>
      <c r="K53" s="796"/>
      <c r="L53" s="797"/>
      <c r="M53" s="798"/>
      <c r="N53" s="796"/>
      <c r="O53" s="797"/>
      <c r="P53" s="798"/>
      <c r="Q53" s="797"/>
      <c r="R53" s="797"/>
      <c r="S53" s="802"/>
      <c r="T53" s="780"/>
      <c r="U53" s="94"/>
      <c r="V53" s="39"/>
      <c r="W53" s="38"/>
      <c r="X53" s="38"/>
      <c r="Y53" s="52"/>
      <c r="Z53" s="89"/>
      <c r="AA53" s="211"/>
      <c r="AB53" s="212"/>
      <c r="AC53" s="212"/>
      <c r="AD53" s="212"/>
      <c r="AE53" s="212"/>
      <c r="AF53" s="215"/>
    </row>
    <row r="54" spans="1:32">
      <c r="A54" s="513">
        <v>70.010000000000005</v>
      </c>
      <c r="B54" s="517" t="s">
        <v>50</v>
      </c>
      <c r="C54" s="514">
        <f>'PMOC Profl Infl Adj'!AA54</f>
        <v>0</v>
      </c>
      <c r="D54" s="96"/>
      <c r="E54" s="787">
        <v>0</v>
      </c>
      <c r="F54" s="803">
        <v>0</v>
      </c>
      <c r="G54" s="804">
        <f t="shared" ref="G54:G60" si="26">SUM(E54:F54)</f>
        <v>0</v>
      </c>
      <c r="H54" s="787">
        <v>0</v>
      </c>
      <c r="I54" s="803">
        <v>0</v>
      </c>
      <c r="J54" s="804">
        <f t="shared" ref="J54:J60" si="27">SUM(H54:I54)</f>
        <v>0</v>
      </c>
      <c r="K54" s="787">
        <v>0</v>
      </c>
      <c r="L54" s="803">
        <v>0</v>
      </c>
      <c r="M54" s="804">
        <f>SUM(K54:L54)</f>
        <v>0</v>
      </c>
      <c r="N54" s="787">
        <v>0</v>
      </c>
      <c r="O54" s="803">
        <v>0</v>
      </c>
      <c r="P54" s="804">
        <f t="shared" ref="P54:P60" si="28">SUM(N54:O54)</f>
        <v>0</v>
      </c>
      <c r="Q54" s="788">
        <v>0</v>
      </c>
      <c r="R54" s="803">
        <v>0</v>
      </c>
      <c r="S54" s="818">
        <f t="shared" ref="S54:S60" si="29">SUM(Q54:R54)</f>
        <v>0</v>
      </c>
      <c r="T54" s="780"/>
      <c r="U54" s="95"/>
      <c r="V54" s="85">
        <f t="shared" ref="V54:V60" si="30">1+SUM(G54,J54,M54,P54,S54)</f>
        <v>1</v>
      </c>
      <c r="W54" s="81">
        <f t="shared" ref="W54:W60" si="31">C54*V54</f>
        <v>0</v>
      </c>
      <c r="X54" s="82">
        <f t="shared" ref="X54:X60" si="32">IF(C54,BETAINV(0.5,RA_alpha,RA_beta,C54,W54),0)</f>
        <v>0</v>
      </c>
      <c r="Y54" s="86">
        <f t="shared" ref="Y54:Y60" si="33">((RA_alpha/(RA_alpha+RA_beta))*(W54-C54))+C54</f>
        <v>0</v>
      </c>
      <c r="Z54" s="89"/>
      <c r="AA54" s="211"/>
      <c r="AB54" s="212"/>
      <c r="AC54" s="212"/>
      <c r="AD54" s="212"/>
      <c r="AE54" s="212"/>
      <c r="AF54" s="215"/>
    </row>
    <row r="55" spans="1:32">
      <c r="A55" s="513">
        <v>70.02</v>
      </c>
      <c r="B55" s="517" t="s">
        <v>51</v>
      </c>
      <c r="C55" s="515">
        <f>'PMOC Profl Infl Adj'!AA55</f>
        <v>0</v>
      </c>
      <c r="D55" s="96"/>
      <c r="E55" s="790">
        <v>0</v>
      </c>
      <c r="F55" s="807">
        <v>0</v>
      </c>
      <c r="G55" s="808">
        <f t="shared" si="26"/>
        <v>0</v>
      </c>
      <c r="H55" s="790">
        <v>0</v>
      </c>
      <c r="I55" s="807">
        <v>0</v>
      </c>
      <c r="J55" s="808">
        <f t="shared" si="27"/>
        <v>0</v>
      </c>
      <c r="K55" s="790">
        <v>0</v>
      </c>
      <c r="L55" s="807">
        <v>0</v>
      </c>
      <c r="M55" s="808">
        <f t="shared" ref="M55:M60" si="34">SUM(K55:L55)</f>
        <v>0</v>
      </c>
      <c r="N55" s="790">
        <v>0</v>
      </c>
      <c r="O55" s="807">
        <v>0</v>
      </c>
      <c r="P55" s="808">
        <f t="shared" si="28"/>
        <v>0</v>
      </c>
      <c r="Q55" s="791">
        <v>0</v>
      </c>
      <c r="R55" s="807">
        <v>0</v>
      </c>
      <c r="S55" s="816">
        <f t="shared" si="29"/>
        <v>0</v>
      </c>
      <c r="T55" s="780"/>
      <c r="U55" s="95"/>
      <c r="V55" s="80">
        <f t="shared" si="30"/>
        <v>1</v>
      </c>
      <c r="W55" s="83">
        <f t="shared" si="31"/>
        <v>0</v>
      </c>
      <c r="X55" s="41">
        <f t="shared" si="32"/>
        <v>0</v>
      </c>
      <c r="Y55" s="42">
        <f t="shared" si="33"/>
        <v>0</v>
      </c>
      <c r="Z55" s="89"/>
      <c r="AA55" s="211"/>
      <c r="AB55" s="212"/>
      <c r="AC55" s="212"/>
      <c r="AD55" s="212"/>
      <c r="AE55" s="212"/>
      <c r="AF55" s="215"/>
    </row>
    <row r="56" spans="1:32">
      <c r="A56" s="513">
        <v>70.03</v>
      </c>
      <c r="B56" s="517" t="s">
        <v>52</v>
      </c>
      <c r="C56" s="515">
        <f>'PMOC Profl Infl Adj'!AA56</f>
        <v>0</v>
      </c>
      <c r="D56" s="96"/>
      <c r="E56" s="790">
        <v>0</v>
      </c>
      <c r="F56" s="807">
        <v>0</v>
      </c>
      <c r="G56" s="808">
        <f t="shared" si="26"/>
        <v>0</v>
      </c>
      <c r="H56" s="790">
        <v>0</v>
      </c>
      <c r="I56" s="807">
        <v>0</v>
      </c>
      <c r="J56" s="808">
        <f t="shared" si="27"/>
        <v>0</v>
      </c>
      <c r="K56" s="790">
        <v>0</v>
      </c>
      <c r="L56" s="807">
        <v>0</v>
      </c>
      <c r="M56" s="808">
        <f t="shared" si="34"/>
        <v>0</v>
      </c>
      <c r="N56" s="790">
        <v>0</v>
      </c>
      <c r="O56" s="807">
        <v>0</v>
      </c>
      <c r="P56" s="808">
        <f t="shared" si="28"/>
        <v>0</v>
      </c>
      <c r="Q56" s="791">
        <v>0</v>
      </c>
      <c r="R56" s="807">
        <v>0</v>
      </c>
      <c r="S56" s="816">
        <f t="shared" si="29"/>
        <v>0</v>
      </c>
      <c r="T56" s="780"/>
      <c r="U56" s="95"/>
      <c r="V56" s="80">
        <f t="shared" si="30"/>
        <v>1</v>
      </c>
      <c r="W56" s="83">
        <f t="shared" si="31"/>
        <v>0</v>
      </c>
      <c r="X56" s="41">
        <f t="shared" si="32"/>
        <v>0</v>
      </c>
      <c r="Y56" s="42">
        <f t="shared" si="33"/>
        <v>0</v>
      </c>
      <c r="Z56" s="89"/>
      <c r="AA56" s="211"/>
      <c r="AB56" s="212"/>
      <c r="AC56" s="212"/>
      <c r="AD56" s="212"/>
      <c r="AE56" s="212"/>
      <c r="AF56" s="215"/>
    </row>
    <row r="57" spans="1:32" ht="13.5" thickBot="1">
      <c r="A57" s="513">
        <v>70.040000000000006</v>
      </c>
      <c r="B57" s="517" t="s">
        <v>53</v>
      </c>
      <c r="C57" s="515">
        <f>'PMOC Profl Infl Adj'!AA57</f>
        <v>0</v>
      </c>
      <c r="D57" s="96"/>
      <c r="E57" s="790">
        <v>0</v>
      </c>
      <c r="F57" s="807">
        <v>0</v>
      </c>
      <c r="G57" s="808">
        <f t="shared" si="26"/>
        <v>0</v>
      </c>
      <c r="H57" s="790">
        <v>0</v>
      </c>
      <c r="I57" s="807">
        <v>0</v>
      </c>
      <c r="J57" s="808">
        <f t="shared" si="27"/>
        <v>0</v>
      </c>
      <c r="K57" s="790">
        <v>0</v>
      </c>
      <c r="L57" s="807">
        <v>0</v>
      </c>
      <c r="M57" s="808">
        <f t="shared" si="34"/>
        <v>0</v>
      </c>
      <c r="N57" s="790">
        <v>0</v>
      </c>
      <c r="O57" s="807">
        <v>0</v>
      </c>
      <c r="P57" s="808">
        <f t="shared" si="28"/>
        <v>0</v>
      </c>
      <c r="Q57" s="791">
        <v>0</v>
      </c>
      <c r="R57" s="807">
        <v>0</v>
      </c>
      <c r="S57" s="816">
        <f t="shared" si="29"/>
        <v>0</v>
      </c>
      <c r="T57" s="780"/>
      <c r="U57" s="95"/>
      <c r="V57" s="80">
        <f t="shared" si="30"/>
        <v>1</v>
      </c>
      <c r="W57" s="83">
        <f t="shared" si="31"/>
        <v>0</v>
      </c>
      <c r="X57" s="41">
        <f t="shared" si="32"/>
        <v>0</v>
      </c>
      <c r="Y57" s="42">
        <f t="shared" si="33"/>
        <v>0</v>
      </c>
      <c r="Z57" s="89"/>
      <c r="AA57" s="213"/>
      <c r="AB57" s="214"/>
      <c r="AC57" s="214"/>
      <c r="AD57" s="214"/>
      <c r="AE57" s="214"/>
      <c r="AF57" s="216"/>
    </row>
    <row r="58" spans="1:32">
      <c r="A58" s="513">
        <v>70.05</v>
      </c>
      <c r="B58" s="517" t="s">
        <v>54</v>
      </c>
      <c r="C58" s="515">
        <f>'PMOC Profl Infl Adj'!AA58</f>
        <v>0</v>
      </c>
      <c r="D58" s="96"/>
      <c r="E58" s="790">
        <v>0</v>
      </c>
      <c r="F58" s="807">
        <v>0</v>
      </c>
      <c r="G58" s="808">
        <f t="shared" si="26"/>
        <v>0</v>
      </c>
      <c r="H58" s="790">
        <v>0</v>
      </c>
      <c r="I58" s="807">
        <v>0</v>
      </c>
      <c r="J58" s="808">
        <f t="shared" si="27"/>
        <v>0</v>
      </c>
      <c r="K58" s="790">
        <v>0</v>
      </c>
      <c r="L58" s="807">
        <v>0</v>
      </c>
      <c r="M58" s="808">
        <f t="shared" si="34"/>
        <v>0</v>
      </c>
      <c r="N58" s="790">
        <v>0</v>
      </c>
      <c r="O58" s="807">
        <v>0</v>
      </c>
      <c r="P58" s="808">
        <f>SUM(N58:O58)</f>
        <v>0</v>
      </c>
      <c r="Q58" s="791">
        <v>0</v>
      </c>
      <c r="R58" s="807">
        <v>0</v>
      </c>
      <c r="S58" s="816">
        <f t="shared" si="29"/>
        <v>0</v>
      </c>
      <c r="T58" s="780"/>
      <c r="U58" s="95"/>
      <c r="V58" s="80">
        <f t="shared" si="30"/>
        <v>1</v>
      </c>
      <c r="W58" s="83">
        <f t="shared" si="31"/>
        <v>0</v>
      </c>
      <c r="X58" s="41">
        <f t="shared" si="32"/>
        <v>0</v>
      </c>
      <c r="Y58" s="42">
        <f t="shared" si="33"/>
        <v>0</v>
      </c>
      <c r="Z58" s="89"/>
    </row>
    <row r="59" spans="1:32">
      <c r="A59" s="513">
        <v>70.06</v>
      </c>
      <c r="B59" s="517" t="s">
        <v>55</v>
      </c>
      <c r="C59" s="515">
        <f>'PMOC Profl Infl Adj'!AA59</f>
        <v>0</v>
      </c>
      <c r="D59" s="96"/>
      <c r="E59" s="790">
        <v>0</v>
      </c>
      <c r="F59" s="807">
        <v>0</v>
      </c>
      <c r="G59" s="808">
        <f t="shared" si="26"/>
        <v>0</v>
      </c>
      <c r="H59" s="790">
        <v>0</v>
      </c>
      <c r="I59" s="807">
        <v>0</v>
      </c>
      <c r="J59" s="808">
        <f t="shared" si="27"/>
        <v>0</v>
      </c>
      <c r="K59" s="790">
        <v>0</v>
      </c>
      <c r="L59" s="807">
        <v>0</v>
      </c>
      <c r="M59" s="808">
        <f t="shared" si="34"/>
        <v>0</v>
      </c>
      <c r="N59" s="790">
        <v>0</v>
      </c>
      <c r="O59" s="807">
        <v>0</v>
      </c>
      <c r="P59" s="808">
        <f t="shared" si="28"/>
        <v>0</v>
      </c>
      <c r="Q59" s="791">
        <v>0</v>
      </c>
      <c r="R59" s="807">
        <v>0</v>
      </c>
      <c r="S59" s="816">
        <f t="shared" si="29"/>
        <v>0</v>
      </c>
      <c r="T59" s="780"/>
      <c r="U59" s="95"/>
      <c r="V59" s="80">
        <f t="shared" si="30"/>
        <v>1</v>
      </c>
      <c r="W59" s="83">
        <f t="shared" si="31"/>
        <v>0</v>
      </c>
      <c r="X59" s="41">
        <f t="shared" si="32"/>
        <v>0</v>
      </c>
      <c r="Y59" s="42">
        <f t="shared" si="33"/>
        <v>0</v>
      </c>
      <c r="Z59" s="89"/>
    </row>
    <row r="60" spans="1:32">
      <c r="A60" s="513">
        <v>70.069999999999993</v>
      </c>
      <c r="B60" s="517" t="s">
        <v>56</v>
      </c>
      <c r="C60" s="516">
        <f>'PMOC Profl Infl Adj'!AA60</f>
        <v>0</v>
      </c>
      <c r="D60" s="96"/>
      <c r="E60" s="793">
        <v>0</v>
      </c>
      <c r="F60" s="805">
        <v>0</v>
      </c>
      <c r="G60" s="806">
        <f t="shared" si="26"/>
        <v>0</v>
      </c>
      <c r="H60" s="793">
        <v>0</v>
      </c>
      <c r="I60" s="805">
        <v>0</v>
      </c>
      <c r="J60" s="806">
        <f t="shared" si="27"/>
        <v>0</v>
      </c>
      <c r="K60" s="793">
        <v>0</v>
      </c>
      <c r="L60" s="805">
        <v>0</v>
      </c>
      <c r="M60" s="806">
        <f t="shared" si="34"/>
        <v>0</v>
      </c>
      <c r="N60" s="793">
        <v>0</v>
      </c>
      <c r="O60" s="805">
        <v>0</v>
      </c>
      <c r="P60" s="806">
        <f t="shared" si="28"/>
        <v>0</v>
      </c>
      <c r="Q60" s="794">
        <v>0</v>
      </c>
      <c r="R60" s="805">
        <v>0</v>
      </c>
      <c r="S60" s="817">
        <f t="shared" si="29"/>
        <v>0</v>
      </c>
      <c r="T60" s="780"/>
      <c r="U60" s="95"/>
      <c r="V60" s="87">
        <f t="shared" si="30"/>
        <v>1</v>
      </c>
      <c r="W60" s="84">
        <f t="shared" si="31"/>
        <v>0</v>
      </c>
      <c r="X60" s="43">
        <f t="shared" si="32"/>
        <v>0</v>
      </c>
      <c r="Y60" s="44">
        <f t="shared" si="33"/>
        <v>0</v>
      </c>
      <c r="Z60" s="89"/>
    </row>
    <row r="61" spans="1:32">
      <c r="A61" s="513" t="s">
        <v>174</v>
      </c>
      <c r="B61" s="517"/>
      <c r="C61" s="307"/>
      <c r="D61" s="2"/>
      <c r="E61" s="796"/>
      <c r="F61" s="797"/>
      <c r="G61" s="798"/>
      <c r="H61" s="796"/>
      <c r="I61" s="797"/>
      <c r="J61" s="798"/>
      <c r="K61" s="796"/>
      <c r="L61" s="797"/>
      <c r="M61" s="798"/>
      <c r="N61" s="796"/>
      <c r="O61" s="797"/>
      <c r="P61" s="798"/>
      <c r="Q61" s="797"/>
      <c r="R61" s="797"/>
      <c r="S61" s="802"/>
      <c r="T61" s="780"/>
      <c r="U61" s="94"/>
      <c r="V61" s="39"/>
      <c r="W61" s="38"/>
      <c r="X61" s="38"/>
      <c r="Y61" s="52"/>
      <c r="Z61" s="89"/>
    </row>
    <row r="62" spans="1:32">
      <c r="A62" s="513">
        <v>80.010000000000005</v>
      </c>
      <c r="B62" s="517" t="s">
        <v>143</v>
      </c>
      <c r="C62" s="514">
        <f>'PMOC Profl Infl Adj'!AA62</f>
        <v>0</v>
      </c>
      <c r="D62" s="96"/>
      <c r="E62" s="787">
        <v>0</v>
      </c>
      <c r="F62" s="803">
        <v>0</v>
      </c>
      <c r="G62" s="804">
        <f t="shared" ref="G62:G69" si="35">SUM(E62:F62)</f>
        <v>0</v>
      </c>
      <c r="H62" s="787">
        <v>0</v>
      </c>
      <c r="I62" s="803">
        <v>0</v>
      </c>
      <c r="J62" s="804">
        <f t="shared" ref="J62:J69" si="36">SUM(H62:I62)</f>
        <v>0</v>
      </c>
      <c r="K62" s="787">
        <v>0</v>
      </c>
      <c r="L62" s="803">
        <v>0</v>
      </c>
      <c r="M62" s="804">
        <f t="shared" ref="M62:M69" si="37">SUM(K62:L62)</f>
        <v>0</v>
      </c>
      <c r="N62" s="787">
        <v>0</v>
      </c>
      <c r="O62" s="803">
        <v>0</v>
      </c>
      <c r="P62" s="804">
        <f t="shared" ref="P62:P69" si="38">SUM(N62:O62)</f>
        <v>0</v>
      </c>
      <c r="Q62" s="788">
        <v>0</v>
      </c>
      <c r="R62" s="803">
        <v>0</v>
      </c>
      <c r="S62" s="818">
        <f t="shared" ref="S62:S69" si="39">SUM(Q62:R62)</f>
        <v>0</v>
      </c>
      <c r="T62" s="780"/>
      <c r="U62" s="95"/>
      <c r="V62" s="85">
        <f t="shared" ref="V62:V69" si="40">1+SUM(G62,J62,M62,P62,S62)</f>
        <v>1</v>
      </c>
      <c r="W62" s="81">
        <f t="shared" ref="W62:W69" si="41">C62*V62</f>
        <v>0</v>
      </c>
      <c r="X62" s="82">
        <f t="shared" ref="X62:X69" si="42">IF(C62,BETAINV(0.5,RA_alpha,RA_beta,C62,W62),0)</f>
        <v>0</v>
      </c>
      <c r="Y62" s="86">
        <f t="shared" ref="Y62:Y69" si="43">((RA_alpha/(RA_alpha+RA_beta))*(W62-C62))+C62</f>
        <v>0</v>
      </c>
      <c r="Z62" s="89"/>
    </row>
    <row r="63" spans="1:32">
      <c r="A63" s="513">
        <v>80.02</v>
      </c>
      <c r="B63" s="517" t="s">
        <v>175</v>
      </c>
      <c r="C63" s="515">
        <f>'PMOC Profl Infl Adj'!AA63</f>
        <v>0</v>
      </c>
      <c r="D63" s="96"/>
      <c r="E63" s="790">
        <v>0</v>
      </c>
      <c r="F63" s="807">
        <v>0</v>
      </c>
      <c r="G63" s="808">
        <f t="shared" si="35"/>
        <v>0</v>
      </c>
      <c r="H63" s="790">
        <v>0</v>
      </c>
      <c r="I63" s="807">
        <v>0</v>
      </c>
      <c r="J63" s="808">
        <f t="shared" si="36"/>
        <v>0</v>
      </c>
      <c r="K63" s="790">
        <v>0</v>
      </c>
      <c r="L63" s="807">
        <v>0</v>
      </c>
      <c r="M63" s="808">
        <f t="shared" si="37"/>
        <v>0</v>
      </c>
      <c r="N63" s="790">
        <v>0</v>
      </c>
      <c r="O63" s="807">
        <v>0</v>
      </c>
      <c r="P63" s="808">
        <f t="shared" si="38"/>
        <v>0</v>
      </c>
      <c r="Q63" s="791">
        <v>0</v>
      </c>
      <c r="R63" s="807">
        <v>0</v>
      </c>
      <c r="S63" s="816">
        <f t="shared" si="39"/>
        <v>0</v>
      </c>
      <c r="T63" s="780"/>
      <c r="U63" s="95"/>
      <c r="V63" s="80">
        <f t="shared" si="40"/>
        <v>1</v>
      </c>
      <c r="W63" s="83">
        <f t="shared" si="41"/>
        <v>0</v>
      </c>
      <c r="X63" s="41">
        <f t="shared" si="42"/>
        <v>0</v>
      </c>
      <c r="Y63" s="42">
        <f t="shared" si="43"/>
        <v>0</v>
      </c>
      <c r="Z63" s="89"/>
    </row>
    <row r="64" spans="1:32">
      <c r="A64" s="513">
        <v>80.03</v>
      </c>
      <c r="B64" s="517" t="s">
        <v>57</v>
      </c>
      <c r="C64" s="515">
        <f>'PMOC Profl Infl Adj'!AA64</f>
        <v>0</v>
      </c>
      <c r="D64" s="96"/>
      <c r="E64" s="790">
        <v>0</v>
      </c>
      <c r="F64" s="807">
        <v>0</v>
      </c>
      <c r="G64" s="808">
        <f t="shared" si="35"/>
        <v>0</v>
      </c>
      <c r="H64" s="790">
        <v>0</v>
      </c>
      <c r="I64" s="807">
        <v>0</v>
      </c>
      <c r="J64" s="808">
        <f t="shared" si="36"/>
        <v>0</v>
      </c>
      <c r="K64" s="790">
        <v>0</v>
      </c>
      <c r="L64" s="807">
        <v>0</v>
      </c>
      <c r="M64" s="808">
        <f t="shared" si="37"/>
        <v>0</v>
      </c>
      <c r="N64" s="790">
        <v>0</v>
      </c>
      <c r="O64" s="807">
        <v>0</v>
      </c>
      <c r="P64" s="808">
        <f t="shared" si="38"/>
        <v>0</v>
      </c>
      <c r="Q64" s="791">
        <v>0</v>
      </c>
      <c r="R64" s="807">
        <v>0</v>
      </c>
      <c r="S64" s="816">
        <f t="shared" si="39"/>
        <v>0</v>
      </c>
      <c r="T64" s="780"/>
      <c r="U64" s="95"/>
      <c r="V64" s="80">
        <f t="shared" si="40"/>
        <v>1</v>
      </c>
      <c r="W64" s="83">
        <f t="shared" si="41"/>
        <v>0</v>
      </c>
      <c r="X64" s="41">
        <f t="shared" si="42"/>
        <v>0</v>
      </c>
      <c r="Y64" s="42">
        <f t="shared" si="43"/>
        <v>0</v>
      </c>
      <c r="Z64" s="89"/>
    </row>
    <row r="65" spans="1:26">
      <c r="A65" s="513">
        <v>80.040000000000006</v>
      </c>
      <c r="B65" s="517" t="s">
        <v>58</v>
      </c>
      <c r="C65" s="515">
        <f>'PMOC Profl Infl Adj'!AA65</f>
        <v>0</v>
      </c>
      <c r="D65" s="96"/>
      <c r="E65" s="790">
        <v>0</v>
      </c>
      <c r="F65" s="807">
        <v>0</v>
      </c>
      <c r="G65" s="808">
        <f t="shared" si="35"/>
        <v>0</v>
      </c>
      <c r="H65" s="790">
        <v>0</v>
      </c>
      <c r="I65" s="807">
        <v>0</v>
      </c>
      <c r="J65" s="808">
        <f t="shared" si="36"/>
        <v>0</v>
      </c>
      <c r="K65" s="790">
        <v>0</v>
      </c>
      <c r="L65" s="807">
        <v>0</v>
      </c>
      <c r="M65" s="808">
        <f t="shared" si="37"/>
        <v>0</v>
      </c>
      <c r="N65" s="790">
        <v>0</v>
      </c>
      <c r="O65" s="807">
        <v>0</v>
      </c>
      <c r="P65" s="808">
        <f t="shared" si="38"/>
        <v>0</v>
      </c>
      <c r="Q65" s="791">
        <v>0</v>
      </c>
      <c r="R65" s="807">
        <v>0</v>
      </c>
      <c r="S65" s="816">
        <f t="shared" si="39"/>
        <v>0</v>
      </c>
      <c r="T65" s="780"/>
      <c r="U65" s="95"/>
      <c r="V65" s="80">
        <f t="shared" si="40"/>
        <v>1</v>
      </c>
      <c r="W65" s="83">
        <f t="shared" si="41"/>
        <v>0</v>
      </c>
      <c r="X65" s="41">
        <f t="shared" si="42"/>
        <v>0</v>
      </c>
      <c r="Y65" s="42">
        <f t="shared" si="43"/>
        <v>0</v>
      </c>
      <c r="Z65" s="89"/>
    </row>
    <row r="66" spans="1:26">
      <c r="A66" s="513">
        <v>80.05</v>
      </c>
      <c r="B66" s="517" t="s">
        <v>59</v>
      </c>
      <c r="C66" s="515">
        <f>'PMOC Profl Infl Adj'!AA66</f>
        <v>0</v>
      </c>
      <c r="D66" s="96"/>
      <c r="E66" s="790">
        <v>0</v>
      </c>
      <c r="F66" s="807">
        <v>0</v>
      </c>
      <c r="G66" s="808">
        <f t="shared" si="35"/>
        <v>0</v>
      </c>
      <c r="H66" s="790">
        <v>0</v>
      </c>
      <c r="I66" s="807">
        <v>0</v>
      </c>
      <c r="J66" s="808">
        <f t="shared" si="36"/>
        <v>0</v>
      </c>
      <c r="K66" s="790">
        <v>0</v>
      </c>
      <c r="L66" s="807">
        <v>0</v>
      </c>
      <c r="M66" s="808">
        <f t="shared" si="37"/>
        <v>0</v>
      </c>
      <c r="N66" s="790">
        <v>0</v>
      </c>
      <c r="O66" s="807">
        <v>0</v>
      </c>
      <c r="P66" s="808">
        <f t="shared" si="38"/>
        <v>0</v>
      </c>
      <c r="Q66" s="791">
        <v>0</v>
      </c>
      <c r="R66" s="807">
        <v>0</v>
      </c>
      <c r="S66" s="816">
        <f t="shared" si="39"/>
        <v>0</v>
      </c>
      <c r="T66" s="780"/>
      <c r="U66" s="95"/>
      <c r="V66" s="80">
        <f t="shared" si="40"/>
        <v>1</v>
      </c>
      <c r="W66" s="83">
        <f t="shared" si="41"/>
        <v>0</v>
      </c>
      <c r="X66" s="41">
        <f t="shared" si="42"/>
        <v>0</v>
      </c>
      <c r="Y66" s="42">
        <f t="shared" si="43"/>
        <v>0</v>
      </c>
      <c r="Z66" s="89"/>
    </row>
    <row r="67" spans="1:26">
      <c r="A67" s="513">
        <v>80.06</v>
      </c>
      <c r="B67" s="517" t="s">
        <v>60</v>
      </c>
      <c r="C67" s="515">
        <f>'PMOC Profl Infl Adj'!AA67</f>
        <v>0</v>
      </c>
      <c r="D67" s="96"/>
      <c r="E67" s="790">
        <v>0</v>
      </c>
      <c r="F67" s="807">
        <v>0</v>
      </c>
      <c r="G67" s="808">
        <f t="shared" si="35"/>
        <v>0</v>
      </c>
      <c r="H67" s="790">
        <v>0</v>
      </c>
      <c r="I67" s="807">
        <v>0</v>
      </c>
      <c r="J67" s="808">
        <f t="shared" si="36"/>
        <v>0</v>
      </c>
      <c r="K67" s="790">
        <v>0</v>
      </c>
      <c r="L67" s="807">
        <v>0</v>
      </c>
      <c r="M67" s="808">
        <f t="shared" si="37"/>
        <v>0</v>
      </c>
      <c r="N67" s="790">
        <v>0</v>
      </c>
      <c r="O67" s="807">
        <v>0</v>
      </c>
      <c r="P67" s="808">
        <f t="shared" si="38"/>
        <v>0</v>
      </c>
      <c r="Q67" s="791">
        <v>0</v>
      </c>
      <c r="R67" s="807">
        <v>0</v>
      </c>
      <c r="S67" s="816">
        <f t="shared" si="39"/>
        <v>0</v>
      </c>
      <c r="T67" s="780"/>
      <c r="U67" s="95"/>
      <c r="V67" s="80">
        <f t="shared" si="40"/>
        <v>1</v>
      </c>
      <c r="W67" s="83">
        <f t="shared" si="41"/>
        <v>0</v>
      </c>
      <c r="X67" s="41">
        <f t="shared" si="42"/>
        <v>0</v>
      </c>
      <c r="Y67" s="42">
        <f t="shared" si="43"/>
        <v>0</v>
      </c>
      <c r="Z67" s="89"/>
    </row>
    <row r="68" spans="1:26">
      <c r="A68" s="513">
        <v>80.069999999999993</v>
      </c>
      <c r="B68" s="517" t="s">
        <v>61</v>
      </c>
      <c r="C68" s="515">
        <f>'PMOC Profl Infl Adj'!AA68</f>
        <v>0</v>
      </c>
      <c r="D68" s="96"/>
      <c r="E68" s="790">
        <v>0</v>
      </c>
      <c r="F68" s="807">
        <v>0</v>
      </c>
      <c r="G68" s="808">
        <f t="shared" si="35"/>
        <v>0</v>
      </c>
      <c r="H68" s="790">
        <v>0</v>
      </c>
      <c r="I68" s="807">
        <v>0</v>
      </c>
      <c r="J68" s="808">
        <f t="shared" si="36"/>
        <v>0</v>
      </c>
      <c r="K68" s="790">
        <v>0</v>
      </c>
      <c r="L68" s="807">
        <v>0</v>
      </c>
      <c r="M68" s="808">
        <f t="shared" si="37"/>
        <v>0</v>
      </c>
      <c r="N68" s="790">
        <v>0</v>
      </c>
      <c r="O68" s="807">
        <v>0</v>
      </c>
      <c r="P68" s="808">
        <f t="shared" si="38"/>
        <v>0</v>
      </c>
      <c r="Q68" s="791">
        <v>0</v>
      </c>
      <c r="R68" s="807">
        <v>0</v>
      </c>
      <c r="S68" s="816">
        <f t="shared" si="39"/>
        <v>0</v>
      </c>
      <c r="T68" s="780"/>
      <c r="U68" s="95"/>
      <c r="V68" s="80">
        <f t="shared" si="40"/>
        <v>1</v>
      </c>
      <c r="W68" s="83">
        <f t="shared" si="41"/>
        <v>0</v>
      </c>
      <c r="X68" s="41">
        <f t="shared" si="42"/>
        <v>0</v>
      </c>
      <c r="Y68" s="42">
        <f t="shared" si="43"/>
        <v>0</v>
      </c>
      <c r="Z68" s="89"/>
    </row>
    <row r="69" spans="1:26" ht="13.5" thickBot="1">
      <c r="A69" s="513">
        <v>80.08</v>
      </c>
      <c r="B69" s="517" t="s">
        <v>62</v>
      </c>
      <c r="C69" s="516">
        <f>'PMOC Profl Infl Adj'!AA69</f>
        <v>0</v>
      </c>
      <c r="D69" s="96"/>
      <c r="E69" s="809">
        <v>0</v>
      </c>
      <c r="F69" s="810">
        <v>0</v>
      </c>
      <c r="G69" s="811">
        <f t="shared" si="35"/>
        <v>0</v>
      </c>
      <c r="H69" s="809">
        <v>0</v>
      </c>
      <c r="I69" s="810">
        <v>0</v>
      </c>
      <c r="J69" s="811">
        <f t="shared" si="36"/>
        <v>0</v>
      </c>
      <c r="K69" s="809">
        <v>0</v>
      </c>
      <c r="L69" s="810">
        <v>0</v>
      </c>
      <c r="M69" s="811">
        <f t="shared" si="37"/>
        <v>0</v>
      </c>
      <c r="N69" s="809">
        <v>0</v>
      </c>
      <c r="O69" s="810">
        <v>0</v>
      </c>
      <c r="P69" s="811">
        <f t="shared" si="38"/>
        <v>0</v>
      </c>
      <c r="Q69" s="812">
        <v>0</v>
      </c>
      <c r="R69" s="810">
        <v>0</v>
      </c>
      <c r="S69" s="819">
        <f t="shared" si="39"/>
        <v>0</v>
      </c>
      <c r="T69" s="781"/>
      <c r="U69" s="95"/>
      <c r="V69" s="87">
        <f t="shared" si="40"/>
        <v>1</v>
      </c>
      <c r="W69" s="84">
        <f t="shared" si="41"/>
        <v>0</v>
      </c>
      <c r="X69" s="43">
        <f t="shared" si="42"/>
        <v>0</v>
      </c>
      <c r="Y69" s="44">
        <f t="shared" si="43"/>
        <v>0</v>
      </c>
      <c r="Z69" s="89"/>
    </row>
    <row r="70" spans="1:26" ht="13.5" thickBot="1">
      <c r="A70" s="306"/>
      <c r="B70" s="509" t="s">
        <v>80</v>
      </c>
      <c r="C70" s="360">
        <f>SUM(C4:C69)</f>
        <v>0</v>
      </c>
      <c r="D70" s="96"/>
      <c r="E70" s="92"/>
      <c r="F70" s="92"/>
      <c r="G70" s="92"/>
      <c r="H70" s="92"/>
      <c r="I70" s="92"/>
      <c r="J70" s="92"/>
      <c r="K70" s="92"/>
      <c r="L70" s="92"/>
      <c r="M70" s="92"/>
      <c r="N70" s="92"/>
      <c r="O70" s="92"/>
      <c r="P70" s="92"/>
      <c r="Q70" s="92"/>
      <c r="R70" s="92"/>
      <c r="S70" s="92"/>
      <c r="T70" s="92"/>
      <c r="U70" s="92"/>
      <c r="V70" s="65">
        <f>IF(RA_lwrbnd,RA_uprbnd/RA_lwrbnd,0)</f>
        <v>0</v>
      </c>
      <c r="W70" s="45">
        <f>SUM(W4:W69)</f>
        <v>0</v>
      </c>
      <c r="X70" s="46">
        <f>SUM(X4:X69)</f>
        <v>0</v>
      </c>
      <c r="Y70" s="47">
        <f>SUM(Y4:Y69)</f>
        <v>0</v>
      </c>
      <c r="Z70" s="89"/>
    </row>
    <row r="71" spans="1:26" ht="13.5" thickBot="1">
      <c r="A71" s="359"/>
      <c r="B71" s="510"/>
      <c r="C71" s="365" t="s">
        <v>75</v>
      </c>
      <c r="D71" s="97"/>
      <c r="E71" s="91"/>
      <c r="F71" s="91"/>
      <c r="G71" s="91"/>
      <c r="H71" s="91"/>
      <c r="I71" s="91"/>
      <c r="J71" s="91"/>
      <c r="K71" s="91"/>
      <c r="L71" s="91"/>
      <c r="M71" s="91"/>
      <c r="N71" s="91"/>
      <c r="O71" s="91"/>
      <c r="P71" s="91"/>
      <c r="Q71" s="91"/>
      <c r="R71" s="91"/>
      <c r="S71" s="91"/>
      <c r="T71" s="91"/>
      <c r="U71" s="91"/>
      <c r="V71" s="227" t="s">
        <v>92</v>
      </c>
      <c r="W71" s="224" t="s">
        <v>76</v>
      </c>
      <c r="X71" s="224" t="s">
        <v>81</v>
      </c>
      <c r="Y71" s="63" t="s">
        <v>82</v>
      </c>
      <c r="Z71" s="89"/>
    </row>
    <row r="72" spans="1:26">
      <c r="A72" s="98"/>
      <c r="B72" s="91"/>
      <c r="C72" s="97"/>
      <c r="D72" s="97"/>
      <c r="E72" s="91"/>
      <c r="F72" s="91"/>
      <c r="G72" s="91"/>
      <c r="H72" s="91"/>
      <c r="I72" s="91"/>
      <c r="J72" s="91"/>
      <c r="K72" s="91"/>
      <c r="L72" s="91"/>
      <c r="M72" s="91"/>
      <c r="N72" s="91"/>
      <c r="O72" s="91"/>
      <c r="P72" s="91"/>
      <c r="Q72" s="91"/>
      <c r="R72" s="91"/>
      <c r="S72" s="91"/>
      <c r="T72" s="91"/>
      <c r="U72" s="91"/>
      <c r="V72" s="91"/>
      <c r="W72" s="91"/>
      <c r="X72" s="91"/>
      <c r="Y72" s="91"/>
      <c r="Z72" s="89"/>
    </row>
    <row r="73" spans="1:26">
      <c r="A73" s="98"/>
      <c r="B73" s="91"/>
      <c r="C73" s="97"/>
      <c r="D73" s="97"/>
      <c r="E73" s="91"/>
      <c r="F73" s="91"/>
      <c r="G73" s="91"/>
      <c r="H73" s="91"/>
      <c r="I73" s="91"/>
      <c r="J73" s="91"/>
      <c r="K73" s="91"/>
      <c r="L73" s="91"/>
      <c r="M73" s="91"/>
      <c r="N73" s="91"/>
      <c r="O73" s="91"/>
      <c r="P73" s="91"/>
      <c r="Q73" s="91"/>
      <c r="R73" s="91"/>
      <c r="S73" s="91"/>
      <c r="T73" s="91"/>
      <c r="U73" s="91"/>
      <c r="Z73" s="89"/>
    </row>
    <row r="74" spans="1:26" ht="13.5" thickBot="1">
      <c r="A74" s="98"/>
      <c r="B74" s="91"/>
      <c r="C74" s="97"/>
      <c r="D74" s="97"/>
      <c r="E74" s="91"/>
      <c r="F74" s="91"/>
      <c r="G74" s="91"/>
      <c r="H74" s="91"/>
      <c r="I74" s="91"/>
      <c r="J74" s="91"/>
      <c r="K74" s="91"/>
      <c r="L74" s="91"/>
      <c r="M74" s="91"/>
      <c r="N74" s="91"/>
      <c r="O74" s="91"/>
      <c r="P74" s="91"/>
      <c r="Q74" s="91"/>
      <c r="R74" s="91"/>
      <c r="S74" s="91"/>
      <c r="T74" s="91"/>
      <c r="U74" s="91"/>
      <c r="Z74" s="89"/>
    </row>
    <row r="75" spans="1:26">
      <c r="A75" s="98"/>
      <c r="B75" s="758" t="s">
        <v>88</v>
      </c>
      <c r="C75" s="759"/>
      <c r="D75" s="759"/>
      <c r="E75" s="759"/>
      <c r="F75" s="759"/>
      <c r="G75" s="602">
        <v>0</v>
      </c>
      <c r="H75" s="66"/>
      <c r="I75" s="66"/>
      <c r="J75" s="66"/>
      <c r="K75" s="66"/>
      <c r="L75" s="66"/>
      <c r="M75" s="66"/>
      <c r="N75" s="66"/>
      <c r="O75" s="66"/>
      <c r="P75" s="88"/>
      <c r="Q75" s="91"/>
      <c r="R75" s="91"/>
      <c r="S75" s="92"/>
      <c r="T75" s="825"/>
      <c r="U75" s="91"/>
      <c r="Z75" s="89"/>
    </row>
    <row r="76" spans="1:26">
      <c r="A76" s="98"/>
      <c r="B76" s="754" t="s">
        <v>89</v>
      </c>
      <c r="C76" s="755"/>
      <c r="D76" s="755"/>
      <c r="E76" s="755"/>
      <c r="F76" s="755"/>
      <c r="G76" s="755"/>
      <c r="H76" s="755"/>
      <c r="I76" s="755"/>
      <c r="J76" s="603">
        <v>0</v>
      </c>
      <c r="K76" s="33"/>
      <c r="L76" s="33"/>
      <c r="M76" s="33"/>
      <c r="N76" s="33"/>
      <c r="O76" s="33"/>
      <c r="P76" s="56"/>
      <c r="Q76" s="91"/>
      <c r="R76" s="91"/>
      <c r="S76" s="92"/>
      <c r="T76" s="780"/>
      <c r="U76" s="91"/>
      <c r="Z76" s="89"/>
    </row>
    <row r="77" spans="1:26">
      <c r="A77" s="98"/>
      <c r="B77" s="754" t="s">
        <v>90</v>
      </c>
      <c r="C77" s="755"/>
      <c r="D77" s="755"/>
      <c r="E77" s="755"/>
      <c r="F77" s="755"/>
      <c r="G77" s="755"/>
      <c r="H77" s="755"/>
      <c r="I77" s="755"/>
      <c r="J77" s="755"/>
      <c r="K77" s="755"/>
      <c r="L77" s="755"/>
      <c r="M77" s="603">
        <v>0</v>
      </c>
      <c r="N77" s="33"/>
      <c r="O77" s="33"/>
      <c r="P77" s="56"/>
      <c r="Q77" s="91"/>
      <c r="R77" s="91"/>
      <c r="S77" s="92"/>
      <c r="T77" s="780"/>
      <c r="U77" s="91"/>
      <c r="Z77" s="89"/>
    </row>
    <row r="78" spans="1:26" ht="13.5" thickBot="1">
      <c r="A78" s="98"/>
      <c r="B78" s="756" t="s">
        <v>91</v>
      </c>
      <c r="C78" s="757"/>
      <c r="D78" s="757"/>
      <c r="E78" s="757"/>
      <c r="F78" s="757"/>
      <c r="G78" s="757"/>
      <c r="H78" s="757"/>
      <c r="I78" s="757"/>
      <c r="J78" s="757"/>
      <c r="K78" s="757"/>
      <c r="L78" s="757"/>
      <c r="M78" s="757"/>
      <c r="N78" s="757"/>
      <c r="O78" s="757"/>
      <c r="P78" s="604">
        <v>0</v>
      </c>
      <c r="Q78" s="91"/>
      <c r="R78" s="91"/>
      <c r="S78" s="92"/>
      <c r="T78" s="781"/>
      <c r="U78" s="91"/>
      <c r="Z78" s="89"/>
    </row>
    <row r="89" ht="12.75" customHeight="1"/>
    <row r="90" ht="13.5" customHeight="1"/>
  </sheetData>
  <sheetProtection algorithmName="SHA-512" hashValue="rPxRtcZ1nQ1Zpm/nFLWIUlmEm6qy7UeVi9Awcfue9CATxvNQU4rU9l446mvBu5Ixt+Sf7/zXXkbZFRzUhY2bFQ==" saltValue="g7w7qQweODntO9Jy5ZrlUA==" spinCount="100000" sheet="1" formatCells="0" formatColumns="0" formatRows="0"/>
  <mergeCells count="10">
    <mergeCell ref="A1:G1"/>
    <mergeCell ref="E49:S49"/>
    <mergeCell ref="E50:S50"/>
    <mergeCell ref="AC18:AF18"/>
    <mergeCell ref="A2:C2"/>
    <mergeCell ref="E2:G2"/>
    <mergeCell ref="H2:J2"/>
    <mergeCell ref="K2:M2"/>
    <mergeCell ref="N2:P2"/>
    <mergeCell ref="Q2:S2"/>
  </mergeCells>
  <pageMargins left="0.75" right="0.75" top="1" bottom="1" header="0.5" footer="0.5"/>
  <pageSetup orientation="portrait" horizontalDpi="4294967293" verticalDpi="4294967293"/>
  <headerFooter alignWithMargins="0"/>
  <ignoredErrors>
    <ignoredError sqref="S18:S41"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A737-DAFF-2946-ABD6-8129EA6F1A3D}">
  <sheetPr codeName="Sheet2">
    <tabColor theme="8" tint="-0.249977111117893"/>
    <pageSetUpPr fitToPage="1"/>
  </sheetPr>
  <dimension ref="A1:C57"/>
  <sheetViews>
    <sheetView zoomScale="80" zoomScaleNormal="80" workbookViewId="0">
      <selection activeCell="B1" sqref="B1"/>
    </sheetView>
  </sheetViews>
  <sheetFormatPr defaultColWidth="11.42578125" defaultRowHeight="15"/>
  <cols>
    <col min="1" max="1" width="0.85546875" style="632" customWidth="1"/>
    <col min="2" max="2" width="61.42578125" style="661" bestFit="1" customWidth="1"/>
    <col min="3" max="16384" width="11.42578125" style="632"/>
  </cols>
  <sheetData>
    <row r="1" spans="1:3" ht="12.95" customHeight="1">
      <c r="A1" s="631"/>
      <c r="B1" s="826"/>
    </row>
    <row r="2" spans="1:3" ht="15.75">
      <c r="A2" s="631"/>
      <c r="B2" s="662" t="s">
        <v>231</v>
      </c>
    </row>
    <row r="3" spans="1:3">
      <c r="B3" s="663"/>
    </row>
    <row r="4" spans="1:3" ht="15.75">
      <c r="B4" s="662" t="s">
        <v>216</v>
      </c>
    </row>
    <row r="5" spans="1:3">
      <c r="B5" s="663" t="s">
        <v>247</v>
      </c>
    </row>
    <row r="6" spans="1:3">
      <c r="B6" s="663" t="s">
        <v>232</v>
      </c>
    </row>
    <row r="7" spans="1:3" ht="15.75">
      <c r="B7" s="937" t="s">
        <v>239</v>
      </c>
    </row>
    <row r="8" spans="1:3" ht="15.75">
      <c r="B8" s="662" t="s">
        <v>219</v>
      </c>
    </row>
    <row r="9" spans="1:3">
      <c r="B9" s="663" t="s">
        <v>217</v>
      </c>
    </row>
    <row r="10" spans="1:3">
      <c r="B10" s="663" t="s">
        <v>218</v>
      </c>
    </row>
    <row r="11" spans="1:3" ht="15.75">
      <c r="B11" s="937" t="s">
        <v>240</v>
      </c>
      <c r="C11" s="930"/>
    </row>
    <row r="12" spans="1:3" ht="15.75">
      <c r="B12" s="662" t="s">
        <v>233</v>
      </c>
    </row>
    <row r="13" spans="1:3">
      <c r="B13" s="663" t="s">
        <v>234</v>
      </c>
    </row>
    <row r="14" spans="1:3">
      <c r="B14" s="663" t="s">
        <v>235</v>
      </c>
    </row>
    <row r="15" spans="1:3">
      <c r="B15" s="663" t="s">
        <v>236</v>
      </c>
    </row>
    <row r="16" spans="1:3" ht="15.75">
      <c r="B16" s="937" t="s">
        <v>241</v>
      </c>
    </row>
    <row r="17" spans="2:2" ht="15.75">
      <c r="B17" s="662" t="s">
        <v>243</v>
      </c>
    </row>
    <row r="18" spans="2:2">
      <c r="B18" s="663" t="s">
        <v>302</v>
      </c>
    </row>
    <row r="19" spans="2:2" ht="15.75">
      <c r="B19" s="665" t="s">
        <v>301</v>
      </c>
    </row>
    <row r="20" spans="2:2">
      <c r="B20" s="663" t="s">
        <v>238</v>
      </c>
    </row>
    <row r="21" spans="2:2">
      <c r="B21" s="663" t="s">
        <v>303</v>
      </c>
    </row>
    <row r="22" spans="2:2" ht="15.75">
      <c r="B22" s="665" t="s">
        <v>237</v>
      </c>
    </row>
    <row r="23" spans="2:2">
      <c r="B23" s="663" t="s">
        <v>304</v>
      </c>
    </row>
    <row r="24" spans="2:2" ht="15.75">
      <c r="B24" s="665" t="s">
        <v>242</v>
      </c>
    </row>
    <row r="25" spans="2:2">
      <c r="B25" s="663" t="s">
        <v>493</v>
      </c>
    </row>
    <row r="26" spans="2:2" ht="30">
      <c r="B26" s="663" t="s">
        <v>494</v>
      </c>
    </row>
    <row r="27" spans="2:2" ht="15.75">
      <c r="B27" s="937" t="s">
        <v>244</v>
      </c>
    </row>
    <row r="28" spans="2:2" ht="15.75">
      <c r="B28" s="662" t="s">
        <v>245</v>
      </c>
    </row>
    <row r="29" spans="2:2">
      <c r="B29" s="663" t="s">
        <v>246</v>
      </c>
    </row>
    <row r="30" spans="2:2" ht="15.75">
      <c r="B30" s="665" t="s">
        <v>549</v>
      </c>
    </row>
    <row r="31" spans="2:2">
      <c r="B31" s="663" t="s">
        <v>253</v>
      </c>
    </row>
    <row r="32" spans="2:2">
      <c r="B32" s="663" t="s">
        <v>254</v>
      </c>
    </row>
    <row r="33" spans="2:2">
      <c r="B33" s="663" t="s">
        <v>248</v>
      </c>
    </row>
    <row r="34" spans="2:2">
      <c r="B34" s="663" t="s">
        <v>249</v>
      </c>
    </row>
    <row r="35" spans="2:2">
      <c r="B35" s="663" t="s">
        <v>250</v>
      </c>
    </row>
    <row r="36" spans="2:2">
      <c r="B36" s="663" t="s">
        <v>251</v>
      </c>
    </row>
    <row r="37" spans="2:2">
      <c r="B37" s="663" t="s">
        <v>557</v>
      </c>
    </row>
    <row r="38" spans="2:2" ht="15.75">
      <c r="B38" s="665" t="s">
        <v>255</v>
      </c>
    </row>
    <row r="39" spans="2:2">
      <c r="B39" s="663" t="s">
        <v>252</v>
      </c>
    </row>
    <row r="40" spans="2:2" ht="15.75">
      <c r="B40" s="937" t="s">
        <v>256</v>
      </c>
    </row>
    <row r="41" spans="2:2" ht="15.75">
      <c r="B41" s="662" t="s">
        <v>257</v>
      </c>
    </row>
    <row r="42" spans="2:2">
      <c r="B42" s="663" t="s">
        <v>258</v>
      </c>
    </row>
    <row r="43" spans="2:2">
      <c r="B43" s="663" t="s">
        <v>259</v>
      </c>
    </row>
    <row r="44" spans="2:2">
      <c r="B44" s="663" t="s">
        <v>550</v>
      </c>
    </row>
    <row r="45" spans="2:2" ht="15.75">
      <c r="B45" s="664" t="s">
        <v>473</v>
      </c>
    </row>
    <row r="46" spans="2:2" ht="15.75">
      <c r="B46" s="665" t="s">
        <v>487</v>
      </c>
    </row>
    <row r="47" spans="2:2">
      <c r="B47" s="663" t="s">
        <v>481</v>
      </c>
    </row>
    <row r="48" spans="2:2">
      <c r="B48" s="663" t="s">
        <v>482</v>
      </c>
    </row>
    <row r="49" spans="2:2">
      <c r="B49" s="663" t="s">
        <v>484</v>
      </c>
    </row>
    <row r="50" spans="2:2" ht="15.75">
      <c r="B50" s="665" t="s">
        <v>551</v>
      </c>
    </row>
    <row r="51" spans="2:2">
      <c r="B51" s="663" t="s">
        <v>485</v>
      </c>
    </row>
    <row r="52" spans="2:2">
      <c r="B52" s="663" t="s">
        <v>486</v>
      </c>
    </row>
    <row r="53" spans="2:2">
      <c r="B53" s="663" t="s">
        <v>488</v>
      </c>
    </row>
    <row r="54" spans="2:2">
      <c r="B54" s="663" t="s">
        <v>483</v>
      </c>
    </row>
    <row r="55" spans="2:2" ht="15.75">
      <c r="B55" s="665" t="s">
        <v>552</v>
      </c>
    </row>
    <row r="56" spans="2:2">
      <c r="B56" s="661" t="s">
        <v>527</v>
      </c>
    </row>
    <row r="57" spans="2:2">
      <c r="B57" s="663" t="s">
        <v>489</v>
      </c>
    </row>
  </sheetData>
  <sheetProtection algorithmName="SHA-512" hashValue="Lv/mzIMhYMmzNWfRv/xok2dmjVJquUjZAerZlTnXXU2E/kVl0MdIV5gn8PCMAyf2z344QwcAFDRwqiVo42BecA==" saltValue="A2CybtOpQSO6Kv9SebQYUQ==" spinCount="100000" sheet="1" scenarios="1" formatCells="0" formatColumns="0" formatRows="0"/>
  <pageMargins left="0.7" right="0.7" top="0.75" bottom="0.75" header="0.3" footer="0.3"/>
  <pageSetup scale="7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theme="4" tint="0.39997558519241921"/>
  </sheetPr>
  <dimension ref="A1:AF90"/>
  <sheetViews>
    <sheetView zoomScale="85" zoomScaleNormal="8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2.75"/>
  <cols>
    <col min="2" max="2" width="54.42578125" customWidth="1"/>
    <col min="3" max="3" width="10.85546875" customWidth="1"/>
    <col min="4" max="4" width="3.42578125" customWidth="1"/>
    <col min="5" max="5" width="6.5703125" customWidth="1"/>
    <col min="6" max="6" width="6.5703125" style="763" customWidth="1"/>
    <col min="7" max="8" width="6.5703125" customWidth="1"/>
    <col min="9" max="9" width="6.5703125" style="763" customWidth="1"/>
    <col min="10" max="11" width="6.5703125" customWidth="1"/>
    <col min="12" max="12" width="6.5703125" style="763" customWidth="1"/>
    <col min="13" max="14" width="6.5703125" customWidth="1"/>
    <col min="15" max="15" width="6.5703125" style="763" customWidth="1"/>
    <col min="16" max="16" width="6.5703125" customWidth="1"/>
    <col min="17" max="18" width="6.5703125" style="763" customWidth="1"/>
    <col min="19" max="19" width="6.5703125" customWidth="1"/>
    <col min="20" max="20" width="52.85546875" customWidth="1"/>
    <col min="21" max="21" width="2.140625" style="763" customWidth="1"/>
    <col min="22" max="22" width="12" customWidth="1"/>
    <col min="23" max="25" width="10.85546875" customWidth="1"/>
    <col min="26" max="26" width="5.85546875" customWidth="1"/>
    <col min="27" max="28" width="10.85546875" customWidth="1"/>
    <col min="29" max="29" width="1.5703125" customWidth="1"/>
    <col min="30" max="32" width="10.85546875" customWidth="1"/>
  </cols>
  <sheetData>
    <row r="1" spans="1:32" s="770" customFormat="1" ht="87.95" customHeight="1" thickBot="1">
      <c r="A1" s="1120" t="str">
        <f ca="1">MID(CELL("filename",A1), FIND("]", CELL("filename", A1))+ 1, 255)&amp;":  Refer to Base Uncertainty and Project-specific Instructions worksheets and OP40 before completing this worksheet;
"&amp;"1) Enter uncertainty Beta values from addenda in the workbook, based on risk profile progress;
2) Enter Specific Risk Beta changes to individual SCC/Risk Types, by assessing Beta values using the Project-Specific Risk worksheet or other method;
"&amp;"3) Note reasons for changes in the Adjustment comments column"</f>
        <v>Risk Assessment (4):  Refer to Base Uncertainty and Project-specific Instructions worksheets and OP40 before completing this worksheet;
1) Enter uncertainty Beta values from addenda in the workbook, based on risk profile progress;
2) Enter Specific Risk Beta changes to individual SCC/Risk Types, by assessing Beta values using the Project-Specific Risk worksheet or other method;
3) Note reasons for changes in the Adjustment comments column</v>
      </c>
      <c r="B1" s="1121"/>
      <c r="C1" s="1121"/>
      <c r="D1" s="1121"/>
      <c r="E1" s="1121"/>
      <c r="F1" s="1121"/>
      <c r="G1" s="1121"/>
      <c r="H1" s="769"/>
      <c r="I1" s="769"/>
      <c r="J1" s="769"/>
      <c r="K1" s="769"/>
      <c r="L1" s="769"/>
      <c r="M1" s="769"/>
      <c r="N1" s="769"/>
      <c r="O1" s="769"/>
      <c r="P1" s="769"/>
      <c r="Q1" s="769"/>
      <c r="R1" s="769"/>
      <c r="S1" s="769"/>
      <c r="T1" s="769"/>
      <c r="U1" s="769"/>
      <c r="V1" s="784"/>
      <c r="W1" s="784"/>
      <c r="X1" s="784"/>
      <c r="Y1" s="784"/>
      <c r="Z1" s="784"/>
      <c r="AA1" s="784"/>
      <c r="AB1" s="784"/>
      <c r="AC1" s="784"/>
      <c r="AD1" s="784"/>
      <c r="AE1" s="784"/>
      <c r="AF1" s="784"/>
    </row>
    <row r="2" spans="1:32" s="654" customFormat="1" ht="23.1" customHeight="1" thickBot="1">
      <c r="A2" s="1124" t="str">
        <f>PMRP4ShrtName</f>
        <v>Not used</v>
      </c>
      <c r="B2" s="1125"/>
      <c r="C2" s="1125"/>
      <c r="D2" s="659"/>
      <c r="E2" s="1110" t="s">
        <v>536</v>
      </c>
      <c r="F2" s="1111"/>
      <c r="G2" s="1112"/>
      <c r="H2" s="1110" t="s">
        <v>539</v>
      </c>
      <c r="I2" s="1111"/>
      <c r="J2" s="1113"/>
      <c r="K2" s="1110" t="s">
        <v>540</v>
      </c>
      <c r="L2" s="1111"/>
      <c r="M2" s="1113"/>
      <c r="N2" s="1110" t="s">
        <v>541</v>
      </c>
      <c r="O2" s="1111"/>
      <c r="P2" s="1113"/>
      <c r="Q2" s="1111" t="s">
        <v>542</v>
      </c>
      <c r="R2" s="1111"/>
      <c r="S2" s="1112"/>
      <c r="T2" s="659"/>
      <c r="U2" s="659"/>
      <c r="V2" s="659"/>
      <c r="W2" s="659"/>
      <c r="X2" s="659"/>
      <c r="Y2" s="659"/>
      <c r="Z2" s="659"/>
      <c r="AA2" s="659"/>
      <c r="AB2" s="659"/>
      <c r="AC2" s="659"/>
      <c r="AD2" s="659"/>
      <c r="AE2" s="659"/>
      <c r="AF2" s="659"/>
    </row>
    <row r="3" spans="1:32" s="1" customFormat="1" ht="38.1" customHeight="1">
      <c r="A3" s="300" t="s">
        <v>11</v>
      </c>
      <c r="B3" s="301" t="s">
        <v>12</v>
      </c>
      <c r="C3" s="302" t="s">
        <v>72</v>
      </c>
      <c r="D3" s="93"/>
      <c r="E3" s="300" t="s">
        <v>538</v>
      </c>
      <c r="F3" s="301" t="s">
        <v>537</v>
      </c>
      <c r="G3" s="302" t="s">
        <v>84</v>
      </c>
      <c r="H3" s="300" t="s">
        <v>538</v>
      </c>
      <c r="I3" s="301" t="s">
        <v>537</v>
      </c>
      <c r="J3" s="302" t="s">
        <v>85</v>
      </c>
      <c r="K3" s="300" t="s">
        <v>538</v>
      </c>
      <c r="L3" s="301" t="s">
        <v>537</v>
      </c>
      <c r="M3" s="302" t="s">
        <v>85</v>
      </c>
      <c r="N3" s="300" t="s">
        <v>538</v>
      </c>
      <c r="O3" s="301" t="s">
        <v>537</v>
      </c>
      <c r="P3" s="302" t="s">
        <v>87</v>
      </c>
      <c r="Q3" s="300" t="s">
        <v>538</v>
      </c>
      <c r="R3" s="301" t="s">
        <v>537</v>
      </c>
      <c r="S3" s="302" t="s">
        <v>553</v>
      </c>
      <c r="T3" s="776" t="s">
        <v>535</v>
      </c>
      <c r="U3" s="93"/>
      <c r="V3" s="220" t="s">
        <v>1</v>
      </c>
      <c r="W3" s="189" t="s">
        <v>71</v>
      </c>
      <c r="X3" s="189" t="s">
        <v>73</v>
      </c>
      <c r="Y3" s="190" t="s">
        <v>7</v>
      </c>
      <c r="Z3" s="89"/>
      <c r="AA3" s="220" t="s">
        <v>0</v>
      </c>
      <c r="AB3" s="190" t="s">
        <v>77</v>
      </c>
      <c r="AC3" s="129"/>
      <c r="AD3" s="220" t="s">
        <v>77</v>
      </c>
      <c r="AE3" s="189" t="s">
        <v>78</v>
      </c>
      <c r="AF3" s="190" t="s">
        <v>79</v>
      </c>
    </row>
    <row r="4" spans="1:32">
      <c r="A4" s="513" t="s">
        <v>165</v>
      </c>
      <c r="B4" s="517"/>
      <c r="C4" s="307"/>
      <c r="D4" s="2"/>
      <c r="E4" s="309"/>
      <c r="F4" s="310"/>
      <c r="G4" s="311"/>
      <c r="H4" s="309"/>
      <c r="I4" s="310"/>
      <c r="J4" s="311"/>
      <c r="K4" s="309"/>
      <c r="L4" s="310"/>
      <c r="M4" s="311"/>
      <c r="N4" s="309"/>
      <c r="O4" s="310"/>
      <c r="P4" s="311"/>
      <c r="Q4" s="777"/>
      <c r="R4" s="777"/>
      <c r="S4" s="779"/>
      <c r="T4" s="780"/>
      <c r="U4" s="94"/>
      <c r="V4" s="39"/>
      <c r="W4" s="38"/>
      <c r="X4" s="38"/>
      <c r="Y4" s="52"/>
      <c r="Z4" s="89"/>
      <c r="AA4" s="75">
        <v>0</v>
      </c>
      <c r="AB4" s="76">
        <f>IF(RA_lwrbnd,RA_lwrbnd,0)</f>
        <v>0</v>
      </c>
      <c r="AC4" s="38"/>
      <c r="AD4" s="49">
        <f>RA_lwrbnd</f>
        <v>0</v>
      </c>
      <c r="AE4" s="69" t="e">
        <f t="shared" ref="AE4:AE14" si="0">BETADIST(AD4,RA_alpha,RA_beta,RA_lwrbnd,RA_uprbnd)</f>
        <v>#NUM!</v>
      </c>
      <c r="AF4" s="71" t="e">
        <f>AE4</f>
        <v>#NUM!</v>
      </c>
    </row>
    <row r="5" spans="1:32">
      <c r="A5" s="513">
        <v>10.01</v>
      </c>
      <c r="B5" s="517" t="s">
        <v>15</v>
      </c>
      <c r="C5" s="514">
        <f>'PMOC Profl Infl Adj'!AI5</f>
        <v>0</v>
      </c>
      <c r="D5" s="96"/>
      <c r="E5" s="787">
        <v>0</v>
      </c>
      <c r="F5" s="788">
        <v>0</v>
      </c>
      <c r="G5" s="789">
        <f t="shared" ref="G5:G48" si="1">SUM(E5:F5)+RA_global_rqts_adj</f>
        <v>0</v>
      </c>
      <c r="H5" s="787">
        <v>0</v>
      </c>
      <c r="I5" s="788">
        <v>0</v>
      </c>
      <c r="J5" s="789">
        <f t="shared" ref="J5:J48" si="2">SUM(H5:I5)+RA_global_dsgn_adj</f>
        <v>0</v>
      </c>
      <c r="K5" s="787">
        <v>0</v>
      </c>
      <c r="L5" s="788">
        <v>0</v>
      </c>
      <c r="M5" s="789">
        <f t="shared" ref="M5:M48" si="3">SUM(K5:L5)+RA_global_mkt_adj</f>
        <v>0</v>
      </c>
      <c r="N5" s="787">
        <v>0</v>
      </c>
      <c r="O5" s="788">
        <v>0</v>
      </c>
      <c r="P5" s="789">
        <f t="shared" ref="P5:P48" si="4">SUM(N5:O5)+RA_global_constr_adj</f>
        <v>0</v>
      </c>
      <c r="Q5" s="787">
        <v>0</v>
      </c>
      <c r="R5" s="788">
        <v>0</v>
      </c>
      <c r="S5" s="789">
        <f>SUM(Q5:R5)</f>
        <v>0</v>
      </c>
      <c r="T5" s="780"/>
      <c r="U5" s="95"/>
      <c r="V5" s="85">
        <f t="shared" ref="V5:V17" si="5">1+SUM(G5,J5,M5,P5,S5)</f>
        <v>1</v>
      </c>
      <c r="W5" s="81">
        <f t="shared" ref="W5:W17" si="6">C5*V5</f>
        <v>0</v>
      </c>
      <c r="X5" s="82">
        <f t="shared" ref="X5:X17" si="7">IF(C5,BETAINV(0.5,RA_alpha,RA_beta,C5,W5),0)</f>
        <v>0</v>
      </c>
      <c r="Y5" s="86">
        <f t="shared" ref="Y5:Y17" si="8">((RA_alpha/(RA_alpha+RA_beta))*(W5-C5))+C5</f>
        <v>0</v>
      </c>
      <c r="Z5" s="89"/>
      <c r="AA5" s="77">
        <v>0.1</v>
      </c>
      <c r="AB5" s="78">
        <f t="shared" ref="AB5:AB14" si="9">IF(RA_lwrbnd,BETAINV(AA5,RA_alpha,RA_beta,RA_lwrbnd,RA_uprbnd),0)</f>
        <v>0</v>
      </c>
      <c r="AC5" s="38"/>
      <c r="AD5" s="49">
        <f t="shared" ref="AD5:AD13" si="10">AD4+((RA_uprbnd-RA_lwrbnd)/10)</f>
        <v>0</v>
      </c>
      <c r="AE5" s="70" t="e">
        <f t="shared" si="0"/>
        <v>#NUM!</v>
      </c>
      <c r="AF5" s="72" t="e">
        <f>AE5-AE4</f>
        <v>#NUM!</v>
      </c>
    </row>
    <row r="6" spans="1:32">
      <c r="A6" s="513">
        <v>10.02</v>
      </c>
      <c r="B6" s="517" t="s">
        <v>16</v>
      </c>
      <c r="C6" s="515">
        <f>'PMOC Profl Infl Adj'!AI6</f>
        <v>0</v>
      </c>
      <c r="D6" s="96"/>
      <c r="E6" s="790">
        <v>0</v>
      </c>
      <c r="F6" s="791">
        <v>0</v>
      </c>
      <c r="G6" s="792">
        <f t="shared" si="1"/>
        <v>0</v>
      </c>
      <c r="H6" s="790">
        <v>0</v>
      </c>
      <c r="I6" s="791">
        <v>0</v>
      </c>
      <c r="J6" s="792">
        <f t="shared" si="2"/>
        <v>0</v>
      </c>
      <c r="K6" s="790">
        <v>0</v>
      </c>
      <c r="L6" s="791">
        <v>0</v>
      </c>
      <c r="M6" s="792">
        <f t="shared" si="3"/>
        <v>0</v>
      </c>
      <c r="N6" s="790">
        <v>0</v>
      </c>
      <c r="O6" s="791">
        <v>0</v>
      </c>
      <c r="P6" s="792">
        <f t="shared" si="4"/>
        <v>0</v>
      </c>
      <c r="Q6" s="790">
        <v>0</v>
      </c>
      <c r="R6" s="791">
        <v>0</v>
      </c>
      <c r="S6" s="792">
        <f t="shared" ref="S6:S48" si="11">SUM(Q6:R6)</f>
        <v>0</v>
      </c>
      <c r="T6" s="780"/>
      <c r="U6" s="95"/>
      <c r="V6" s="80">
        <f t="shared" si="5"/>
        <v>1</v>
      </c>
      <c r="W6" s="83">
        <f t="shared" si="6"/>
        <v>0</v>
      </c>
      <c r="X6" s="41">
        <f t="shared" si="7"/>
        <v>0</v>
      </c>
      <c r="Y6" s="42">
        <f t="shared" si="8"/>
        <v>0</v>
      </c>
      <c r="Z6" s="89"/>
      <c r="AA6" s="77">
        <v>0.2</v>
      </c>
      <c r="AB6" s="78">
        <f t="shared" si="9"/>
        <v>0</v>
      </c>
      <c r="AC6" s="38"/>
      <c r="AD6" s="49">
        <f t="shared" si="10"/>
        <v>0</v>
      </c>
      <c r="AE6" s="70" t="e">
        <f t="shared" si="0"/>
        <v>#NUM!</v>
      </c>
      <c r="AF6" s="72" t="e">
        <f t="shared" ref="AF6:AF13" si="12">AE6-AE5</f>
        <v>#NUM!</v>
      </c>
    </row>
    <row r="7" spans="1:32">
      <c r="A7" s="513">
        <v>10.029999999999999</v>
      </c>
      <c r="B7" s="517" t="s">
        <v>17</v>
      </c>
      <c r="C7" s="515">
        <f>'PMOC Profl Infl Adj'!AI7</f>
        <v>0</v>
      </c>
      <c r="D7" s="96"/>
      <c r="E7" s="790">
        <v>0</v>
      </c>
      <c r="F7" s="791">
        <v>0</v>
      </c>
      <c r="G7" s="792">
        <f t="shared" si="1"/>
        <v>0</v>
      </c>
      <c r="H7" s="790">
        <v>0</v>
      </c>
      <c r="I7" s="791">
        <v>0</v>
      </c>
      <c r="J7" s="792">
        <f t="shared" si="2"/>
        <v>0</v>
      </c>
      <c r="K7" s="790">
        <v>0</v>
      </c>
      <c r="L7" s="791">
        <v>0</v>
      </c>
      <c r="M7" s="792">
        <f t="shared" si="3"/>
        <v>0</v>
      </c>
      <c r="N7" s="790">
        <v>0</v>
      </c>
      <c r="O7" s="791">
        <v>0</v>
      </c>
      <c r="P7" s="792">
        <f t="shared" si="4"/>
        <v>0</v>
      </c>
      <c r="Q7" s="790">
        <v>0</v>
      </c>
      <c r="R7" s="791">
        <v>0</v>
      </c>
      <c r="S7" s="792">
        <f t="shared" si="11"/>
        <v>0</v>
      </c>
      <c r="T7" s="780"/>
      <c r="U7" s="95"/>
      <c r="V7" s="80">
        <f t="shared" si="5"/>
        <v>1</v>
      </c>
      <c r="W7" s="83">
        <f t="shared" si="6"/>
        <v>0</v>
      </c>
      <c r="X7" s="41">
        <f t="shared" si="7"/>
        <v>0</v>
      </c>
      <c r="Y7" s="42">
        <f t="shared" si="8"/>
        <v>0</v>
      </c>
      <c r="Z7" s="89"/>
      <c r="AA7" s="77">
        <v>0.3</v>
      </c>
      <c r="AB7" s="78">
        <f t="shared" si="9"/>
        <v>0</v>
      </c>
      <c r="AC7" s="38"/>
      <c r="AD7" s="49">
        <f t="shared" si="10"/>
        <v>0</v>
      </c>
      <c r="AE7" s="70" t="e">
        <f t="shared" si="0"/>
        <v>#NUM!</v>
      </c>
      <c r="AF7" s="72" t="e">
        <f t="shared" si="12"/>
        <v>#NUM!</v>
      </c>
    </row>
    <row r="8" spans="1:32">
      <c r="A8" s="513">
        <v>10.039999999999999</v>
      </c>
      <c r="B8" s="517" t="s">
        <v>18</v>
      </c>
      <c r="C8" s="515">
        <f>'PMOC Profl Infl Adj'!AI8</f>
        <v>0</v>
      </c>
      <c r="D8" s="96"/>
      <c r="E8" s="790">
        <v>0</v>
      </c>
      <c r="F8" s="791">
        <v>0</v>
      </c>
      <c r="G8" s="792">
        <f t="shared" si="1"/>
        <v>0</v>
      </c>
      <c r="H8" s="790">
        <v>0</v>
      </c>
      <c r="I8" s="791">
        <v>0</v>
      </c>
      <c r="J8" s="792">
        <f t="shared" si="2"/>
        <v>0</v>
      </c>
      <c r="K8" s="790">
        <v>0</v>
      </c>
      <c r="L8" s="791">
        <v>0</v>
      </c>
      <c r="M8" s="792">
        <f t="shared" si="3"/>
        <v>0</v>
      </c>
      <c r="N8" s="790">
        <v>0</v>
      </c>
      <c r="O8" s="791">
        <v>0</v>
      </c>
      <c r="P8" s="792">
        <f t="shared" si="4"/>
        <v>0</v>
      </c>
      <c r="Q8" s="790">
        <v>0</v>
      </c>
      <c r="R8" s="791">
        <v>0</v>
      </c>
      <c r="S8" s="792">
        <f t="shared" si="11"/>
        <v>0</v>
      </c>
      <c r="T8" s="780"/>
      <c r="U8" s="95"/>
      <c r="V8" s="80">
        <f t="shared" si="5"/>
        <v>1</v>
      </c>
      <c r="W8" s="83">
        <f t="shared" si="6"/>
        <v>0</v>
      </c>
      <c r="X8" s="41">
        <f t="shared" si="7"/>
        <v>0</v>
      </c>
      <c r="Y8" s="42">
        <f t="shared" si="8"/>
        <v>0</v>
      </c>
      <c r="Z8" s="89"/>
      <c r="AA8" s="77">
        <v>0.4</v>
      </c>
      <c r="AB8" s="78">
        <f t="shared" si="9"/>
        <v>0</v>
      </c>
      <c r="AC8" s="38"/>
      <c r="AD8" s="49">
        <f t="shared" si="10"/>
        <v>0</v>
      </c>
      <c r="AE8" s="70" t="e">
        <f t="shared" si="0"/>
        <v>#NUM!</v>
      </c>
      <c r="AF8" s="72" t="e">
        <f t="shared" si="12"/>
        <v>#NUM!</v>
      </c>
    </row>
    <row r="9" spans="1:32">
      <c r="A9" s="513">
        <v>10.050000000000001</v>
      </c>
      <c r="B9" s="517" t="s">
        <v>19</v>
      </c>
      <c r="C9" s="515">
        <f>'PMOC Profl Infl Adj'!AI9</f>
        <v>0</v>
      </c>
      <c r="D9" s="96"/>
      <c r="E9" s="790">
        <v>0</v>
      </c>
      <c r="F9" s="791">
        <v>0</v>
      </c>
      <c r="G9" s="792">
        <f t="shared" si="1"/>
        <v>0</v>
      </c>
      <c r="H9" s="790">
        <v>0</v>
      </c>
      <c r="I9" s="791">
        <v>0</v>
      </c>
      <c r="J9" s="792">
        <f t="shared" si="2"/>
        <v>0</v>
      </c>
      <c r="K9" s="790">
        <v>0</v>
      </c>
      <c r="L9" s="791">
        <v>0</v>
      </c>
      <c r="M9" s="792">
        <f t="shared" si="3"/>
        <v>0</v>
      </c>
      <c r="N9" s="790">
        <v>0</v>
      </c>
      <c r="O9" s="791">
        <v>0</v>
      </c>
      <c r="P9" s="792">
        <f t="shared" si="4"/>
        <v>0</v>
      </c>
      <c r="Q9" s="790">
        <v>0</v>
      </c>
      <c r="R9" s="791">
        <v>0</v>
      </c>
      <c r="S9" s="792">
        <f t="shared" si="11"/>
        <v>0</v>
      </c>
      <c r="T9" s="780"/>
      <c r="U9" s="95"/>
      <c r="V9" s="80">
        <f t="shared" si="5"/>
        <v>1</v>
      </c>
      <c r="W9" s="83">
        <f t="shared" si="6"/>
        <v>0</v>
      </c>
      <c r="X9" s="41">
        <f t="shared" si="7"/>
        <v>0</v>
      </c>
      <c r="Y9" s="42">
        <f t="shared" si="8"/>
        <v>0</v>
      </c>
      <c r="Z9" s="89"/>
      <c r="AA9" s="77">
        <v>0.5</v>
      </c>
      <c r="AB9" s="78">
        <f t="shared" si="9"/>
        <v>0</v>
      </c>
      <c r="AC9" s="38"/>
      <c r="AD9" s="49">
        <f t="shared" si="10"/>
        <v>0</v>
      </c>
      <c r="AE9" s="70" t="e">
        <f t="shared" si="0"/>
        <v>#NUM!</v>
      </c>
      <c r="AF9" s="72" t="e">
        <f t="shared" si="12"/>
        <v>#NUM!</v>
      </c>
    </row>
    <row r="10" spans="1:32">
      <c r="A10" s="513">
        <v>10.06</v>
      </c>
      <c r="B10" s="517" t="s">
        <v>20</v>
      </c>
      <c r="C10" s="515">
        <f>'PMOC Profl Infl Adj'!AI10</f>
        <v>0</v>
      </c>
      <c r="D10" s="96"/>
      <c r="E10" s="790">
        <v>0</v>
      </c>
      <c r="F10" s="791">
        <v>0</v>
      </c>
      <c r="G10" s="792">
        <f t="shared" si="1"/>
        <v>0</v>
      </c>
      <c r="H10" s="790">
        <v>0</v>
      </c>
      <c r="I10" s="791">
        <v>0</v>
      </c>
      <c r="J10" s="792">
        <f t="shared" si="2"/>
        <v>0</v>
      </c>
      <c r="K10" s="790">
        <v>0</v>
      </c>
      <c r="L10" s="791">
        <v>0</v>
      </c>
      <c r="M10" s="792">
        <f t="shared" si="3"/>
        <v>0</v>
      </c>
      <c r="N10" s="790">
        <v>0</v>
      </c>
      <c r="O10" s="791">
        <v>0</v>
      </c>
      <c r="P10" s="792">
        <f t="shared" si="4"/>
        <v>0</v>
      </c>
      <c r="Q10" s="790">
        <v>0</v>
      </c>
      <c r="R10" s="791">
        <v>0</v>
      </c>
      <c r="S10" s="792">
        <f t="shared" si="11"/>
        <v>0</v>
      </c>
      <c r="T10" s="780"/>
      <c r="U10" s="95"/>
      <c r="V10" s="80">
        <f t="shared" si="5"/>
        <v>1</v>
      </c>
      <c r="W10" s="83">
        <f t="shared" si="6"/>
        <v>0</v>
      </c>
      <c r="X10" s="41">
        <f t="shared" si="7"/>
        <v>0</v>
      </c>
      <c r="Y10" s="42">
        <f t="shared" si="8"/>
        <v>0</v>
      </c>
      <c r="Z10" s="89"/>
      <c r="AA10" s="77">
        <v>0.6</v>
      </c>
      <c r="AB10" s="78">
        <f t="shared" si="9"/>
        <v>0</v>
      </c>
      <c r="AC10" s="38"/>
      <c r="AD10" s="49">
        <f t="shared" si="10"/>
        <v>0</v>
      </c>
      <c r="AE10" s="70" t="e">
        <f t="shared" si="0"/>
        <v>#NUM!</v>
      </c>
      <c r="AF10" s="72" t="e">
        <f t="shared" si="12"/>
        <v>#NUM!</v>
      </c>
    </row>
    <row r="11" spans="1:32">
      <c r="A11" s="513">
        <v>10.07</v>
      </c>
      <c r="B11" s="517" t="s">
        <v>21</v>
      </c>
      <c r="C11" s="515">
        <f>'PMOC Profl Infl Adj'!AI11</f>
        <v>0</v>
      </c>
      <c r="D11" s="96"/>
      <c r="E11" s="790">
        <v>0</v>
      </c>
      <c r="F11" s="791">
        <v>0</v>
      </c>
      <c r="G11" s="792">
        <f t="shared" si="1"/>
        <v>0</v>
      </c>
      <c r="H11" s="790">
        <v>0</v>
      </c>
      <c r="I11" s="791">
        <v>0</v>
      </c>
      <c r="J11" s="792">
        <f t="shared" si="2"/>
        <v>0</v>
      </c>
      <c r="K11" s="790">
        <v>0</v>
      </c>
      <c r="L11" s="791">
        <v>0</v>
      </c>
      <c r="M11" s="792">
        <f t="shared" si="3"/>
        <v>0</v>
      </c>
      <c r="N11" s="790">
        <v>0</v>
      </c>
      <c r="O11" s="791">
        <v>0</v>
      </c>
      <c r="P11" s="792">
        <f t="shared" si="4"/>
        <v>0</v>
      </c>
      <c r="Q11" s="790">
        <v>0</v>
      </c>
      <c r="R11" s="791">
        <v>0</v>
      </c>
      <c r="S11" s="792">
        <f t="shared" si="11"/>
        <v>0</v>
      </c>
      <c r="T11" s="780"/>
      <c r="U11" s="95"/>
      <c r="V11" s="80">
        <f t="shared" si="5"/>
        <v>1</v>
      </c>
      <c r="W11" s="83">
        <f t="shared" si="6"/>
        <v>0</v>
      </c>
      <c r="X11" s="41">
        <f t="shared" si="7"/>
        <v>0</v>
      </c>
      <c r="Y11" s="42">
        <f t="shared" si="8"/>
        <v>0</v>
      </c>
      <c r="Z11" s="89"/>
      <c r="AA11" s="77">
        <v>0.65</v>
      </c>
      <c r="AB11" s="78">
        <f t="shared" si="9"/>
        <v>0</v>
      </c>
      <c r="AC11" s="38"/>
      <c r="AD11" s="49">
        <f t="shared" si="10"/>
        <v>0</v>
      </c>
      <c r="AE11" s="70" t="e">
        <f t="shared" si="0"/>
        <v>#NUM!</v>
      </c>
      <c r="AF11" s="72" t="e">
        <f t="shared" si="12"/>
        <v>#NUM!</v>
      </c>
    </row>
    <row r="12" spans="1:32">
      <c r="A12" s="513">
        <v>10.08</v>
      </c>
      <c r="B12" s="517" t="s">
        <v>22</v>
      </c>
      <c r="C12" s="515">
        <f>'PMOC Profl Infl Adj'!AI12</f>
        <v>0</v>
      </c>
      <c r="D12" s="96"/>
      <c r="E12" s="790">
        <v>0</v>
      </c>
      <c r="F12" s="791">
        <v>0</v>
      </c>
      <c r="G12" s="792">
        <f t="shared" si="1"/>
        <v>0</v>
      </c>
      <c r="H12" s="790">
        <v>0</v>
      </c>
      <c r="I12" s="791">
        <v>0</v>
      </c>
      <c r="J12" s="792">
        <f t="shared" si="2"/>
        <v>0</v>
      </c>
      <c r="K12" s="790">
        <v>0</v>
      </c>
      <c r="L12" s="791">
        <v>0</v>
      </c>
      <c r="M12" s="792">
        <f t="shared" si="3"/>
        <v>0</v>
      </c>
      <c r="N12" s="790">
        <v>0</v>
      </c>
      <c r="O12" s="791">
        <v>0</v>
      </c>
      <c r="P12" s="792">
        <f t="shared" si="4"/>
        <v>0</v>
      </c>
      <c r="Q12" s="790">
        <v>0</v>
      </c>
      <c r="R12" s="791">
        <v>0</v>
      </c>
      <c r="S12" s="792">
        <f t="shared" si="11"/>
        <v>0</v>
      </c>
      <c r="T12" s="780"/>
      <c r="U12" s="95"/>
      <c r="V12" s="80">
        <f t="shared" si="5"/>
        <v>1</v>
      </c>
      <c r="W12" s="83">
        <f t="shared" si="6"/>
        <v>0</v>
      </c>
      <c r="X12" s="41">
        <f t="shared" si="7"/>
        <v>0</v>
      </c>
      <c r="Y12" s="42">
        <f t="shared" si="8"/>
        <v>0</v>
      </c>
      <c r="Z12" s="89"/>
      <c r="AA12" s="77">
        <v>0.7</v>
      </c>
      <c r="AB12" s="78">
        <f t="shared" si="9"/>
        <v>0</v>
      </c>
      <c r="AC12" s="38"/>
      <c r="AD12" s="49">
        <f t="shared" si="10"/>
        <v>0</v>
      </c>
      <c r="AE12" s="70" t="e">
        <f t="shared" si="0"/>
        <v>#NUM!</v>
      </c>
      <c r="AF12" s="72" t="e">
        <f t="shared" si="12"/>
        <v>#NUM!</v>
      </c>
    </row>
    <row r="13" spans="1:32">
      <c r="A13" s="513">
        <v>10.09</v>
      </c>
      <c r="B13" s="517" t="s">
        <v>23</v>
      </c>
      <c r="C13" s="515">
        <f>'PMOC Profl Infl Adj'!AI13</f>
        <v>0</v>
      </c>
      <c r="D13" s="96"/>
      <c r="E13" s="790">
        <v>0</v>
      </c>
      <c r="F13" s="791">
        <v>0</v>
      </c>
      <c r="G13" s="792">
        <f t="shared" si="1"/>
        <v>0</v>
      </c>
      <c r="H13" s="790">
        <v>0</v>
      </c>
      <c r="I13" s="791">
        <v>0</v>
      </c>
      <c r="J13" s="792">
        <f t="shared" si="2"/>
        <v>0</v>
      </c>
      <c r="K13" s="790">
        <v>0</v>
      </c>
      <c r="L13" s="791">
        <v>0</v>
      </c>
      <c r="M13" s="792">
        <f t="shared" si="3"/>
        <v>0</v>
      </c>
      <c r="N13" s="790">
        <v>0</v>
      </c>
      <c r="O13" s="791">
        <v>0</v>
      </c>
      <c r="P13" s="792">
        <f t="shared" si="4"/>
        <v>0</v>
      </c>
      <c r="Q13" s="790">
        <v>0</v>
      </c>
      <c r="R13" s="791">
        <v>0</v>
      </c>
      <c r="S13" s="792">
        <f t="shared" si="11"/>
        <v>0</v>
      </c>
      <c r="T13" s="780"/>
      <c r="U13" s="95"/>
      <c r="V13" s="80">
        <f t="shared" si="5"/>
        <v>1</v>
      </c>
      <c r="W13" s="83">
        <f t="shared" si="6"/>
        <v>0</v>
      </c>
      <c r="X13" s="41">
        <f t="shared" si="7"/>
        <v>0</v>
      </c>
      <c r="Y13" s="42">
        <f t="shared" si="8"/>
        <v>0</v>
      </c>
      <c r="Z13" s="89"/>
      <c r="AA13" s="77">
        <v>0.8</v>
      </c>
      <c r="AB13" s="78">
        <f t="shared" si="9"/>
        <v>0</v>
      </c>
      <c r="AC13" s="38"/>
      <c r="AD13" s="49">
        <f t="shared" si="10"/>
        <v>0</v>
      </c>
      <c r="AE13" s="70" t="e">
        <f t="shared" si="0"/>
        <v>#NUM!</v>
      </c>
      <c r="AF13" s="72" t="e">
        <f t="shared" si="12"/>
        <v>#NUM!</v>
      </c>
    </row>
    <row r="14" spans="1:32" ht="13.5" thickBot="1">
      <c r="A14" s="513">
        <v>10.1</v>
      </c>
      <c r="B14" s="517" t="s">
        <v>24</v>
      </c>
      <c r="C14" s="515">
        <f>'PMOC Profl Infl Adj'!AI14</f>
        <v>0</v>
      </c>
      <c r="D14" s="96"/>
      <c r="E14" s="790">
        <v>0</v>
      </c>
      <c r="F14" s="791">
        <v>0</v>
      </c>
      <c r="G14" s="792">
        <f t="shared" si="1"/>
        <v>0</v>
      </c>
      <c r="H14" s="790">
        <v>0</v>
      </c>
      <c r="I14" s="791">
        <v>0</v>
      </c>
      <c r="J14" s="792">
        <f t="shared" si="2"/>
        <v>0</v>
      </c>
      <c r="K14" s="790">
        <v>0</v>
      </c>
      <c r="L14" s="791">
        <v>0</v>
      </c>
      <c r="M14" s="792">
        <f t="shared" si="3"/>
        <v>0</v>
      </c>
      <c r="N14" s="790">
        <v>0</v>
      </c>
      <c r="O14" s="791">
        <v>0</v>
      </c>
      <c r="P14" s="792">
        <f t="shared" si="4"/>
        <v>0</v>
      </c>
      <c r="Q14" s="790">
        <v>0</v>
      </c>
      <c r="R14" s="791">
        <v>0</v>
      </c>
      <c r="S14" s="792">
        <f t="shared" si="11"/>
        <v>0</v>
      </c>
      <c r="T14" s="780"/>
      <c r="U14" s="95"/>
      <c r="V14" s="80">
        <f t="shared" si="5"/>
        <v>1</v>
      </c>
      <c r="W14" s="83">
        <f t="shared" si="6"/>
        <v>0</v>
      </c>
      <c r="X14" s="41">
        <f t="shared" si="7"/>
        <v>0</v>
      </c>
      <c r="Y14" s="42">
        <f t="shared" si="8"/>
        <v>0</v>
      </c>
      <c r="Z14" s="89"/>
      <c r="AA14" s="77">
        <v>0.9</v>
      </c>
      <c r="AB14" s="78">
        <f t="shared" si="9"/>
        <v>0</v>
      </c>
      <c r="AC14" s="38"/>
      <c r="AD14" s="50">
        <f>RA_uprbnd</f>
        <v>0</v>
      </c>
      <c r="AE14" s="73" t="e">
        <f t="shared" si="0"/>
        <v>#NUM!</v>
      </c>
      <c r="AF14" s="74" t="e">
        <f>AE14-AE13</f>
        <v>#NUM!</v>
      </c>
    </row>
    <row r="15" spans="1:32" ht="13.5" thickBot="1">
      <c r="A15" s="513">
        <v>10.11</v>
      </c>
      <c r="B15" s="517" t="s">
        <v>25</v>
      </c>
      <c r="C15" s="515">
        <f>'PMOC Profl Infl Adj'!AI15</f>
        <v>0</v>
      </c>
      <c r="D15" s="96"/>
      <c r="E15" s="790">
        <v>0</v>
      </c>
      <c r="F15" s="791">
        <v>0</v>
      </c>
      <c r="G15" s="792">
        <f t="shared" si="1"/>
        <v>0</v>
      </c>
      <c r="H15" s="790">
        <v>0</v>
      </c>
      <c r="I15" s="791">
        <v>0</v>
      </c>
      <c r="J15" s="792">
        <f t="shared" si="2"/>
        <v>0</v>
      </c>
      <c r="K15" s="790">
        <v>0</v>
      </c>
      <c r="L15" s="791">
        <v>0</v>
      </c>
      <c r="M15" s="792">
        <f t="shared" si="3"/>
        <v>0</v>
      </c>
      <c r="N15" s="790">
        <v>0</v>
      </c>
      <c r="O15" s="791">
        <v>0</v>
      </c>
      <c r="P15" s="792">
        <f t="shared" si="4"/>
        <v>0</v>
      </c>
      <c r="Q15" s="790">
        <v>0</v>
      </c>
      <c r="R15" s="791">
        <v>0</v>
      </c>
      <c r="S15" s="792">
        <f t="shared" si="11"/>
        <v>0</v>
      </c>
      <c r="T15" s="780"/>
      <c r="U15" s="95"/>
      <c r="V15" s="80">
        <f t="shared" si="5"/>
        <v>1</v>
      </c>
      <c r="W15" s="83">
        <f t="shared" si="6"/>
        <v>0</v>
      </c>
      <c r="X15" s="41">
        <f t="shared" si="7"/>
        <v>0</v>
      </c>
      <c r="Y15" s="42">
        <f t="shared" si="8"/>
        <v>0</v>
      </c>
      <c r="Z15" s="89"/>
      <c r="AA15" s="79">
        <v>1</v>
      </c>
      <c r="AB15" s="47">
        <f>RA_uprbnd</f>
        <v>0</v>
      </c>
      <c r="AC15" s="38"/>
      <c r="AD15" s="54"/>
      <c r="AE15" s="55"/>
      <c r="AF15" s="67"/>
    </row>
    <row r="16" spans="1:32">
      <c r="A16" s="513">
        <v>10.119999999999999</v>
      </c>
      <c r="B16" s="517" t="s">
        <v>26</v>
      </c>
      <c r="C16" s="515">
        <f>'PMOC Profl Infl Adj'!AI16</f>
        <v>0</v>
      </c>
      <c r="D16" s="96"/>
      <c r="E16" s="790">
        <v>0</v>
      </c>
      <c r="F16" s="791">
        <v>0</v>
      </c>
      <c r="G16" s="792">
        <f t="shared" si="1"/>
        <v>0</v>
      </c>
      <c r="H16" s="790">
        <v>0</v>
      </c>
      <c r="I16" s="791">
        <v>0</v>
      </c>
      <c r="J16" s="792">
        <f t="shared" si="2"/>
        <v>0</v>
      </c>
      <c r="K16" s="790">
        <v>0</v>
      </c>
      <c r="L16" s="791">
        <v>0</v>
      </c>
      <c r="M16" s="792">
        <f t="shared" si="3"/>
        <v>0</v>
      </c>
      <c r="N16" s="790">
        <v>0</v>
      </c>
      <c r="O16" s="791">
        <v>0</v>
      </c>
      <c r="P16" s="792">
        <f t="shared" si="4"/>
        <v>0</v>
      </c>
      <c r="Q16" s="790">
        <v>0</v>
      </c>
      <c r="R16" s="791">
        <v>0</v>
      </c>
      <c r="S16" s="792">
        <f t="shared" si="11"/>
        <v>0</v>
      </c>
      <c r="T16" s="780"/>
      <c r="U16" s="95"/>
      <c r="V16" s="80">
        <f t="shared" si="5"/>
        <v>1</v>
      </c>
      <c r="W16" s="83">
        <f t="shared" si="6"/>
        <v>0</v>
      </c>
      <c r="X16" s="41">
        <f t="shared" si="7"/>
        <v>0</v>
      </c>
      <c r="Y16" s="42">
        <f t="shared" si="8"/>
        <v>0</v>
      </c>
      <c r="Z16" s="89"/>
      <c r="AA16" s="53"/>
      <c r="AB16" s="40"/>
      <c r="AC16" s="33"/>
      <c r="AD16" s="33"/>
      <c r="AE16" s="33"/>
      <c r="AF16" s="56"/>
    </row>
    <row r="17" spans="1:32" ht="13.5" thickBot="1">
      <c r="A17" s="513">
        <v>10.130000000000001</v>
      </c>
      <c r="B17" s="517" t="s">
        <v>27</v>
      </c>
      <c r="C17" s="516">
        <f>'PMOC Profl Infl Adj'!AI17</f>
        <v>0</v>
      </c>
      <c r="D17" s="96"/>
      <c r="E17" s="793">
        <v>0</v>
      </c>
      <c r="F17" s="794">
        <v>0</v>
      </c>
      <c r="G17" s="795">
        <f t="shared" si="1"/>
        <v>0</v>
      </c>
      <c r="H17" s="793">
        <v>0</v>
      </c>
      <c r="I17" s="794">
        <v>0</v>
      </c>
      <c r="J17" s="795">
        <f t="shared" si="2"/>
        <v>0</v>
      </c>
      <c r="K17" s="793">
        <v>0</v>
      </c>
      <c r="L17" s="794">
        <v>0</v>
      </c>
      <c r="M17" s="795">
        <f t="shared" si="3"/>
        <v>0</v>
      </c>
      <c r="N17" s="793">
        <v>0</v>
      </c>
      <c r="O17" s="794">
        <v>0</v>
      </c>
      <c r="P17" s="795">
        <f t="shared" si="4"/>
        <v>0</v>
      </c>
      <c r="Q17" s="793">
        <v>0</v>
      </c>
      <c r="R17" s="794">
        <v>0</v>
      </c>
      <c r="S17" s="795">
        <f t="shared" si="11"/>
        <v>0</v>
      </c>
      <c r="T17" s="780"/>
      <c r="U17" s="95"/>
      <c r="V17" s="87">
        <f t="shared" si="5"/>
        <v>1</v>
      </c>
      <c r="W17" s="84">
        <f t="shared" si="6"/>
        <v>0</v>
      </c>
      <c r="X17" s="43">
        <f t="shared" si="7"/>
        <v>0</v>
      </c>
      <c r="Y17" s="44">
        <f t="shared" si="8"/>
        <v>0</v>
      </c>
      <c r="Z17" s="89"/>
      <c r="AA17" s="53"/>
      <c r="AB17" s="33"/>
      <c r="AC17" s="33"/>
      <c r="AD17" s="33"/>
      <c r="AE17" s="33"/>
      <c r="AF17" s="56"/>
    </row>
    <row r="18" spans="1:32" ht="13.5" thickBot="1">
      <c r="A18" s="513" t="s">
        <v>167</v>
      </c>
      <c r="B18" s="517"/>
      <c r="C18" s="307"/>
      <c r="D18" s="2"/>
      <c r="E18" s="796">
        <v>0</v>
      </c>
      <c r="F18" s="797">
        <v>0</v>
      </c>
      <c r="G18" s="798">
        <f>SUM(E18:F18)+RA_global_rqts_adj</f>
        <v>0</v>
      </c>
      <c r="H18" s="796">
        <v>0</v>
      </c>
      <c r="I18" s="797">
        <v>0</v>
      </c>
      <c r="J18" s="798">
        <f>SUM(H18:I18)+RA_global_dsgn_adj</f>
        <v>0</v>
      </c>
      <c r="K18" s="796">
        <v>0</v>
      </c>
      <c r="L18" s="797">
        <v>0</v>
      </c>
      <c r="M18" s="798">
        <f>SUM(K18:L18)+RA_global_mkt_adj</f>
        <v>0</v>
      </c>
      <c r="N18" s="796">
        <v>0</v>
      </c>
      <c r="O18" s="797">
        <v>0</v>
      </c>
      <c r="P18" s="798">
        <f>SUM(N18:O18)+RA_global_constr_adj</f>
        <v>0</v>
      </c>
      <c r="Q18" s="796">
        <v>0</v>
      </c>
      <c r="R18" s="797">
        <v>0</v>
      </c>
      <c r="S18" s="799">
        <f>SUM(Q18:R18)</f>
        <v>0</v>
      </c>
      <c r="T18" s="780"/>
      <c r="U18" s="94"/>
      <c r="V18" s="39"/>
      <c r="W18" s="38"/>
      <c r="X18" s="38"/>
      <c r="Y18" s="52"/>
      <c r="Z18" s="89"/>
      <c r="AA18" s="59">
        <f>RA_lwrrange</f>
        <v>0.4</v>
      </c>
      <c r="AB18" s="68">
        <f>IF(RA_lwrbnd,BETAINV(AA18,RA_alpha,RA_beta,RA_lwrbnd,RA_uprbnd),0)</f>
        <v>0</v>
      </c>
      <c r="AC18" s="1122" t="s">
        <v>136</v>
      </c>
      <c r="AD18" s="1122"/>
      <c r="AE18" s="1122"/>
      <c r="AF18" s="1123"/>
    </row>
    <row r="19" spans="1:32" ht="13.5" thickBot="1">
      <c r="A19" s="513">
        <v>20.010000000000002</v>
      </c>
      <c r="B19" s="517" t="s">
        <v>63</v>
      </c>
      <c r="C19" s="514">
        <f>'PMOC Profl Infl Adj'!AI19</f>
        <v>0</v>
      </c>
      <c r="D19" s="96"/>
      <c r="E19" s="787">
        <v>0</v>
      </c>
      <c r="F19" s="788">
        <v>0</v>
      </c>
      <c r="G19" s="789">
        <f t="shared" si="1"/>
        <v>0</v>
      </c>
      <c r="H19" s="790">
        <v>0</v>
      </c>
      <c r="I19" s="791">
        <v>0</v>
      </c>
      <c r="J19" s="789">
        <f t="shared" si="2"/>
        <v>0</v>
      </c>
      <c r="K19" s="787">
        <v>0</v>
      </c>
      <c r="L19" s="788">
        <v>0</v>
      </c>
      <c r="M19" s="789">
        <f t="shared" si="3"/>
        <v>0</v>
      </c>
      <c r="N19" s="787">
        <v>0</v>
      </c>
      <c r="O19" s="788">
        <v>0</v>
      </c>
      <c r="P19" s="789">
        <f t="shared" si="4"/>
        <v>0</v>
      </c>
      <c r="Q19" s="787">
        <v>0</v>
      </c>
      <c r="R19" s="788">
        <v>0</v>
      </c>
      <c r="S19" s="789">
        <f t="shared" si="11"/>
        <v>0</v>
      </c>
      <c r="T19" s="780"/>
      <c r="U19" s="95"/>
      <c r="V19" s="85">
        <f t="shared" ref="V19:V25" si="13">1+SUM(G19,J19,M19,P19,S19)</f>
        <v>1</v>
      </c>
      <c r="W19" s="81">
        <f t="shared" ref="W19:W25" si="14">C19*V19</f>
        <v>0</v>
      </c>
      <c r="X19" s="82">
        <f t="shared" ref="X19:X25" si="15">IF(C19,BETAINV(0.5,RA_alpha,RA_beta,C19,W19),0)</f>
        <v>0</v>
      </c>
      <c r="Y19" s="86">
        <f t="shared" ref="Y19:Y25" si="16">((RA_alpha/(RA_alpha+RA_beta))*(W19-C19))+C19</f>
        <v>0</v>
      </c>
      <c r="Z19" s="89"/>
      <c r="AA19" s="59">
        <f>RA_contingency_percent</f>
        <v>0.65</v>
      </c>
      <c r="AB19" s="68">
        <f>IF(RA_lwrbnd,BETAINV(AA19,RA_alpha,RA_beta,RA_lwrbnd,RA_uprbnd),0)</f>
        <v>0</v>
      </c>
      <c r="AC19" s="57" t="s">
        <v>83</v>
      </c>
      <c r="AD19" s="57"/>
      <c r="AE19" s="57"/>
      <c r="AF19" s="58"/>
    </row>
    <row r="20" spans="1:32" ht="13.5" thickBot="1">
      <c r="A20" s="513">
        <v>20.02</v>
      </c>
      <c r="B20" s="517" t="s">
        <v>64</v>
      </c>
      <c r="C20" s="515">
        <f>'PMOC Profl Infl Adj'!AI20</f>
        <v>0</v>
      </c>
      <c r="D20" s="96"/>
      <c r="E20" s="790">
        <v>0</v>
      </c>
      <c r="F20" s="791">
        <v>0</v>
      </c>
      <c r="G20" s="792">
        <f t="shared" si="1"/>
        <v>0</v>
      </c>
      <c r="H20" s="790">
        <v>0</v>
      </c>
      <c r="I20" s="791">
        <v>0</v>
      </c>
      <c r="J20" s="792">
        <f t="shared" si="2"/>
        <v>0</v>
      </c>
      <c r="K20" s="790">
        <v>0</v>
      </c>
      <c r="L20" s="791">
        <v>0</v>
      </c>
      <c r="M20" s="792">
        <f t="shared" si="3"/>
        <v>0</v>
      </c>
      <c r="N20" s="790">
        <v>0</v>
      </c>
      <c r="O20" s="791">
        <v>0</v>
      </c>
      <c r="P20" s="792">
        <f t="shared" si="4"/>
        <v>0</v>
      </c>
      <c r="Q20" s="790">
        <v>0</v>
      </c>
      <c r="R20" s="791">
        <v>0</v>
      </c>
      <c r="S20" s="792">
        <f t="shared" si="11"/>
        <v>0</v>
      </c>
      <c r="T20" s="780"/>
      <c r="U20" s="95"/>
      <c r="V20" s="80">
        <f t="shared" si="13"/>
        <v>1</v>
      </c>
      <c r="W20" s="83">
        <f t="shared" si="14"/>
        <v>0</v>
      </c>
      <c r="X20" s="41">
        <f t="shared" si="15"/>
        <v>0</v>
      </c>
      <c r="Y20" s="42">
        <f t="shared" si="16"/>
        <v>0</v>
      </c>
      <c r="Z20" s="89"/>
      <c r="AA20" s="59">
        <f>RA_uprrange</f>
        <v>0.8</v>
      </c>
      <c r="AB20" s="68">
        <f>IF(RA_lwrbnd,BETAINV(AA20,RA_alpha,RA_beta,RA_lwrbnd,RA_uprbnd),0)</f>
        <v>0</v>
      </c>
      <c r="AC20" s="57" t="s">
        <v>137</v>
      </c>
      <c r="AD20" s="57"/>
      <c r="AE20" s="57"/>
      <c r="AF20" s="58"/>
    </row>
    <row r="21" spans="1:32" ht="12.95" customHeight="1">
      <c r="A21" s="513">
        <v>20.03</v>
      </c>
      <c r="B21" s="517" t="s">
        <v>65</v>
      </c>
      <c r="C21" s="515">
        <f>'PMOC Profl Infl Adj'!AI21</f>
        <v>0</v>
      </c>
      <c r="D21" s="96"/>
      <c r="E21" s="790">
        <v>0</v>
      </c>
      <c r="F21" s="791">
        <v>0</v>
      </c>
      <c r="G21" s="792">
        <f t="shared" si="1"/>
        <v>0</v>
      </c>
      <c r="H21" s="790">
        <v>0</v>
      </c>
      <c r="I21" s="791">
        <v>0</v>
      </c>
      <c r="J21" s="792">
        <f t="shared" si="2"/>
        <v>0</v>
      </c>
      <c r="K21" s="790">
        <v>0</v>
      </c>
      <c r="L21" s="791">
        <v>0</v>
      </c>
      <c r="M21" s="792">
        <f t="shared" si="3"/>
        <v>0</v>
      </c>
      <c r="N21" s="790">
        <v>0</v>
      </c>
      <c r="O21" s="791">
        <v>0</v>
      </c>
      <c r="P21" s="792">
        <f t="shared" si="4"/>
        <v>0</v>
      </c>
      <c r="Q21" s="790">
        <v>0</v>
      </c>
      <c r="R21" s="791">
        <v>0</v>
      </c>
      <c r="S21" s="792">
        <f t="shared" si="11"/>
        <v>0</v>
      </c>
      <c r="T21" s="780"/>
      <c r="U21" s="95"/>
      <c r="V21" s="80">
        <f t="shared" si="13"/>
        <v>1</v>
      </c>
      <c r="W21" s="83">
        <f t="shared" si="14"/>
        <v>0</v>
      </c>
      <c r="X21" s="41">
        <f t="shared" si="15"/>
        <v>0</v>
      </c>
      <c r="Y21" s="42">
        <f t="shared" si="16"/>
        <v>0</v>
      </c>
      <c r="Z21" s="89"/>
      <c r="AA21" s="217"/>
      <c r="AB21" s="212"/>
      <c r="AC21" s="212"/>
      <c r="AD21" s="212"/>
      <c r="AE21" s="212"/>
      <c r="AF21" s="215"/>
    </row>
    <row r="22" spans="1:32">
      <c r="A22" s="513">
        <v>20.04</v>
      </c>
      <c r="B22" s="517" t="s">
        <v>66</v>
      </c>
      <c r="C22" s="515">
        <f>'PMOC Profl Infl Adj'!AI22</f>
        <v>0</v>
      </c>
      <c r="D22" s="96"/>
      <c r="E22" s="790">
        <v>0</v>
      </c>
      <c r="F22" s="791">
        <v>0</v>
      </c>
      <c r="G22" s="792">
        <f t="shared" si="1"/>
        <v>0</v>
      </c>
      <c r="H22" s="790">
        <v>0</v>
      </c>
      <c r="I22" s="791">
        <v>0</v>
      </c>
      <c r="J22" s="792">
        <f t="shared" si="2"/>
        <v>0</v>
      </c>
      <c r="K22" s="790">
        <v>0</v>
      </c>
      <c r="L22" s="791">
        <v>0</v>
      </c>
      <c r="M22" s="792">
        <f t="shared" si="3"/>
        <v>0</v>
      </c>
      <c r="N22" s="790">
        <v>0</v>
      </c>
      <c r="O22" s="791">
        <v>0</v>
      </c>
      <c r="P22" s="792">
        <f t="shared" si="4"/>
        <v>0</v>
      </c>
      <c r="Q22" s="790">
        <v>0</v>
      </c>
      <c r="R22" s="791">
        <v>0</v>
      </c>
      <c r="S22" s="792">
        <f t="shared" si="11"/>
        <v>0</v>
      </c>
      <c r="T22" s="780"/>
      <c r="U22" s="95"/>
      <c r="V22" s="80">
        <f t="shared" si="13"/>
        <v>1</v>
      </c>
      <c r="W22" s="83">
        <f t="shared" si="14"/>
        <v>0</v>
      </c>
      <c r="X22" s="41">
        <f t="shared" si="15"/>
        <v>0</v>
      </c>
      <c r="Y22" s="42">
        <f t="shared" si="16"/>
        <v>0</v>
      </c>
      <c r="Z22" s="89"/>
      <c r="AA22" s="217"/>
      <c r="AB22" s="212"/>
      <c r="AC22" s="212"/>
      <c r="AD22" s="212"/>
      <c r="AE22" s="212"/>
      <c r="AF22" s="215"/>
    </row>
    <row r="23" spans="1:32">
      <c r="A23" s="513">
        <v>20.05</v>
      </c>
      <c r="B23" s="517" t="s">
        <v>67</v>
      </c>
      <c r="C23" s="515">
        <f>'PMOC Profl Infl Adj'!AI23</f>
        <v>0</v>
      </c>
      <c r="D23" s="96"/>
      <c r="E23" s="790">
        <v>0</v>
      </c>
      <c r="F23" s="791">
        <v>0</v>
      </c>
      <c r="G23" s="792">
        <f t="shared" si="1"/>
        <v>0</v>
      </c>
      <c r="H23" s="790">
        <v>0</v>
      </c>
      <c r="I23" s="791">
        <v>0</v>
      </c>
      <c r="J23" s="792">
        <f t="shared" si="2"/>
        <v>0</v>
      </c>
      <c r="K23" s="790">
        <v>0</v>
      </c>
      <c r="L23" s="791">
        <v>0</v>
      </c>
      <c r="M23" s="792">
        <f t="shared" si="3"/>
        <v>0</v>
      </c>
      <c r="N23" s="790">
        <v>0</v>
      </c>
      <c r="O23" s="791">
        <v>0</v>
      </c>
      <c r="P23" s="792">
        <f t="shared" si="4"/>
        <v>0</v>
      </c>
      <c r="Q23" s="790">
        <v>0</v>
      </c>
      <c r="R23" s="791">
        <v>0</v>
      </c>
      <c r="S23" s="792">
        <f t="shared" si="11"/>
        <v>0</v>
      </c>
      <c r="T23" s="780"/>
      <c r="U23" s="95"/>
      <c r="V23" s="80">
        <f t="shared" si="13"/>
        <v>1</v>
      </c>
      <c r="W23" s="83">
        <f t="shared" si="14"/>
        <v>0</v>
      </c>
      <c r="X23" s="41">
        <f t="shared" si="15"/>
        <v>0</v>
      </c>
      <c r="Y23" s="42">
        <f t="shared" si="16"/>
        <v>0</v>
      </c>
      <c r="Z23" s="89"/>
      <c r="AA23" s="211"/>
      <c r="AB23" s="212"/>
      <c r="AC23" s="212"/>
      <c r="AD23" s="212"/>
      <c r="AE23" s="212"/>
      <c r="AF23" s="215"/>
    </row>
    <row r="24" spans="1:32">
      <c r="A24" s="513">
        <v>20.059999999999999</v>
      </c>
      <c r="B24" s="517" t="s">
        <v>68</v>
      </c>
      <c r="C24" s="515">
        <f>'PMOC Profl Infl Adj'!AI24</f>
        <v>0</v>
      </c>
      <c r="D24" s="96"/>
      <c r="E24" s="790">
        <v>0</v>
      </c>
      <c r="F24" s="791">
        <v>0</v>
      </c>
      <c r="G24" s="792">
        <f t="shared" si="1"/>
        <v>0</v>
      </c>
      <c r="H24" s="790">
        <v>0</v>
      </c>
      <c r="I24" s="791">
        <v>0</v>
      </c>
      <c r="J24" s="792">
        <f t="shared" si="2"/>
        <v>0</v>
      </c>
      <c r="K24" s="790">
        <v>0</v>
      </c>
      <c r="L24" s="791">
        <v>0</v>
      </c>
      <c r="M24" s="792">
        <f t="shared" si="3"/>
        <v>0</v>
      </c>
      <c r="N24" s="790">
        <v>0</v>
      </c>
      <c r="O24" s="791">
        <v>0</v>
      </c>
      <c r="P24" s="792">
        <f t="shared" si="4"/>
        <v>0</v>
      </c>
      <c r="Q24" s="790">
        <v>0</v>
      </c>
      <c r="R24" s="791">
        <v>0</v>
      </c>
      <c r="S24" s="792">
        <f t="shared" si="11"/>
        <v>0</v>
      </c>
      <c r="T24" s="780"/>
      <c r="U24" s="95"/>
      <c r="V24" s="80">
        <f t="shared" si="13"/>
        <v>1</v>
      </c>
      <c r="W24" s="83">
        <f t="shared" si="14"/>
        <v>0</v>
      </c>
      <c r="X24" s="41">
        <f t="shared" si="15"/>
        <v>0</v>
      </c>
      <c r="Y24" s="42">
        <f t="shared" si="16"/>
        <v>0</v>
      </c>
      <c r="Z24" s="89"/>
      <c r="AA24" s="211"/>
      <c r="AB24" s="212"/>
      <c r="AC24" s="212"/>
      <c r="AD24" s="212"/>
      <c r="AE24" s="212"/>
      <c r="AF24" s="215"/>
    </row>
    <row r="25" spans="1:32">
      <c r="A25" s="513">
        <v>20.07</v>
      </c>
      <c r="B25" s="517" t="s">
        <v>69</v>
      </c>
      <c r="C25" s="516">
        <f>'PMOC Profl Infl Adj'!AI25</f>
        <v>0</v>
      </c>
      <c r="D25" s="96"/>
      <c r="E25" s="793">
        <v>0</v>
      </c>
      <c r="F25" s="794">
        <v>0</v>
      </c>
      <c r="G25" s="795">
        <f t="shared" si="1"/>
        <v>0</v>
      </c>
      <c r="H25" s="793">
        <v>0</v>
      </c>
      <c r="I25" s="794">
        <v>0</v>
      </c>
      <c r="J25" s="795">
        <f t="shared" si="2"/>
        <v>0</v>
      </c>
      <c r="K25" s="793">
        <v>0</v>
      </c>
      <c r="L25" s="794">
        <v>0</v>
      </c>
      <c r="M25" s="795">
        <f t="shared" si="3"/>
        <v>0</v>
      </c>
      <c r="N25" s="793">
        <v>0</v>
      </c>
      <c r="O25" s="794">
        <v>0</v>
      </c>
      <c r="P25" s="795">
        <f t="shared" si="4"/>
        <v>0</v>
      </c>
      <c r="Q25" s="793">
        <v>0</v>
      </c>
      <c r="R25" s="794">
        <v>0</v>
      </c>
      <c r="S25" s="795">
        <f t="shared" si="11"/>
        <v>0</v>
      </c>
      <c r="T25" s="780"/>
      <c r="U25" s="95"/>
      <c r="V25" s="87">
        <f t="shared" si="13"/>
        <v>1</v>
      </c>
      <c r="W25" s="84">
        <f t="shared" si="14"/>
        <v>0</v>
      </c>
      <c r="X25" s="43">
        <f t="shared" si="15"/>
        <v>0</v>
      </c>
      <c r="Y25" s="44">
        <f t="shared" si="16"/>
        <v>0</v>
      </c>
      <c r="Z25" s="89"/>
      <c r="AA25" s="211"/>
      <c r="AB25" s="212"/>
      <c r="AC25" s="212"/>
      <c r="AD25" s="212"/>
      <c r="AE25" s="212"/>
      <c r="AF25" s="215"/>
    </row>
    <row r="26" spans="1:32">
      <c r="A26" s="513" t="s">
        <v>168</v>
      </c>
      <c r="B26" s="517"/>
      <c r="C26" s="307"/>
      <c r="D26" s="2"/>
      <c r="E26" s="796">
        <v>0</v>
      </c>
      <c r="F26" s="797">
        <v>0</v>
      </c>
      <c r="G26" s="798">
        <f>SUM(E26:F26)+RA_global_rqts_adj</f>
        <v>0</v>
      </c>
      <c r="H26" s="796">
        <v>0</v>
      </c>
      <c r="I26" s="797">
        <v>0</v>
      </c>
      <c r="J26" s="798">
        <f>SUM(H26:I26)+RA_global_dsgn_adj</f>
        <v>0</v>
      </c>
      <c r="K26" s="796">
        <v>0</v>
      </c>
      <c r="L26" s="797">
        <v>0</v>
      </c>
      <c r="M26" s="798">
        <f>SUM(K26:L26)+RA_global_mkt_adj</f>
        <v>0</v>
      </c>
      <c r="N26" s="796">
        <v>0</v>
      </c>
      <c r="O26" s="797">
        <v>0</v>
      </c>
      <c r="P26" s="798">
        <f>SUM(N26:O26)+RA_global_constr_adj</f>
        <v>0</v>
      </c>
      <c r="Q26" s="796">
        <v>0</v>
      </c>
      <c r="R26" s="797">
        <v>0</v>
      </c>
      <c r="S26" s="799">
        <f>SUM(Q26:R26)</f>
        <v>0</v>
      </c>
      <c r="T26" s="780"/>
      <c r="U26" s="94"/>
      <c r="V26" s="39"/>
      <c r="W26" s="38"/>
      <c r="X26" s="38"/>
      <c r="Y26" s="52"/>
      <c r="Z26" s="89"/>
      <c r="AA26" s="211"/>
      <c r="AB26" s="212"/>
      <c r="AC26" s="212"/>
      <c r="AD26" s="212"/>
      <c r="AE26" s="212"/>
      <c r="AF26" s="215"/>
    </row>
    <row r="27" spans="1:32">
      <c r="A27" s="513">
        <v>30.01</v>
      </c>
      <c r="B27" s="517" t="s">
        <v>28</v>
      </c>
      <c r="C27" s="514">
        <f>'PMOC Profl Infl Adj'!AI27</f>
        <v>0</v>
      </c>
      <c r="D27" s="96"/>
      <c r="E27" s="787">
        <v>0</v>
      </c>
      <c r="F27" s="788">
        <v>0</v>
      </c>
      <c r="G27" s="789">
        <f t="shared" si="1"/>
        <v>0</v>
      </c>
      <c r="H27" s="787">
        <v>0</v>
      </c>
      <c r="I27" s="788">
        <v>0</v>
      </c>
      <c r="J27" s="789">
        <f t="shared" si="2"/>
        <v>0</v>
      </c>
      <c r="K27" s="787">
        <v>0</v>
      </c>
      <c r="L27" s="788">
        <v>0</v>
      </c>
      <c r="M27" s="789">
        <f t="shared" si="3"/>
        <v>0</v>
      </c>
      <c r="N27" s="787">
        <v>0</v>
      </c>
      <c r="O27" s="788">
        <v>0</v>
      </c>
      <c r="P27" s="789">
        <f t="shared" si="4"/>
        <v>0</v>
      </c>
      <c r="Q27" s="787">
        <v>0</v>
      </c>
      <c r="R27" s="788">
        <v>0</v>
      </c>
      <c r="S27" s="789">
        <f t="shared" si="11"/>
        <v>0</v>
      </c>
      <c r="T27" s="780"/>
      <c r="U27" s="95"/>
      <c r="V27" s="85">
        <f>1+SUM(G27,J27,M27,P27,S27)</f>
        <v>1</v>
      </c>
      <c r="W27" s="81">
        <f>C27*V27</f>
        <v>0</v>
      </c>
      <c r="X27" s="82">
        <f>IF(C27,BETAINV(0.5,RA_alpha,RA_beta,C27,W27),0)</f>
        <v>0</v>
      </c>
      <c r="Y27" s="86">
        <f>((RA_alpha/(RA_alpha+RA_beta))*(W27-C27))+C27</f>
        <v>0</v>
      </c>
      <c r="Z27" s="89"/>
      <c r="AA27" s="211"/>
      <c r="AB27" s="212"/>
      <c r="AC27" s="212"/>
      <c r="AD27" s="212"/>
      <c r="AE27" s="212"/>
      <c r="AF27" s="215"/>
    </row>
    <row r="28" spans="1:32">
      <c r="A28" s="513">
        <v>30.02</v>
      </c>
      <c r="B28" s="517" t="s">
        <v>29</v>
      </c>
      <c r="C28" s="515">
        <f>'PMOC Profl Infl Adj'!AI28</f>
        <v>0</v>
      </c>
      <c r="D28" s="96"/>
      <c r="E28" s="790">
        <v>0</v>
      </c>
      <c r="F28" s="791">
        <v>0</v>
      </c>
      <c r="G28" s="792">
        <f t="shared" si="1"/>
        <v>0</v>
      </c>
      <c r="H28" s="790">
        <v>0</v>
      </c>
      <c r="I28" s="791">
        <v>0</v>
      </c>
      <c r="J28" s="792">
        <f t="shared" si="2"/>
        <v>0</v>
      </c>
      <c r="K28" s="790">
        <v>0</v>
      </c>
      <c r="L28" s="791">
        <v>0</v>
      </c>
      <c r="M28" s="792">
        <f t="shared" si="3"/>
        <v>0</v>
      </c>
      <c r="N28" s="790">
        <v>0</v>
      </c>
      <c r="O28" s="791">
        <v>0</v>
      </c>
      <c r="P28" s="792">
        <f t="shared" si="4"/>
        <v>0</v>
      </c>
      <c r="Q28" s="790">
        <v>0</v>
      </c>
      <c r="R28" s="791">
        <v>0</v>
      </c>
      <c r="S28" s="792">
        <f t="shared" si="11"/>
        <v>0</v>
      </c>
      <c r="T28" s="780"/>
      <c r="U28" s="95"/>
      <c r="V28" s="80">
        <f>1+SUM(G28,J28,M28,P28,S28)</f>
        <v>1</v>
      </c>
      <c r="W28" s="83">
        <f>C28*V28</f>
        <v>0</v>
      </c>
      <c r="X28" s="41">
        <f>IF(C28,BETAINV(0.5,RA_alpha,RA_beta,C28,W28),0)</f>
        <v>0</v>
      </c>
      <c r="Y28" s="42">
        <f>((RA_alpha/(RA_alpha+RA_beta))*(W28-C28))+C28</f>
        <v>0</v>
      </c>
      <c r="Z28" s="89"/>
      <c r="AA28" s="211"/>
      <c r="AB28" s="212"/>
      <c r="AC28" s="212"/>
      <c r="AD28" s="212"/>
      <c r="AE28" s="212"/>
      <c r="AF28" s="215"/>
    </row>
    <row r="29" spans="1:32">
      <c r="A29" s="513">
        <v>30.03</v>
      </c>
      <c r="B29" s="517" t="s">
        <v>30</v>
      </c>
      <c r="C29" s="515">
        <f>'PMOC Profl Infl Adj'!AI29</f>
        <v>0</v>
      </c>
      <c r="D29" s="96"/>
      <c r="E29" s="790">
        <v>0</v>
      </c>
      <c r="F29" s="791">
        <v>0</v>
      </c>
      <c r="G29" s="792">
        <f t="shared" si="1"/>
        <v>0</v>
      </c>
      <c r="H29" s="790">
        <v>0</v>
      </c>
      <c r="I29" s="791">
        <v>0</v>
      </c>
      <c r="J29" s="792">
        <f t="shared" si="2"/>
        <v>0</v>
      </c>
      <c r="K29" s="790">
        <v>0</v>
      </c>
      <c r="L29" s="791">
        <v>0</v>
      </c>
      <c r="M29" s="792">
        <f t="shared" si="3"/>
        <v>0</v>
      </c>
      <c r="N29" s="790">
        <v>0</v>
      </c>
      <c r="O29" s="791">
        <v>0</v>
      </c>
      <c r="P29" s="792">
        <f t="shared" si="4"/>
        <v>0</v>
      </c>
      <c r="Q29" s="790">
        <v>0</v>
      </c>
      <c r="R29" s="791">
        <v>0</v>
      </c>
      <c r="S29" s="792">
        <f t="shared" si="11"/>
        <v>0</v>
      </c>
      <c r="T29" s="780"/>
      <c r="U29" s="95"/>
      <c r="V29" s="80">
        <f>1+SUM(G29,J29,M29,P29,S29)</f>
        <v>1</v>
      </c>
      <c r="W29" s="83">
        <f>C29*V29</f>
        <v>0</v>
      </c>
      <c r="X29" s="41">
        <f>IF(C29,BETAINV(0.5,RA_alpha,RA_beta,C29,W29),0)</f>
        <v>0</v>
      </c>
      <c r="Y29" s="42">
        <f>((RA_alpha/(RA_alpha+RA_beta))*(W29-C29))+C29</f>
        <v>0</v>
      </c>
      <c r="Z29" s="89"/>
      <c r="AA29" s="211"/>
      <c r="AB29" s="212"/>
      <c r="AC29" s="212"/>
      <c r="AD29" s="212"/>
      <c r="AE29" s="212"/>
      <c r="AF29" s="215"/>
    </row>
    <row r="30" spans="1:32">
      <c r="A30" s="513">
        <v>30.04</v>
      </c>
      <c r="B30" s="517" t="s">
        <v>31</v>
      </c>
      <c r="C30" s="515">
        <f>'PMOC Profl Infl Adj'!AI30</f>
        <v>0</v>
      </c>
      <c r="D30" s="96"/>
      <c r="E30" s="790">
        <v>0</v>
      </c>
      <c r="F30" s="791">
        <v>0</v>
      </c>
      <c r="G30" s="792">
        <f t="shared" si="1"/>
        <v>0</v>
      </c>
      <c r="H30" s="790">
        <v>0</v>
      </c>
      <c r="I30" s="791">
        <v>0</v>
      </c>
      <c r="J30" s="792">
        <f t="shared" si="2"/>
        <v>0</v>
      </c>
      <c r="K30" s="790">
        <v>0</v>
      </c>
      <c r="L30" s="791">
        <v>0</v>
      </c>
      <c r="M30" s="792">
        <f t="shared" si="3"/>
        <v>0</v>
      </c>
      <c r="N30" s="790">
        <v>0</v>
      </c>
      <c r="O30" s="791">
        <v>0</v>
      </c>
      <c r="P30" s="792">
        <f t="shared" si="4"/>
        <v>0</v>
      </c>
      <c r="Q30" s="790">
        <v>0</v>
      </c>
      <c r="R30" s="791">
        <v>0</v>
      </c>
      <c r="S30" s="792">
        <f t="shared" si="11"/>
        <v>0</v>
      </c>
      <c r="T30" s="780"/>
      <c r="U30" s="95"/>
      <c r="V30" s="80">
        <f>1+SUM(G30,J30,M30,P30,S30)</f>
        <v>1</v>
      </c>
      <c r="W30" s="83">
        <f>C30*V30</f>
        <v>0</v>
      </c>
      <c r="X30" s="41">
        <f>IF(C30,BETAINV(0.5,RA_alpha,RA_beta,C30,W30),0)</f>
        <v>0</v>
      </c>
      <c r="Y30" s="42">
        <f>((RA_alpha/(RA_alpha+RA_beta))*(W30-C30))+C30</f>
        <v>0</v>
      </c>
      <c r="Z30" s="89"/>
      <c r="AA30" s="211"/>
      <c r="AB30" s="212"/>
      <c r="AC30" s="212"/>
      <c r="AD30" s="212"/>
      <c r="AE30" s="212"/>
      <c r="AF30" s="215"/>
    </row>
    <row r="31" spans="1:32">
      <c r="A31" s="513">
        <v>30.05</v>
      </c>
      <c r="B31" s="517" t="s">
        <v>32</v>
      </c>
      <c r="C31" s="516">
        <f>'PMOC Profl Infl Adj'!AI31</f>
        <v>0</v>
      </c>
      <c r="D31" s="96"/>
      <c r="E31" s="793">
        <v>0</v>
      </c>
      <c r="F31" s="794">
        <v>0</v>
      </c>
      <c r="G31" s="795">
        <f t="shared" si="1"/>
        <v>0</v>
      </c>
      <c r="H31" s="793">
        <v>0</v>
      </c>
      <c r="I31" s="794">
        <v>0</v>
      </c>
      <c r="J31" s="795">
        <f t="shared" si="2"/>
        <v>0</v>
      </c>
      <c r="K31" s="793">
        <v>0</v>
      </c>
      <c r="L31" s="794">
        <v>0</v>
      </c>
      <c r="M31" s="795">
        <f t="shared" si="3"/>
        <v>0</v>
      </c>
      <c r="N31" s="793">
        <v>0</v>
      </c>
      <c r="O31" s="794">
        <v>0</v>
      </c>
      <c r="P31" s="795">
        <f t="shared" si="4"/>
        <v>0</v>
      </c>
      <c r="Q31" s="793">
        <v>0</v>
      </c>
      <c r="R31" s="794">
        <v>0</v>
      </c>
      <c r="S31" s="795">
        <f t="shared" si="11"/>
        <v>0</v>
      </c>
      <c r="T31" s="780"/>
      <c r="U31" s="95"/>
      <c r="V31" s="87">
        <f>1+SUM(G31,J31,M31,P31,S31)</f>
        <v>1</v>
      </c>
      <c r="W31" s="84">
        <f>C31*V31</f>
        <v>0</v>
      </c>
      <c r="X31" s="43">
        <f>IF(C31,BETAINV(0.5,RA_alpha,RA_beta,C31,W31),0)</f>
        <v>0</v>
      </c>
      <c r="Y31" s="44">
        <f>((RA_alpha/(RA_alpha+RA_beta))*(W31-C31))+C31</f>
        <v>0</v>
      </c>
      <c r="Z31" s="89"/>
      <c r="AA31" s="211"/>
      <c r="AB31" s="212"/>
      <c r="AC31" s="212"/>
      <c r="AD31" s="212"/>
      <c r="AE31" s="212"/>
      <c r="AF31" s="215"/>
    </row>
    <row r="32" spans="1:32">
      <c r="A32" s="513" t="s">
        <v>169</v>
      </c>
      <c r="B32" s="517"/>
      <c r="C32" s="307"/>
      <c r="D32" s="2"/>
      <c r="E32" s="796">
        <v>0</v>
      </c>
      <c r="F32" s="797">
        <v>0</v>
      </c>
      <c r="G32" s="798">
        <f>SUM(E32:F32)+RA_global_rqts_adj</f>
        <v>0</v>
      </c>
      <c r="H32" s="796">
        <v>0</v>
      </c>
      <c r="I32" s="797">
        <v>0</v>
      </c>
      <c r="J32" s="798">
        <f>SUM(H32:I32)+RA_global_dsgn_adj</f>
        <v>0</v>
      </c>
      <c r="K32" s="796">
        <v>0</v>
      </c>
      <c r="L32" s="797">
        <v>0</v>
      </c>
      <c r="M32" s="798">
        <f>SUM(K32:L32)+RA_global_mkt_adj</f>
        <v>0</v>
      </c>
      <c r="N32" s="796">
        <v>0</v>
      </c>
      <c r="O32" s="797">
        <v>0</v>
      </c>
      <c r="P32" s="798">
        <f>SUM(N32:O32)+RA_global_constr_adj</f>
        <v>0</v>
      </c>
      <c r="Q32" s="796">
        <v>0</v>
      </c>
      <c r="R32" s="797">
        <v>0</v>
      </c>
      <c r="S32" s="799">
        <f>SUM(Q32:R32)</f>
        <v>0</v>
      </c>
      <c r="T32" s="780"/>
      <c r="U32" s="94"/>
      <c r="V32" s="39"/>
      <c r="W32" s="38"/>
      <c r="X32" s="38"/>
      <c r="Y32" s="52"/>
      <c r="Z32" s="89"/>
      <c r="AA32" s="211"/>
      <c r="AB32" s="212"/>
      <c r="AC32" s="212"/>
      <c r="AD32" s="212"/>
      <c r="AE32" s="212"/>
      <c r="AF32" s="215"/>
    </row>
    <row r="33" spans="1:32">
      <c r="A33" s="513">
        <v>40.01</v>
      </c>
      <c r="B33" s="517" t="s">
        <v>33</v>
      </c>
      <c r="C33" s="514">
        <f>'PMOC Profl Infl Adj'!AI33</f>
        <v>0</v>
      </c>
      <c r="D33" s="96"/>
      <c r="E33" s="787">
        <v>0</v>
      </c>
      <c r="F33" s="788">
        <v>0</v>
      </c>
      <c r="G33" s="789">
        <f t="shared" si="1"/>
        <v>0</v>
      </c>
      <c r="H33" s="787">
        <v>0</v>
      </c>
      <c r="I33" s="788">
        <v>0</v>
      </c>
      <c r="J33" s="789">
        <f t="shared" si="2"/>
        <v>0</v>
      </c>
      <c r="K33" s="787">
        <v>0</v>
      </c>
      <c r="L33" s="788">
        <v>0</v>
      </c>
      <c r="M33" s="789">
        <f t="shared" si="3"/>
        <v>0</v>
      </c>
      <c r="N33" s="787">
        <v>0</v>
      </c>
      <c r="O33" s="788">
        <v>0</v>
      </c>
      <c r="P33" s="789">
        <f t="shared" si="4"/>
        <v>0</v>
      </c>
      <c r="Q33" s="787">
        <v>0</v>
      </c>
      <c r="R33" s="788">
        <v>0</v>
      </c>
      <c r="S33" s="789">
        <f t="shared" si="11"/>
        <v>0</v>
      </c>
      <c r="T33" s="780"/>
      <c r="U33" s="95"/>
      <c r="V33" s="85">
        <f t="shared" ref="V33:V40" si="17">1+SUM(G33,J33,M33,P33,S33)</f>
        <v>1</v>
      </c>
      <c r="W33" s="81">
        <f t="shared" ref="W33:W40" si="18">C33*V33</f>
        <v>0</v>
      </c>
      <c r="X33" s="82">
        <f t="shared" ref="X33:X40" si="19">IF(C33,BETAINV(0.5,RA_alpha,RA_beta,C33,W33),0)</f>
        <v>0</v>
      </c>
      <c r="Y33" s="86">
        <f t="shared" ref="Y33:Y40" si="20">((RA_alpha/(RA_alpha+RA_beta))*(W33-C33))+C33</f>
        <v>0</v>
      </c>
      <c r="Z33" s="89"/>
      <c r="AA33" s="211"/>
      <c r="AB33" s="212"/>
      <c r="AC33" s="212"/>
      <c r="AD33" s="212"/>
      <c r="AE33" s="212"/>
      <c r="AF33" s="215"/>
    </row>
    <row r="34" spans="1:32">
      <c r="A34" s="513">
        <v>40.020000000000003</v>
      </c>
      <c r="B34" s="517" t="s">
        <v>34</v>
      </c>
      <c r="C34" s="515">
        <f>'PMOC Profl Infl Adj'!AI34</f>
        <v>0</v>
      </c>
      <c r="D34" s="96"/>
      <c r="E34" s="790">
        <v>0</v>
      </c>
      <c r="F34" s="791">
        <v>0</v>
      </c>
      <c r="G34" s="792">
        <f t="shared" si="1"/>
        <v>0</v>
      </c>
      <c r="H34" s="790">
        <v>0</v>
      </c>
      <c r="I34" s="791">
        <v>0</v>
      </c>
      <c r="J34" s="792">
        <f t="shared" si="2"/>
        <v>0</v>
      </c>
      <c r="K34" s="790">
        <v>0</v>
      </c>
      <c r="L34" s="791">
        <v>0</v>
      </c>
      <c r="M34" s="792">
        <f t="shared" si="3"/>
        <v>0</v>
      </c>
      <c r="N34" s="790">
        <v>0</v>
      </c>
      <c r="O34" s="791">
        <v>0</v>
      </c>
      <c r="P34" s="792">
        <f t="shared" si="4"/>
        <v>0</v>
      </c>
      <c r="Q34" s="790">
        <v>0</v>
      </c>
      <c r="R34" s="791">
        <v>0</v>
      </c>
      <c r="S34" s="792">
        <f t="shared" si="11"/>
        <v>0</v>
      </c>
      <c r="T34" s="780"/>
      <c r="U34" s="95"/>
      <c r="V34" s="80">
        <f t="shared" si="17"/>
        <v>1</v>
      </c>
      <c r="W34" s="83">
        <f t="shared" si="18"/>
        <v>0</v>
      </c>
      <c r="X34" s="41">
        <f t="shared" si="19"/>
        <v>0</v>
      </c>
      <c r="Y34" s="42">
        <f t="shared" si="20"/>
        <v>0</v>
      </c>
      <c r="Z34" s="89"/>
      <c r="AA34" s="211"/>
      <c r="AB34" s="212"/>
      <c r="AC34" s="212"/>
      <c r="AD34" s="212"/>
      <c r="AE34" s="212"/>
      <c r="AF34" s="215"/>
    </row>
    <row r="35" spans="1:32">
      <c r="A35" s="513">
        <v>40.03</v>
      </c>
      <c r="B35" s="517" t="s">
        <v>35</v>
      </c>
      <c r="C35" s="515">
        <f>'PMOC Profl Infl Adj'!AI35</f>
        <v>0</v>
      </c>
      <c r="D35" s="96"/>
      <c r="E35" s="790">
        <v>0</v>
      </c>
      <c r="F35" s="791">
        <v>0</v>
      </c>
      <c r="G35" s="792">
        <f t="shared" si="1"/>
        <v>0</v>
      </c>
      <c r="H35" s="790">
        <v>0</v>
      </c>
      <c r="I35" s="791">
        <v>0</v>
      </c>
      <c r="J35" s="792">
        <f t="shared" si="2"/>
        <v>0</v>
      </c>
      <c r="K35" s="790">
        <v>0</v>
      </c>
      <c r="L35" s="791">
        <v>0</v>
      </c>
      <c r="M35" s="792">
        <f t="shared" si="3"/>
        <v>0</v>
      </c>
      <c r="N35" s="790">
        <v>0</v>
      </c>
      <c r="O35" s="791">
        <v>0</v>
      </c>
      <c r="P35" s="792">
        <f t="shared" si="4"/>
        <v>0</v>
      </c>
      <c r="Q35" s="790">
        <v>0</v>
      </c>
      <c r="R35" s="791">
        <v>0</v>
      </c>
      <c r="S35" s="792">
        <f t="shared" si="11"/>
        <v>0</v>
      </c>
      <c r="T35" s="780"/>
      <c r="U35" s="95"/>
      <c r="V35" s="80">
        <f t="shared" si="17"/>
        <v>1</v>
      </c>
      <c r="W35" s="83">
        <f t="shared" si="18"/>
        <v>0</v>
      </c>
      <c r="X35" s="41">
        <f t="shared" si="19"/>
        <v>0</v>
      </c>
      <c r="Y35" s="42">
        <f t="shared" si="20"/>
        <v>0</v>
      </c>
      <c r="Z35" s="89"/>
      <c r="AA35" s="211"/>
      <c r="AB35" s="212"/>
      <c r="AC35" s="212"/>
      <c r="AD35" s="212"/>
      <c r="AE35" s="212"/>
      <c r="AF35" s="215"/>
    </row>
    <row r="36" spans="1:32">
      <c r="A36" s="513">
        <v>40.04</v>
      </c>
      <c r="B36" s="517" t="s">
        <v>36</v>
      </c>
      <c r="C36" s="515">
        <f>'PMOC Profl Infl Adj'!AI36</f>
        <v>0</v>
      </c>
      <c r="D36" s="96"/>
      <c r="E36" s="790">
        <v>0</v>
      </c>
      <c r="F36" s="791">
        <v>0</v>
      </c>
      <c r="G36" s="792">
        <f t="shared" si="1"/>
        <v>0</v>
      </c>
      <c r="H36" s="790">
        <v>0</v>
      </c>
      <c r="I36" s="791">
        <v>0</v>
      </c>
      <c r="J36" s="792">
        <f t="shared" si="2"/>
        <v>0</v>
      </c>
      <c r="K36" s="790">
        <v>0</v>
      </c>
      <c r="L36" s="791">
        <v>0</v>
      </c>
      <c r="M36" s="792">
        <f t="shared" si="3"/>
        <v>0</v>
      </c>
      <c r="N36" s="790">
        <v>0</v>
      </c>
      <c r="O36" s="791">
        <v>0</v>
      </c>
      <c r="P36" s="792">
        <f t="shared" si="4"/>
        <v>0</v>
      </c>
      <c r="Q36" s="790">
        <v>0</v>
      </c>
      <c r="R36" s="791">
        <v>0</v>
      </c>
      <c r="S36" s="792">
        <f t="shared" si="11"/>
        <v>0</v>
      </c>
      <c r="T36" s="780"/>
      <c r="U36" s="95"/>
      <c r="V36" s="80">
        <f t="shared" si="17"/>
        <v>1</v>
      </c>
      <c r="W36" s="83">
        <f t="shared" si="18"/>
        <v>0</v>
      </c>
      <c r="X36" s="41">
        <f t="shared" si="19"/>
        <v>0</v>
      </c>
      <c r="Y36" s="42">
        <f t="shared" si="20"/>
        <v>0</v>
      </c>
      <c r="Z36" s="89"/>
      <c r="AA36" s="211"/>
      <c r="AB36" s="212"/>
      <c r="AC36" s="212"/>
      <c r="AD36" s="212"/>
      <c r="AE36" s="212"/>
      <c r="AF36" s="215"/>
    </row>
    <row r="37" spans="1:32">
      <c r="A37" s="513">
        <v>40.049999999999997</v>
      </c>
      <c r="B37" s="517" t="s">
        <v>37</v>
      </c>
      <c r="C37" s="515">
        <f>'PMOC Profl Infl Adj'!AI37</f>
        <v>0</v>
      </c>
      <c r="D37" s="96"/>
      <c r="E37" s="790">
        <v>0</v>
      </c>
      <c r="F37" s="791">
        <v>0</v>
      </c>
      <c r="G37" s="792">
        <f t="shared" si="1"/>
        <v>0</v>
      </c>
      <c r="H37" s="790">
        <v>0</v>
      </c>
      <c r="I37" s="791">
        <v>0</v>
      </c>
      <c r="J37" s="792">
        <f t="shared" si="2"/>
        <v>0</v>
      </c>
      <c r="K37" s="790">
        <v>0</v>
      </c>
      <c r="L37" s="791">
        <v>0</v>
      </c>
      <c r="M37" s="792">
        <f t="shared" si="3"/>
        <v>0</v>
      </c>
      <c r="N37" s="790">
        <v>0</v>
      </c>
      <c r="O37" s="791">
        <v>0</v>
      </c>
      <c r="P37" s="792">
        <f t="shared" si="4"/>
        <v>0</v>
      </c>
      <c r="Q37" s="790">
        <v>0</v>
      </c>
      <c r="R37" s="791">
        <v>0</v>
      </c>
      <c r="S37" s="792">
        <f t="shared" si="11"/>
        <v>0</v>
      </c>
      <c r="T37" s="780"/>
      <c r="U37" s="95"/>
      <c r="V37" s="80">
        <f t="shared" si="17"/>
        <v>1</v>
      </c>
      <c r="W37" s="83">
        <f t="shared" si="18"/>
        <v>0</v>
      </c>
      <c r="X37" s="41">
        <f t="shared" si="19"/>
        <v>0</v>
      </c>
      <c r="Y37" s="42">
        <f t="shared" si="20"/>
        <v>0</v>
      </c>
      <c r="Z37" s="89"/>
      <c r="AA37" s="211"/>
      <c r="AB37" s="212"/>
      <c r="AC37" s="212"/>
      <c r="AD37" s="212"/>
      <c r="AE37" s="212"/>
      <c r="AF37" s="215"/>
    </row>
    <row r="38" spans="1:32">
      <c r="A38" s="513">
        <v>40.06</v>
      </c>
      <c r="B38" s="517" t="s">
        <v>38</v>
      </c>
      <c r="C38" s="515">
        <f>'PMOC Profl Infl Adj'!AI38</f>
        <v>0</v>
      </c>
      <c r="D38" s="96"/>
      <c r="E38" s="790">
        <v>0</v>
      </c>
      <c r="F38" s="791">
        <v>0</v>
      </c>
      <c r="G38" s="792">
        <f t="shared" si="1"/>
        <v>0</v>
      </c>
      <c r="H38" s="790">
        <v>0</v>
      </c>
      <c r="I38" s="791">
        <v>0</v>
      </c>
      <c r="J38" s="792">
        <f t="shared" si="2"/>
        <v>0</v>
      </c>
      <c r="K38" s="790">
        <v>0</v>
      </c>
      <c r="L38" s="791">
        <v>0</v>
      </c>
      <c r="M38" s="792">
        <f t="shared" si="3"/>
        <v>0</v>
      </c>
      <c r="N38" s="790">
        <v>0</v>
      </c>
      <c r="O38" s="791">
        <v>0</v>
      </c>
      <c r="P38" s="792">
        <f t="shared" si="4"/>
        <v>0</v>
      </c>
      <c r="Q38" s="790">
        <v>0</v>
      </c>
      <c r="R38" s="791">
        <v>0</v>
      </c>
      <c r="S38" s="792">
        <f t="shared" si="11"/>
        <v>0</v>
      </c>
      <c r="T38" s="780"/>
      <c r="U38" s="95"/>
      <c r="V38" s="80">
        <f t="shared" si="17"/>
        <v>1</v>
      </c>
      <c r="W38" s="83">
        <f t="shared" si="18"/>
        <v>0</v>
      </c>
      <c r="X38" s="41">
        <f t="shared" si="19"/>
        <v>0</v>
      </c>
      <c r="Y38" s="42">
        <f t="shared" si="20"/>
        <v>0</v>
      </c>
      <c r="Z38" s="89"/>
      <c r="AA38" s="211"/>
      <c r="AB38" s="212"/>
      <c r="AC38" s="212"/>
      <c r="AD38" s="212"/>
      <c r="AE38" s="212"/>
      <c r="AF38" s="215"/>
    </row>
    <row r="39" spans="1:32">
      <c r="A39" s="513">
        <v>40.07</v>
      </c>
      <c r="B39" s="517" t="s">
        <v>39</v>
      </c>
      <c r="C39" s="515">
        <f>'PMOC Profl Infl Adj'!AI39</f>
        <v>0</v>
      </c>
      <c r="D39" s="96"/>
      <c r="E39" s="790">
        <v>0</v>
      </c>
      <c r="F39" s="791">
        <v>0</v>
      </c>
      <c r="G39" s="792">
        <f t="shared" si="1"/>
        <v>0</v>
      </c>
      <c r="H39" s="790">
        <v>0</v>
      </c>
      <c r="I39" s="791">
        <v>0</v>
      </c>
      <c r="J39" s="792">
        <f t="shared" si="2"/>
        <v>0</v>
      </c>
      <c r="K39" s="790">
        <v>0</v>
      </c>
      <c r="L39" s="791">
        <v>0</v>
      </c>
      <c r="M39" s="792">
        <f t="shared" si="3"/>
        <v>0</v>
      </c>
      <c r="N39" s="790">
        <v>0</v>
      </c>
      <c r="O39" s="791">
        <v>0</v>
      </c>
      <c r="P39" s="792">
        <f t="shared" si="4"/>
        <v>0</v>
      </c>
      <c r="Q39" s="790">
        <v>0</v>
      </c>
      <c r="R39" s="791">
        <v>0</v>
      </c>
      <c r="S39" s="792">
        <f t="shared" si="11"/>
        <v>0</v>
      </c>
      <c r="T39" s="780"/>
      <c r="U39" s="95"/>
      <c r="V39" s="80">
        <f t="shared" si="17"/>
        <v>1</v>
      </c>
      <c r="W39" s="83">
        <f t="shared" si="18"/>
        <v>0</v>
      </c>
      <c r="X39" s="41">
        <f t="shared" si="19"/>
        <v>0</v>
      </c>
      <c r="Y39" s="42">
        <f t="shared" si="20"/>
        <v>0</v>
      </c>
      <c r="Z39" s="89"/>
      <c r="AA39" s="211"/>
      <c r="AB39" s="212"/>
      <c r="AC39" s="212"/>
      <c r="AD39" s="212"/>
      <c r="AE39" s="212"/>
      <c r="AF39" s="215"/>
    </row>
    <row r="40" spans="1:32">
      <c r="A40" s="513">
        <v>40.08</v>
      </c>
      <c r="B40" s="517" t="s">
        <v>40</v>
      </c>
      <c r="C40" s="516">
        <f>'PMOC Profl Infl Adj'!AI40</f>
        <v>0</v>
      </c>
      <c r="D40" s="96"/>
      <c r="E40" s="793">
        <v>0</v>
      </c>
      <c r="F40" s="794">
        <v>0</v>
      </c>
      <c r="G40" s="795">
        <f t="shared" si="1"/>
        <v>0</v>
      </c>
      <c r="H40" s="793">
        <v>0</v>
      </c>
      <c r="I40" s="794">
        <v>0</v>
      </c>
      <c r="J40" s="795">
        <f t="shared" si="2"/>
        <v>0</v>
      </c>
      <c r="K40" s="793">
        <v>0</v>
      </c>
      <c r="L40" s="794">
        <v>0</v>
      </c>
      <c r="M40" s="795">
        <f t="shared" si="3"/>
        <v>0</v>
      </c>
      <c r="N40" s="790">
        <v>0</v>
      </c>
      <c r="O40" s="791">
        <v>0</v>
      </c>
      <c r="P40" s="795">
        <f t="shared" si="4"/>
        <v>0</v>
      </c>
      <c r="Q40" s="790">
        <v>0</v>
      </c>
      <c r="R40" s="791">
        <v>0</v>
      </c>
      <c r="S40" s="795">
        <f t="shared" si="11"/>
        <v>0</v>
      </c>
      <c r="T40" s="780"/>
      <c r="U40" s="95"/>
      <c r="V40" s="87">
        <f t="shared" si="17"/>
        <v>1</v>
      </c>
      <c r="W40" s="84">
        <f t="shared" si="18"/>
        <v>0</v>
      </c>
      <c r="X40" s="43">
        <f t="shared" si="19"/>
        <v>0</v>
      </c>
      <c r="Y40" s="44">
        <f t="shared" si="20"/>
        <v>0</v>
      </c>
      <c r="Z40" s="89"/>
      <c r="AA40" s="211"/>
      <c r="AB40" s="212"/>
      <c r="AC40" s="212"/>
      <c r="AD40" s="212"/>
      <c r="AE40" s="212"/>
      <c r="AF40" s="215"/>
    </row>
    <row r="41" spans="1:32">
      <c r="A41" s="513" t="s">
        <v>170</v>
      </c>
      <c r="B41" s="517"/>
      <c r="C41" s="307"/>
      <c r="D41" s="2"/>
      <c r="E41" s="796">
        <v>0</v>
      </c>
      <c r="F41" s="797">
        <v>0</v>
      </c>
      <c r="G41" s="798">
        <f>SUM(E41:F41)+RA_global_rqts_adj</f>
        <v>0</v>
      </c>
      <c r="H41" s="796">
        <v>0</v>
      </c>
      <c r="I41" s="797">
        <v>0</v>
      </c>
      <c r="J41" s="798">
        <f>SUM(H41:I41)+RA_global_dsgn_adj</f>
        <v>0</v>
      </c>
      <c r="K41" s="796">
        <v>0</v>
      </c>
      <c r="L41" s="797">
        <v>0</v>
      </c>
      <c r="M41" s="798">
        <f>SUM(K41:L41)+RA_global_mkt_adj</f>
        <v>0</v>
      </c>
      <c r="N41" s="796">
        <v>0</v>
      </c>
      <c r="O41" s="797">
        <v>0</v>
      </c>
      <c r="P41" s="798">
        <f>SUM(N41:O41)+RA_global_constr_adj</f>
        <v>0</v>
      </c>
      <c r="Q41" s="796">
        <v>0</v>
      </c>
      <c r="R41" s="797">
        <v>0</v>
      </c>
      <c r="S41" s="799">
        <f>SUM(Q41:R41)</f>
        <v>0</v>
      </c>
      <c r="T41" s="780"/>
      <c r="U41" s="94"/>
      <c r="V41" s="39"/>
      <c r="W41" s="38"/>
      <c r="X41" s="38"/>
      <c r="Y41" s="52"/>
      <c r="Z41" s="89"/>
      <c r="AA41" s="211"/>
      <c r="AB41" s="212"/>
      <c r="AC41" s="212"/>
      <c r="AD41" s="212"/>
      <c r="AE41" s="212"/>
      <c r="AF41" s="215"/>
    </row>
    <row r="42" spans="1:32">
      <c r="A42" s="513">
        <v>50.01</v>
      </c>
      <c r="B42" s="517" t="s">
        <v>41</v>
      </c>
      <c r="C42" s="514">
        <f>'PMOC Profl Infl Adj'!AI42</f>
        <v>0</v>
      </c>
      <c r="D42" s="96"/>
      <c r="E42" s="787">
        <v>0</v>
      </c>
      <c r="F42" s="788">
        <v>0</v>
      </c>
      <c r="G42" s="789">
        <f t="shared" si="1"/>
        <v>0</v>
      </c>
      <c r="H42" s="787">
        <v>0</v>
      </c>
      <c r="I42" s="800">
        <v>0</v>
      </c>
      <c r="J42" s="789">
        <f t="shared" si="2"/>
        <v>0</v>
      </c>
      <c r="K42" s="787">
        <v>0</v>
      </c>
      <c r="L42" s="800">
        <v>0</v>
      </c>
      <c r="M42" s="789">
        <f t="shared" si="3"/>
        <v>0</v>
      </c>
      <c r="N42" s="787">
        <v>0</v>
      </c>
      <c r="O42" s="800">
        <v>0</v>
      </c>
      <c r="P42" s="789">
        <f t="shared" si="4"/>
        <v>0</v>
      </c>
      <c r="Q42" s="787">
        <v>0</v>
      </c>
      <c r="R42" s="800">
        <v>0</v>
      </c>
      <c r="S42" s="789">
        <f t="shared" si="11"/>
        <v>0</v>
      </c>
      <c r="T42" s="780"/>
      <c r="U42" s="95"/>
      <c r="V42" s="85">
        <f t="shared" ref="V42:V48" si="21">1+SUM(G42,J42,M42,P42,S42)</f>
        <v>1</v>
      </c>
      <c r="W42" s="81">
        <f t="shared" ref="W42:W48" si="22">C42*V42</f>
        <v>0</v>
      </c>
      <c r="X42" s="82">
        <f t="shared" ref="X42:X48" si="23">IF(C42,BETAINV(0.5,RA_alpha,RA_beta,C42,W42),0)</f>
        <v>0</v>
      </c>
      <c r="Y42" s="86">
        <f t="shared" ref="Y42:Y48" si="24">((RA_alpha/(RA_alpha+RA_beta))*(W42-C42))+C42</f>
        <v>0</v>
      </c>
      <c r="Z42" s="89"/>
      <c r="AA42" s="211"/>
      <c r="AB42" s="212"/>
      <c r="AC42" s="212"/>
      <c r="AD42" s="212"/>
      <c r="AE42" s="212"/>
      <c r="AF42" s="215"/>
    </row>
    <row r="43" spans="1:32">
      <c r="A43" s="513">
        <v>50.02</v>
      </c>
      <c r="B43" s="517" t="s">
        <v>42</v>
      </c>
      <c r="C43" s="515">
        <f>'PMOC Profl Infl Adj'!AI43</f>
        <v>0</v>
      </c>
      <c r="D43" s="96"/>
      <c r="E43" s="790">
        <v>0</v>
      </c>
      <c r="F43" s="791">
        <v>0</v>
      </c>
      <c r="G43" s="792">
        <f t="shared" si="1"/>
        <v>0</v>
      </c>
      <c r="H43" s="790">
        <v>0</v>
      </c>
      <c r="I43" s="801">
        <v>0</v>
      </c>
      <c r="J43" s="792">
        <f t="shared" si="2"/>
        <v>0</v>
      </c>
      <c r="K43" s="790">
        <v>0</v>
      </c>
      <c r="L43" s="801">
        <v>0</v>
      </c>
      <c r="M43" s="792">
        <f t="shared" si="3"/>
        <v>0</v>
      </c>
      <c r="N43" s="790">
        <v>0</v>
      </c>
      <c r="O43" s="801">
        <v>0</v>
      </c>
      <c r="P43" s="792">
        <f t="shared" si="4"/>
        <v>0</v>
      </c>
      <c r="Q43" s="790">
        <v>0</v>
      </c>
      <c r="R43" s="801">
        <v>0</v>
      </c>
      <c r="S43" s="792">
        <f t="shared" si="11"/>
        <v>0</v>
      </c>
      <c r="T43" s="780"/>
      <c r="U43" s="95"/>
      <c r="V43" s="80">
        <f t="shared" si="21"/>
        <v>1</v>
      </c>
      <c r="W43" s="83">
        <f t="shared" si="22"/>
        <v>0</v>
      </c>
      <c r="X43" s="41">
        <f t="shared" si="23"/>
        <v>0</v>
      </c>
      <c r="Y43" s="42">
        <f t="shared" si="24"/>
        <v>0</v>
      </c>
      <c r="Z43" s="89"/>
      <c r="AA43" s="211"/>
      <c r="AB43" s="212"/>
      <c r="AC43" s="212"/>
      <c r="AD43" s="212"/>
      <c r="AE43" s="212"/>
      <c r="AF43" s="215"/>
    </row>
    <row r="44" spans="1:32">
      <c r="A44" s="513">
        <v>50.03</v>
      </c>
      <c r="B44" s="517" t="s">
        <v>43</v>
      </c>
      <c r="C44" s="515">
        <f>'PMOC Profl Infl Adj'!AI44</f>
        <v>0</v>
      </c>
      <c r="D44" s="96"/>
      <c r="E44" s="790">
        <v>0</v>
      </c>
      <c r="F44" s="791">
        <v>0</v>
      </c>
      <c r="G44" s="792">
        <f t="shared" si="1"/>
        <v>0</v>
      </c>
      <c r="H44" s="790">
        <v>0</v>
      </c>
      <c r="I44" s="801">
        <v>0</v>
      </c>
      <c r="J44" s="792">
        <f t="shared" si="2"/>
        <v>0</v>
      </c>
      <c r="K44" s="790">
        <v>0</v>
      </c>
      <c r="L44" s="801">
        <v>0</v>
      </c>
      <c r="M44" s="792">
        <f t="shared" si="3"/>
        <v>0</v>
      </c>
      <c r="N44" s="790">
        <v>0</v>
      </c>
      <c r="O44" s="801">
        <v>0</v>
      </c>
      <c r="P44" s="792">
        <f t="shared" si="4"/>
        <v>0</v>
      </c>
      <c r="Q44" s="790">
        <v>0</v>
      </c>
      <c r="R44" s="801">
        <v>0</v>
      </c>
      <c r="S44" s="792">
        <f t="shared" si="11"/>
        <v>0</v>
      </c>
      <c r="T44" s="780"/>
      <c r="U44" s="95"/>
      <c r="V44" s="80">
        <f t="shared" si="21"/>
        <v>1</v>
      </c>
      <c r="W44" s="83">
        <f t="shared" si="22"/>
        <v>0</v>
      </c>
      <c r="X44" s="41">
        <f t="shared" si="23"/>
        <v>0</v>
      </c>
      <c r="Y44" s="42">
        <f t="shared" si="24"/>
        <v>0</v>
      </c>
      <c r="Z44" s="89"/>
      <c r="AA44" s="211"/>
      <c r="AB44" s="212"/>
      <c r="AC44" s="212"/>
      <c r="AD44" s="212"/>
      <c r="AE44" s="212"/>
      <c r="AF44" s="215"/>
    </row>
    <row r="45" spans="1:32">
      <c r="A45" s="513">
        <v>50.04</v>
      </c>
      <c r="B45" s="517" t="s">
        <v>44</v>
      </c>
      <c r="C45" s="515">
        <f>'PMOC Profl Infl Adj'!AI45</f>
        <v>0</v>
      </c>
      <c r="D45" s="96"/>
      <c r="E45" s="790">
        <v>0</v>
      </c>
      <c r="F45" s="791">
        <v>0</v>
      </c>
      <c r="G45" s="792">
        <f t="shared" si="1"/>
        <v>0</v>
      </c>
      <c r="H45" s="790">
        <v>0</v>
      </c>
      <c r="I45" s="801">
        <v>0</v>
      </c>
      <c r="J45" s="792">
        <f t="shared" si="2"/>
        <v>0</v>
      </c>
      <c r="K45" s="790">
        <v>0</v>
      </c>
      <c r="L45" s="801">
        <v>0</v>
      </c>
      <c r="M45" s="792">
        <f t="shared" si="3"/>
        <v>0</v>
      </c>
      <c r="N45" s="790">
        <v>0</v>
      </c>
      <c r="O45" s="801">
        <v>0</v>
      </c>
      <c r="P45" s="792">
        <f t="shared" si="4"/>
        <v>0</v>
      </c>
      <c r="Q45" s="790">
        <v>0</v>
      </c>
      <c r="R45" s="801">
        <v>0</v>
      </c>
      <c r="S45" s="792">
        <f t="shared" si="11"/>
        <v>0</v>
      </c>
      <c r="T45" s="780"/>
      <c r="U45" s="95"/>
      <c r="V45" s="80">
        <f t="shared" si="21"/>
        <v>1</v>
      </c>
      <c r="W45" s="83">
        <f t="shared" si="22"/>
        <v>0</v>
      </c>
      <c r="X45" s="41">
        <f t="shared" si="23"/>
        <v>0</v>
      </c>
      <c r="Y45" s="42">
        <f t="shared" si="24"/>
        <v>0</v>
      </c>
      <c r="Z45" s="89"/>
      <c r="AA45" s="211"/>
      <c r="AB45" s="212"/>
      <c r="AC45" s="212"/>
      <c r="AD45" s="212"/>
      <c r="AE45" s="212"/>
      <c r="AF45" s="215"/>
    </row>
    <row r="46" spans="1:32">
      <c r="A46" s="513">
        <v>50.05</v>
      </c>
      <c r="B46" s="517" t="s">
        <v>45</v>
      </c>
      <c r="C46" s="515">
        <f>'PMOC Profl Infl Adj'!AI46</f>
        <v>0</v>
      </c>
      <c r="D46" s="96"/>
      <c r="E46" s="790">
        <v>0</v>
      </c>
      <c r="F46" s="791">
        <v>0</v>
      </c>
      <c r="G46" s="792">
        <f t="shared" si="1"/>
        <v>0</v>
      </c>
      <c r="H46" s="790">
        <v>0</v>
      </c>
      <c r="I46" s="801">
        <v>0</v>
      </c>
      <c r="J46" s="792">
        <f t="shared" si="2"/>
        <v>0</v>
      </c>
      <c r="K46" s="790">
        <v>0</v>
      </c>
      <c r="L46" s="801">
        <v>0</v>
      </c>
      <c r="M46" s="792">
        <f t="shared" si="3"/>
        <v>0</v>
      </c>
      <c r="N46" s="790">
        <v>0</v>
      </c>
      <c r="O46" s="801">
        <v>0</v>
      </c>
      <c r="P46" s="792">
        <f t="shared" si="4"/>
        <v>0</v>
      </c>
      <c r="Q46" s="790">
        <v>0</v>
      </c>
      <c r="R46" s="801">
        <v>0</v>
      </c>
      <c r="S46" s="792">
        <f t="shared" si="11"/>
        <v>0</v>
      </c>
      <c r="T46" s="780"/>
      <c r="U46" s="95"/>
      <c r="V46" s="80">
        <f t="shared" si="21"/>
        <v>1</v>
      </c>
      <c r="W46" s="83">
        <f t="shared" si="22"/>
        <v>0</v>
      </c>
      <c r="X46" s="41">
        <f t="shared" si="23"/>
        <v>0</v>
      </c>
      <c r="Y46" s="42">
        <f t="shared" si="24"/>
        <v>0</v>
      </c>
      <c r="Z46" s="89"/>
      <c r="AA46" s="211"/>
      <c r="AB46" s="212"/>
      <c r="AC46" s="212"/>
      <c r="AD46" s="212"/>
      <c r="AE46" s="212"/>
      <c r="AF46" s="215"/>
    </row>
    <row r="47" spans="1:32">
      <c r="A47" s="513">
        <v>50.06</v>
      </c>
      <c r="B47" s="517" t="s">
        <v>46</v>
      </c>
      <c r="C47" s="515">
        <f>'PMOC Profl Infl Adj'!AI47</f>
        <v>0</v>
      </c>
      <c r="D47" s="96"/>
      <c r="E47" s="790">
        <v>0</v>
      </c>
      <c r="F47" s="791">
        <v>0</v>
      </c>
      <c r="G47" s="792">
        <f t="shared" si="1"/>
        <v>0</v>
      </c>
      <c r="H47" s="790">
        <v>0</v>
      </c>
      <c r="I47" s="801">
        <v>0</v>
      </c>
      <c r="J47" s="792">
        <f t="shared" si="2"/>
        <v>0</v>
      </c>
      <c r="K47" s="790">
        <v>0</v>
      </c>
      <c r="L47" s="801">
        <v>0</v>
      </c>
      <c r="M47" s="792">
        <f t="shared" si="3"/>
        <v>0</v>
      </c>
      <c r="N47" s="790">
        <v>0</v>
      </c>
      <c r="O47" s="801">
        <v>0</v>
      </c>
      <c r="P47" s="792">
        <f t="shared" si="4"/>
        <v>0</v>
      </c>
      <c r="Q47" s="790">
        <v>0</v>
      </c>
      <c r="R47" s="801">
        <v>0</v>
      </c>
      <c r="S47" s="792">
        <f t="shared" si="11"/>
        <v>0</v>
      </c>
      <c r="T47" s="780"/>
      <c r="U47" s="95"/>
      <c r="V47" s="80">
        <f t="shared" si="21"/>
        <v>1</v>
      </c>
      <c r="W47" s="83">
        <f t="shared" si="22"/>
        <v>0</v>
      </c>
      <c r="X47" s="41">
        <f t="shared" si="23"/>
        <v>0</v>
      </c>
      <c r="Y47" s="42">
        <f t="shared" si="24"/>
        <v>0</v>
      </c>
      <c r="Z47" s="89"/>
      <c r="AA47" s="211"/>
      <c r="AB47" s="212"/>
      <c r="AC47" s="212"/>
      <c r="AD47" s="212"/>
      <c r="AE47" s="212"/>
      <c r="AF47" s="215"/>
    </row>
    <row r="48" spans="1:32" ht="13.5" thickBot="1">
      <c r="A48" s="513">
        <v>50.07</v>
      </c>
      <c r="B48" s="517" t="s">
        <v>47</v>
      </c>
      <c r="C48" s="516">
        <f>'PMOC Profl Infl Adj'!AI48</f>
        <v>0</v>
      </c>
      <c r="D48" s="96"/>
      <c r="E48" s="790">
        <v>0</v>
      </c>
      <c r="F48" s="791">
        <v>0</v>
      </c>
      <c r="G48" s="792">
        <f t="shared" si="1"/>
        <v>0</v>
      </c>
      <c r="H48" s="809">
        <v>0</v>
      </c>
      <c r="I48" s="801">
        <v>0</v>
      </c>
      <c r="J48" s="792">
        <f t="shared" si="2"/>
        <v>0</v>
      </c>
      <c r="K48" s="809">
        <v>0</v>
      </c>
      <c r="L48" s="801">
        <v>0</v>
      </c>
      <c r="M48" s="792">
        <f t="shared" si="3"/>
        <v>0</v>
      </c>
      <c r="N48" s="809">
        <v>0</v>
      </c>
      <c r="O48" s="801">
        <v>0</v>
      </c>
      <c r="P48" s="792">
        <f t="shared" si="4"/>
        <v>0</v>
      </c>
      <c r="Q48" s="809">
        <v>0</v>
      </c>
      <c r="R48" s="801">
        <v>0</v>
      </c>
      <c r="S48" s="792">
        <f t="shared" si="11"/>
        <v>0</v>
      </c>
      <c r="T48" s="780"/>
      <c r="U48" s="95"/>
      <c r="V48" s="87">
        <f t="shared" si="21"/>
        <v>1</v>
      </c>
      <c r="W48" s="84">
        <f t="shared" si="22"/>
        <v>0</v>
      </c>
      <c r="X48" s="43">
        <f t="shared" si="23"/>
        <v>0</v>
      </c>
      <c r="Y48" s="44">
        <f t="shared" si="24"/>
        <v>0</v>
      </c>
      <c r="Z48" s="89"/>
      <c r="AA48" s="211"/>
      <c r="AB48" s="212"/>
      <c r="AC48" s="212"/>
      <c r="AD48" s="212"/>
      <c r="AE48" s="212"/>
      <c r="AF48" s="215"/>
    </row>
    <row r="49" spans="1:32" ht="15">
      <c r="A49" s="513"/>
      <c r="B49" s="517"/>
      <c r="C49" s="307"/>
      <c r="D49" s="2"/>
      <c r="E49" s="1114" t="s">
        <v>543</v>
      </c>
      <c r="F49" s="1115"/>
      <c r="G49" s="1115"/>
      <c r="H49" s="1115"/>
      <c r="I49" s="1115"/>
      <c r="J49" s="1115"/>
      <c r="K49" s="1115"/>
      <c r="L49" s="1115"/>
      <c r="M49" s="1115"/>
      <c r="N49" s="1115"/>
      <c r="O49" s="1115"/>
      <c r="P49" s="1115"/>
      <c r="Q49" s="1115"/>
      <c r="R49" s="1115"/>
      <c r="S49" s="1116"/>
      <c r="T49" s="813"/>
      <c r="U49" s="94"/>
      <c r="V49" s="39"/>
      <c r="W49" s="38"/>
      <c r="X49" s="38"/>
      <c r="Y49" s="52"/>
      <c r="Z49" s="89"/>
      <c r="AA49" s="211"/>
      <c r="AB49" s="212"/>
      <c r="AC49" s="212"/>
      <c r="AD49" s="212"/>
      <c r="AE49" s="212"/>
      <c r="AF49" s="215"/>
    </row>
    <row r="50" spans="1:32" ht="13.5" thickBot="1">
      <c r="A50" s="513" t="s">
        <v>172</v>
      </c>
      <c r="B50" s="517"/>
      <c r="C50" s="307"/>
      <c r="D50" s="2"/>
      <c r="E50" s="1119" t="s">
        <v>544</v>
      </c>
      <c r="F50" s="1097"/>
      <c r="G50" s="1097"/>
      <c r="H50" s="1097"/>
      <c r="I50" s="1097"/>
      <c r="J50" s="1097"/>
      <c r="K50" s="1097"/>
      <c r="L50" s="1097"/>
      <c r="M50" s="1097"/>
      <c r="N50" s="1097"/>
      <c r="O50" s="1097"/>
      <c r="P50" s="1097"/>
      <c r="Q50" s="1097"/>
      <c r="R50" s="1097"/>
      <c r="S50" s="1098"/>
      <c r="T50" s="813"/>
      <c r="U50" s="94"/>
      <c r="V50" s="39"/>
      <c r="W50" s="38"/>
      <c r="X50" s="38"/>
      <c r="Y50" s="52"/>
      <c r="Z50" s="89"/>
      <c r="AA50" s="211"/>
      <c r="AB50" s="212"/>
      <c r="AC50" s="212"/>
      <c r="AD50" s="212"/>
      <c r="AE50" s="212"/>
      <c r="AF50" s="215"/>
    </row>
    <row r="51" spans="1:32">
      <c r="A51" s="513">
        <v>60.01</v>
      </c>
      <c r="B51" s="517" t="s">
        <v>48</v>
      </c>
      <c r="C51" s="514">
        <f>'PMOC Profl Infl Adj'!AI51</f>
        <v>0</v>
      </c>
      <c r="D51" s="96"/>
      <c r="E51" s="790">
        <v>0</v>
      </c>
      <c r="F51" s="807">
        <v>0</v>
      </c>
      <c r="G51" s="808">
        <f>SUM(E51:F51)</f>
        <v>0</v>
      </c>
      <c r="H51" s="790">
        <v>0</v>
      </c>
      <c r="I51" s="807">
        <v>0</v>
      </c>
      <c r="J51" s="808">
        <f>SUM(H51:I51)</f>
        <v>0</v>
      </c>
      <c r="K51" s="790">
        <v>0</v>
      </c>
      <c r="L51" s="807">
        <v>0</v>
      </c>
      <c r="M51" s="808">
        <f>SUM(K51:L51)</f>
        <v>0</v>
      </c>
      <c r="N51" s="790">
        <v>0</v>
      </c>
      <c r="O51" s="807">
        <v>0</v>
      </c>
      <c r="P51" s="808">
        <f>SUM(N51:O51)</f>
        <v>0</v>
      </c>
      <c r="Q51" s="791">
        <v>0</v>
      </c>
      <c r="R51" s="807">
        <v>0</v>
      </c>
      <c r="S51" s="816">
        <f>SUM(Q51:R51)</f>
        <v>0</v>
      </c>
      <c r="T51" s="780"/>
      <c r="U51" s="95"/>
      <c r="V51" s="85">
        <f t="shared" ref="V51:V52" si="25">1+SUM(G51,J51,M51,P51,S51)</f>
        <v>1</v>
      </c>
      <c r="W51" s="81">
        <f>C51*V51</f>
        <v>0</v>
      </c>
      <c r="X51" s="82">
        <f>IF(C51,BETAINV(0.5,RA_alpha,RA_beta,C51,W51),0)</f>
        <v>0</v>
      </c>
      <c r="Y51" s="86">
        <f>((RA_alpha/(RA_alpha+RA_beta))*(W51-C51))+C51</f>
        <v>0</v>
      </c>
      <c r="Z51" s="89"/>
      <c r="AA51" s="211"/>
      <c r="AB51" s="212"/>
      <c r="AC51" s="212"/>
      <c r="AD51" s="212"/>
      <c r="AE51" s="212"/>
      <c r="AF51" s="215"/>
    </row>
    <row r="52" spans="1:32">
      <c r="A52" s="513">
        <v>60.02</v>
      </c>
      <c r="B52" s="517" t="s">
        <v>49</v>
      </c>
      <c r="C52" s="516">
        <f>'PMOC Profl Infl Adj'!AI52</f>
        <v>0</v>
      </c>
      <c r="D52" s="96"/>
      <c r="E52" s="793">
        <v>0</v>
      </c>
      <c r="F52" s="805">
        <v>0</v>
      </c>
      <c r="G52" s="806">
        <f>SUM(E52:F52)</f>
        <v>0</v>
      </c>
      <c r="H52" s="793">
        <v>0</v>
      </c>
      <c r="I52" s="805">
        <v>0</v>
      </c>
      <c r="J52" s="806">
        <f>SUM(H52:I52)</f>
        <v>0</v>
      </c>
      <c r="K52" s="793">
        <v>0</v>
      </c>
      <c r="L52" s="805">
        <v>0</v>
      </c>
      <c r="M52" s="806">
        <f>SUM(K52:L52)</f>
        <v>0</v>
      </c>
      <c r="N52" s="793">
        <v>0</v>
      </c>
      <c r="O52" s="805">
        <v>0</v>
      </c>
      <c r="P52" s="806">
        <f>SUM(N52:O52)</f>
        <v>0</v>
      </c>
      <c r="Q52" s="794">
        <v>0</v>
      </c>
      <c r="R52" s="805">
        <v>0</v>
      </c>
      <c r="S52" s="817">
        <f>SUM(Q52:R52)</f>
        <v>0</v>
      </c>
      <c r="T52" s="780"/>
      <c r="U52" s="95"/>
      <c r="V52" s="87">
        <f t="shared" si="25"/>
        <v>1</v>
      </c>
      <c r="W52" s="84">
        <f>C52*V52</f>
        <v>0</v>
      </c>
      <c r="X52" s="43">
        <f>IF(C52,BETAINV(0.5,RA_alpha,RA_beta,C52,W52),0)</f>
        <v>0</v>
      </c>
      <c r="Y52" s="44">
        <f>((RA_alpha/(RA_alpha+RA_beta))*(W52-C52))+C52</f>
        <v>0</v>
      </c>
      <c r="Z52" s="89"/>
      <c r="AA52" s="211"/>
      <c r="AB52" s="212"/>
      <c r="AC52" s="212"/>
      <c r="AD52" s="212"/>
      <c r="AE52" s="212"/>
      <c r="AF52" s="215"/>
    </row>
    <row r="53" spans="1:32">
      <c r="A53" s="513" t="s">
        <v>173</v>
      </c>
      <c r="B53" s="517"/>
      <c r="C53" s="307"/>
      <c r="D53" s="2"/>
      <c r="E53" s="796"/>
      <c r="F53" s="797"/>
      <c r="G53" s="798"/>
      <c r="H53" s="796"/>
      <c r="I53" s="797"/>
      <c r="J53" s="798"/>
      <c r="K53" s="796"/>
      <c r="L53" s="797"/>
      <c r="M53" s="798"/>
      <c r="N53" s="796"/>
      <c r="O53" s="797"/>
      <c r="P53" s="798"/>
      <c r="Q53" s="797"/>
      <c r="R53" s="797"/>
      <c r="S53" s="802"/>
      <c r="T53" s="780"/>
      <c r="U53" s="94"/>
      <c r="V53" s="39"/>
      <c r="W53" s="38"/>
      <c r="X53" s="38"/>
      <c r="Y53" s="52"/>
      <c r="Z53" s="89"/>
      <c r="AA53" s="211"/>
      <c r="AB53" s="212"/>
      <c r="AC53" s="212"/>
      <c r="AD53" s="212"/>
      <c r="AE53" s="212"/>
      <c r="AF53" s="215"/>
    </row>
    <row r="54" spans="1:32">
      <c r="A54" s="513">
        <v>70.010000000000005</v>
      </c>
      <c r="B54" s="517" t="s">
        <v>50</v>
      </c>
      <c r="C54" s="514">
        <f>'PMOC Profl Infl Adj'!AI54</f>
        <v>0</v>
      </c>
      <c r="D54" s="96"/>
      <c r="E54" s="787">
        <v>0</v>
      </c>
      <c r="F54" s="803">
        <v>0</v>
      </c>
      <c r="G54" s="804">
        <f t="shared" ref="G54:G60" si="26">SUM(E54:F54)</f>
        <v>0</v>
      </c>
      <c r="H54" s="787">
        <v>0</v>
      </c>
      <c r="I54" s="803">
        <v>0</v>
      </c>
      <c r="J54" s="804">
        <f t="shared" ref="J54:J60" si="27">SUM(H54:I54)</f>
        <v>0</v>
      </c>
      <c r="K54" s="787">
        <v>0</v>
      </c>
      <c r="L54" s="803">
        <v>0</v>
      </c>
      <c r="M54" s="804">
        <f>SUM(K54:L54)</f>
        <v>0</v>
      </c>
      <c r="N54" s="787">
        <v>0</v>
      </c>
      <c r="O54" s="803">
        <v>0</v>
      </c>
      <c r="P54" s="804">
        <f t="shared" ref="P54:P60" si="28">SUM(N54:O54)</f>
        <v>0</v>
      </c>
      <c r="Q54" s="788">
        <v>0</v>
      </c>
      <c r="R54" s="803">
        <v>0</v>
      </c>
      <c r="S54" s="818">
        <f t="shared" ref="S54:S60" si="29">SUM(Q54:R54)</f>
        <v>0</v>
      </c>
      <c r="T54" s="780"/>
      <c r="U54" s="95"/>
      <c r="V54" s="85">
        <f t="shared" ref="V54:V60" si="30">1+SUM(G54,J54,M54,P54,S54)</f>
        <v>1</v>
      </c>
      <c r="W54" s="81">
        <f t="shared" ref="W54:W60" si="31">C54*V54</f>
        <v>0</v>
      </c>
      <c r="X54" s="82">
        <f t="shared" ref="X54:X60" si="32">IF(C54,BETAINV(0.5,RA_alpha,RA_beta,C54,W54),0)</f>
        <v>0</v>
      </c>
      <c r="Y54" s="86">
        <f t="shared" ref="Y54:Y60" si="33">((RA_alpha/(RA_alpha+RA_beta))*(W54-C54))+C54</f>
        <v>0</v>
      </c>
      <c r="Z54" s="89"/>
      <c r="AA54" s="211"/>
      <c r="AB54" s="212"/>
      <c r="AC54" s="212"/>
      <c r="AD54" s="212"/>
      <c r="AE54" s="212"/>
      <c r="AF54" s="215"/>
    </row>
    <row r="55" spans="1:32">
      <c r="A55" s="513">
        <v>70.02</v>
      </c>
      <c r="B55" s="517" t="s">
        <v>51</v>
      </c>
      <c r="C55" s="515">
        <f>'PMOC Profl Infl Adj'!AI55</f>
        <v>0</v>
      </c>
      <c r="D55" s="96"/>
      <c r="E55" s="790">
        <v>0</v>
      </c>
      <c r="F55" s="807">
        <v>0</v>
      </c>
      <c r="G55" s="808">
        <f t="shared" si="26"/>
        <v>0</v>
      </c>
      <c r="H55" s="790">
        <v>0</v>
      </c>
      <c r="I55" s="807">
        <v>0</v>
      </c>
      <c r="J55" s="808">
        <f t="shared" si="27"/>
        <v>0</v>
      </c>
      <c r="K55" s="790">
        <v>0</v>
      </c>
      <c r="L55" s="807">
        <v>0</v>
      </c>
      <c r="M55" s="808">
        <f t="shared" ref="M55:M60" si="34">SUM(K55:L55)</f>
        <v>0</v>
      </c>
      <c r="N55" s="790">
        <v>0</v>
      </c>
      <c r="O55" s="807">
        <v>0</v>
      </c>
      <c r="P55" s="808">
        <f t="shared" si="28"/>
        <v>0</v>
      </c>
      <c r="Q55" s="791">
        <v>0</v>
      </c>
      <c r="R55" s="807">
        <v>0</v>
      </c>
      <c r="S55" s="816">
        <f t="shared" si="29"/>
        <v>0</v>
      </c>
      <c r="T55" s="780"/>
      <c r="U55" s="95"/>
      <c r="V55" s="80">
        <f t="shared" si="30"/>
        <v>1</v>
      </c>
      <c r="W55" s="83">
        <f t="shared" si="31"/>
        <v>0</v>
      </c>
      <c r="X55" s="41">
        <f t="shared" si="32"/>
        <v>0</v>
      </c>
      <c r="Y55" s="42">
        <f t="shared" si="33"/>
        <v>0</v>
      </c>
      <c r="Z55" s="89"/>
      <c r="AA55" s="211"/>
      <c r="AB55" s="212"/>
      <c r="AC55" s="212"/>
      <c r="AD55" s="212"/>
      <c r="AE55" s="212"/>
      <c r="AF55" s="215"/>
    </row>
    <row r="56" spans="1:32">
      <c r="A56" s="513">
        <v>70.03</v>
      </c>
      <c r="B56" s="517" t="s">
        <v>52</v>
      </c>
      <c r="C56" s="515">
        <f>'PMOC Profl Infl Adj'!AI56</f>
        <v>0</v>
      </c>
      <c r="D56" s="96"/>
      <c r="E56" s="790">
        <v>0</v>
      </c>
      <c r="F56" s="807">
        <v>0</v>
      </c>
      <c r="G56" s="808">
        <f t="shared" si="26"/>
        <v>0</v>
      </c>
      <c r="H56" s="790">
        <v>0</v>
      </c>
      <c r="I56" s="807">
        <v>0</v>
      </c>
      <c r="J56" s="808">
        <f t="shared" si="27"/>
        <v>0</v>
      </c>
      <c r="K56" s="790">
        <v>0</v>
      </c>
      <c r="L56" s="807">
        <v>0</v>
      </c>
      <c r="M56" s="808">
        <f t="shared" si="34"/>
        <v>0</v>
      </c>
      <c r="N56" s="790">
        <v>0</v>
      </c>
      <c r="O56" s="807">
        <v>0</v>
      </c>
      <c r="P56" s="808">
        <f t="shared" si="28"/>
        <v>0</v>
      </c>
      <c r="Q56" s="791">
        <v>0</v>
      </c>
      <c r="R56" s="807">
        <v>0</v>
      </c>
      <c r="S56" s="816">
        <f t="shared" si="29"/>
        <v>0</v>
      </c>
      <c r="T56" s="780"/>
      <c r="U56" s="95"/>
      <c r="V56" s="80">
        <f t="shared" si="30"/>
        <v>1</v>
      </c>
      <c r="W56" s="83">
        <f t="shared" si="31"/>
        <v>0</v>
      </c>
      <c r="X56" s="41">
        <f t="shared" si="32"/>
        <v>0</v>
      </c>
      <c r="Y56" s="42">
        <f t="shared" si="33"/>
        <v>0</v>
      </c>
      <c r="Z56" s="89"/>
      <c r="AA56" s="211"/>
      <c r="AB56" s="212"/>
      <c r="AC56" s="212"/>
      <c r="AD56" s="212"/>
      <c r="AE56" s="212"/>
      <c r="AF56" s="215"/>
    </row>
    <row r="57" spans="1:32" ht="13.5" thickBot="1">
      <c r="A57" s="513">
        <v>70.040000000000006</v>
      </c>
      <c r="B57" s="517" t="s">
        <v>53</v>
      </c>
      <c r="C57" s="515">
        <f>'PMOC Profl Infl Adj'!AI57</f>
        <v>0</v>
      </c>
      <c r="D57" s="96"/>
      <c r="E57" s="790">
        <v>0</v>
      </c>
      <c r="F57" s="807">
        <v>0</v>
      </c>
      <c r="G57" s="808">
        <f t="shared" si="26"/>
        <v>0</v>
      </c>
      <c r="H57" s="790">
        <v>0</v>
      </c>
      <c r="I57" s="807">
        <v>0</v>
      </c>
      <c r="J57" s="808">
        <f t="shared" si="27"/>
        <v>0</v>
      </c>
      <c r="K57" s="790">
        <v>0</v>
      </c>
      <c r="L57" s="807">
        <v>0</v>
      </c>
      <c r="M57" s="808">
        <f t="shared" si="34"/>
        <v>0</v>
      </c>
      <c r="N57" s="790">
        <v>0</v>
      </c>
      <c r="O57" s="807">
        <v>0</v>
      </c>
      <c r="P57" s="808">
        <f t="shared" si="28"/>
        <v>0</v>
      </c>
      <c r="Q57" s="791">
        <v>0</v>
      </c>
      <c r="R57" s="807">
        <v>0</v>
      </c>
      <c r="S57" s="816">
        <f t="shared" si="29"/>
        <v>0</v>
      </c>
      <c r="T57" s="780"/>
      <c r="U57" s="95"/>
      <c r="V57" s="80">
        <f t="shared" si="30"/>
        <v>1</v>
      </c>
      <c r="W57" s="83">
        <f t="shared" si="31"/>
        <v>0</v>
      </c>
      <c r="X57" s="41">
        <f t="shared" si="32"/>
        <v>0</v>
      </c>
      <c r="Y57" s="42">
        <f t="shared" si="33"/>
        <v>0</v>
      </c>
      <c r="Z57" s="89"/>
      <c r="AA57" s="213"/>
      <c r="AB57" s="214"/>
      <c r="AC57" s="214"/>
      <c r="AD57" s="214"/>
      <c r="AE57" s="214"/>
      <c r="AF57" s="216"/>
    </row>
    <row r="58" spans="1:32">
      <c r="A58" s="513">
        <v>70.05</v>
      </c>
      <c r="B58" s="517" t="s">
        <v>54</v>
      </c>
      <c r="C58" s="515">
        <f>'PMOC Profl Infl Adj'!AI58</f>
        <v>0</v>
      </c>
      <c r="D58" s="96"/>
      <c r="E58" s="790">
        <v>0</v>
      </c>
      <c r="F58" s="807">
        <v>0</v>
      </c>
      <c r="G58" s="808">
        <f t="shared" si="26"/>
        <v>0</v>
      </c>
      <c r="H58" s="790">
        <v>0</v>
      </c>
      <c r="I58" s="807">
        <v>0</v>
      </c>
      <c r="J58" s="808">
        <f t="shared" si="27"/>
        <v>0</v>
      </c>
      <c r="K58" s="790">
        <v>0</v>
      </c>
      <c r="L58" s="807">
        <v>0</v>
      </c>
      <c r="M58" s="808">
        <f t="shared" si="34"/>
        <v>0</v>
      </c>
      <c r="N58" s="790">
        <v>0</v>
      </c>
      <c r="O58" s="807">
        <v>0</v>
      </c>
      <c r="P58" s="808">
        <f>SUM(N58:O58)</f>
        <v>0</v>
      </c>
      <c r="Q58" s="791">
        <v>0</v>
      </c>
      <c r="R58" s="807">
        <v>0</v>
      </c>
      <c r="S58" s="816">
        <f t="shared" si="29"/>
        <v>0</v>
      </c>
      <c r="T58" s="780"/>
      <c r="U58" s="95"/>
      <c r="V58" s="80">
        <f t="shared" si="30"/>
        <v>1</v>
      </c>
      <c r="W58" s="83">
        <f t="shared" si="31"/>
        <v>0</v>
      </c>
      <c r="X58" s="41">
        <f t="shared" si="32"/>
        <v>0</v>
      </c>
      <c r="Y58" s="42">
        <f t="shared" si="33"/>
        <v>0</v>
      </c>
      <c r="Z58" s="89"/>
    </row>
    <row r="59" spans="1:32">
      <c r="A59" s="513">
        <v>70.06</v>
      </c>
      <c r="B59" s="517" t="s">
        <v>55</v>
      </c>
      <c r="C59" s="515">
        <f>'PMOC Profl Infl Adj'!AI59</f>
        <v>0</v>
      </c>
      <c r="D59" s="96"/>
      <c r="E59" s="790">
        <v>0</v>
      </c>
      <c r="F59" s="807">
        <v>0</v>
      </c>
      <c r="G59" s="808">
        <f t="shared" si="26"/>
        <v>0</v>
      </c>
      <c r="H59" s="790">
        <v>0</v>
      </c>
      <c r="I59" s="807">
        <v>0</v>
      </c>
      <c r="J59" s="808">
        <f t="shared" si="27"/>
        <v>0</v>
      </c>
      <c r="K59" s="790">
        <v>0</v>
      </c>
      <c r="L59" s="807">
        <v>0</v>
      </c>
      <c r="M59" s="808">
        <f t="shared" si="34"/>
        <v>0</v>
      </c>
      <c r="N59" s="790">
        <v>0</v>
      </c>
      <c r="O59" s="807">
        <v>0</v>
      </c>
      <c r="P59" s="808">
        <f t="shared" si="28"/>
        <v>0</v>
      </c>
      <c r="Q59" s="791">
        <v>0</v>
      </c>
      <c r="R59" s="807">
        <v>0</v>
      </c>
      <c r="S59" s="816">
        <f t="shared" si="29"/>
        <v>0</v>
      </c>
      <c r="T59" s="780"/>
      <c r="U59" s="95"/>
      <c r="V59" s="80">
        <f t="shared" si="30"/>
        <v>1</v>
      </c>
      <c r="W59" s="83">
        <f t="shared" si="31"/>
        <v>0</v>
      </c>
      <c r="X59" s="41">
        <f t="shared" si="32"/>
        <v>0</v>
      </c>
      <c r="Y59" s="42">
        <f t="shared" si="33"/>
        <v>0</v>
      </c>
      <c r="Z59" s="89"/>
    </row>
    <row r="60" spans="1:32">
      <c r="A60" s="513">
        <v>70.069999999999993</v>
      </c>
      <c r="B60" s="517" t="s">
        <v>56</v>
      </c>
      <c r="C60" s="516">
        <f>'PMOC Profl Infl Adj'!AI60</f>
        <v>0</v>
      </c>
      <c r="D60" s="96"/>
      <c r="E60" s="793">
        <v>0</v>
      </c>
      <c r="F60" s="805">
        <v>0</v>
      </c>
      <c r="G60" s="806">
        <f t="shared" si="26"/>
        <v>0</v>
      </c>
      <c r="H60" s="793">
        <v>0</v>
      </c>
      <c r="I60" s="805">
        <v>0</v>
      </c>
      <c r="J60" s="806">
        <f t="shared" si="27"/>
        <v>0</v>
      </c>
      <c r="K60" s="793">
        <v>0</v>
      </c>
      <c r="L60" s="805">
        <v>0</v>
      </c>
      <c r="M60" s="806">
        <f t="shared" si="34"/>
        <v>0</v>
      </c>
      <c r="N60" s="793">
        <v>0</v>
      </c>
      <c r="O60" s="805">
        <v>0</v>
      </c>
      <c r="P60" s="806">
        <f t="shared" si="28"/>
        <v>0</v>
      </c>
      <c r="Q60" s="794">
        <v>0</v>
      </c>
      <c r="R60" s="805">
        <v>0</v>
      </c>
      <c r="S60" s="817">
        <f t="shared" si="29"/>
        <v>0</v>
      </c>
      <c r="T60" s="780"/>
      <c r="U60" s="95"/>
      <c r="V60" s="87">
        <f t="shared" si="30"/>
        <v>1</v>
      </c>
      <c r="W60" s="84">
        <f t="shared" si="31"/>
        <v>0</v>
      </c>
      <c r="X60" s="43">
        <f t="shared" si="32"/>
        <v>0</v>
      </c>
      <c r="Y60" s="44">
        <f t="shared" si="33"/>
        <v>0</v>
      </c>
      <c r="Z60" s="89"/>
    </row>
    <row r="61" spans="1:32">
      <c r="A61" s="513" t="s">
        <v>174</v>
      </c>
      <c r="B61" s="517"/>
      <c r="C61" s="307"/>
      <c r="D61" s="2"/>
      <c r="E61" s="796"/>
      <c r="F61" s="797"/>
      <c r="G61" s="798"/>
      <c r="H61" s="796"/>
      <c r="I61" s="797"/>
      <c r="J61" s="798"/>
      <c r="K61" s="796"/>
      <c r="L61" s="797"/>
      <c r="M61" s="798"/>
      <c r="N61" s="796"/>
      <c r="O61" s="797"/>
      <c r="P61" s="798"/>
      <c r="Q61" s="797"/>
      <c r="R61" s="797"/>
      <c r="S61" s="802"/>
      <c r="T61" s="780"/>
      <c r="U61" s="94"/>
      <c r="V61" s="39"/>
      <c r="W61" s="38"/>
      <c r="X61" s="38"/>
      <c r="Y61" s="52"/>
      <c r="Z61" s="89"/>
    </row>
    <row r="62" spans="1:32">
      <c r="A62" s="513">
        <v>80.010000000000005</v>
      </c>
      <c r="B62" s="517" t="s">
        <v>143</v>
      </c>
      <c r="C62" s="514">
        <f>'PMOC Profl Infl Adj'!AI62</f>
        <v>0</v>
      </c>
      <c r="D62" s="96"/>
      <c r="E62" s="787">
        <v>0</v>
      </c>
      <c r="F62" s="803">
        <v>0</v>
      </c>
      <c r="G62" s="804">
        <f t="shared" ref="G62:G69" si="35">SUM(E62:F62)</f>
        <v>0</v>
      </c>
      <c r="H62" s="787">
        <v>0</v>
      </c>
      <c r="I62" s="803">
        <v>0</v>
      </c>
      <c r="J62" s="804">
        <f t="shared" ref="J62:J69" si="36">SUM(H62:I62)</f>
        <v>0</v>
      </c>
      <c r="K62" s="787">
        <v>0</v>
      </c>
      <c r="L62" s="803">
        <v>0</v>
      </c>
      <c r="M62" s="804">
        <f t="shared" ref="M62:M69" si="37">SUM(K62:L62)</f>
        <v>0</v>
      </c>
      <c r="N62" s="787">
        <v>0</v>
      </c>
      <c r="O62" s="803">
        <v>0</v>
      </c>
      <c r="P62" s="804">
        <f t="shared" ref="P62:P69" si="38">SUM(N62:O62)</f>
        <v>0</v>
      </c>
      <c r="Q62" s="788">
        <v>0</v>
      </c>
      <c r="R62" s="803">
        <v>0</v>
      </c>
      <c r="S62" s="818">
        <f t="shared" ref="S62:S69" si="39">SUM(Q62:R62)</f>
        <v>0</v>
      </c>
      <c r="T62" s="780"/>
      <c r="U62" s="95"/>
      <c r="V62" s="85">
        <f t="shared" ref="V62:V69" si="40">1+SUM(G62,J62,M62,P62,S62)</f>
        <v>1</v>
      </c>
      <c r="W62" s="81">
        <f t="shared" ref="W62:W69" si="41">C62*V62</f>
        <v>0</v>
      </c>
      <c r="X62" s="82">
        <f t="shared" ref="X62:X69" si="42">IF(C62,BETAINV(0.5,RA_alpha,RA_beta,C62,W62),0)</f>
        <v>0</v>
      </c>
      <c r="Y62" s="86">
        <f t="shared" ref="Y62:Y69" si="43">((RA_alpha/(RA_alpha+RA_beta))*(W62-C62))+C62</f>
        <v>0</v>
      </c>
      <c r="Z62" s="89"/>
    </row>
    <row r="63" spans="1:32">
      <c r="A63" s="513">
        <v>80.02</v>
      </c>
      <c r="B63" s="517" t="s">
        <v>175</v>
      </c>
      <c r="C63" s="515">
        <f>'PMOC Profl Infl Adj'!AI63</f>
        <v>0</v>
      </c>
      <c r="D63" s="96"/>
      <c r="E63" s="790">
        <v>0</v>
      </c>
      <c r="F63" s="807">
        <v>0</v>
      </c>
      <c r="G63" s="808">
        <f t="shared" si="35"/>
        <v>0</v>
      </c>
      <c r="H63" s="790">
        <v>0</v>
      </c>
      <c r="I63" s="807">
        <v>0</v>
      </c>
      <c r="J63" s="808">
        <f t="shared" si="36"/>
        <v>0</v>
      </c>
      <c r="K63" s="790">
        <v>0</v>
      </c>
      <c r="L63" s="807">
        <v>0</v>
      </c>
      <c r="M63" s="808">
        <f t="shared" si="37"/>
        <v>0</v>
      </c>
      <c r="N63" s="790">
        <v>0</v>
      </c>
      <c r="O63" s="807">
        <v>0</v>
      </c>
      <c r="P63" s="808">
        <f t="shared" si="38"/>
        <v>0</v>
      </c>
      <c r="Q63" s="791">
        <v>0</v>
      </c>
      <c r="R63" s="807">
        <v>0</v>
      </c>
      <c r="S63" s="816">
        <f t="shared" si="39"/>
        <v>0</v>
      </c>
      <c r="T63" s="780"/>
      <c r="U63" s="95"/>
      <c r="V63" s="80">
        <f t="shared" si="40"/>
        <v>1</v>
      </c>
      <c r="W63" s="83">
        <f t="shared" si="41"/>
        <v>0</v>
      </c>
      <c r="X63" s="41">
        <f t="shared" si="42"/>
        <v>0</v>
      </c>
      <c r="Y63" s="42">
        <f t="shared" si="43"/>
        <v>0</v>
      </c>
      <c r="Z63" s="89"/>
    </row>
    <row r="64" spans="1:32">
      <c r="A64" s="513">
        <v>80.03</v>
      </c>
      <c r="B64" s="517" t="s">
        <v>57</v>
      </c>
      <c r="C64" s="515">
        <f>'PMOC Profl Infl Adj'!AI64</f>
        <v>0</v>
      </c>
      <c r="D64" s="96"/>
      <c r="E64" s="790">
        <v>0</v>
      </c>
      <c r="F64" s="807">
        <v>0</v>
      </c>
      <c r="G64" s="808">
        <f t="shared" si="35"/>
        <v>0</v>
      </c>
      <c r="H64" s="790">
        <v>0</v>
      </c>
      <c r="I64" s="807">
        <v>0</v>
      </c>
      <c r="J64" s="808">
        <f t="shared" si="36"/>
        <v>0</v>
      </c>
      <c r="K64" s="790">
        <v>0</v>
      </c>
      <c r="L64" s="807">
        <v>0</v>
      </c>
      <c r="M64" s="808">
        <f t="shared" si="37"/>
        <v>0</v>
      </c>
      <c r="N64" s="790">
        <v>0</v>
      </c>
      <c r="O64" s="807">
        <v>0</v>
      </c>
      <c r="P64" s="808">
        <f t="shared" si="38"/>
        <v>0</v>
      </c>
      <c r="Q64" s="791">
        <v>0</v>
      </c>
      <c r="R64" s="807">
        <v>0</v>
      </c>
      <c r="S64" s="816">
        <f t="shared" si="39"/>
        <v>0</v>
      </c>
      <c r="T64" s="780"/>
      <c r="U64" s="95"/>
      <c r="V64" s="80">
        <f t="shared" si="40"/>
        <v>1</v>
      </c>
      <c r="W64" s="83">
        <f t="shared" si="41"/>
        <v>0</v>
      </c>
      <c r="X64" s="41">
        <f t="shared" si="42"/>
        <v>0</v>
      </c>
      <c r="Y64" s="42">
        <f t="shared" si="43"/>
        <v>0</v>
      </c>
      <c r="Z64" s="89"/>
    </row>
    <row r="65" spans="1:26">
      <c r="A65" s="513">
        <v>80.040000000000006</v>
      </c>
      <c r="B65" s="517" t="s">
        <v>58</v>
      </c>
      <c r="C65" s="515">
        <f>'PMOC Profl Infl Adj'!AI65</f>
        <v>0</v>
      </c>
      <c r="D65" s="96"/>
      <c r="E65" s="790">
        <v>0</v>
      </c>
      <c r="F65" s="807">
        <v>0</v>
      </c>
      <c r="G65" s="808">
        <f t="shared" si="35"/>
        <v>0</v>
      </c>
      <c r="H65" s="790">
        <v>0</v>
      </c>
      <c r="I65" s="807">
        <v>0</v>
      </c>
      <c r="J65" s="808">
        <f t="shared" si="36"/>
        <v>0</v>
      </c>
      <c r="K65" s="790">
        <v>0</v>
      </c>
      <c r="L65" s="807">
        <v>0</v>
      </c>
      <c r="M65" s="808">
        <f t="shared" si="37"/>
        <v>0</v>
      </c>
      <c r="N65" s="790">
        <v>0</v>
      </c>
      <c r="O65" s="807">
        <v>0</v>
      </c>
      <c r="P65" s="808">
        <f t="shared" si="38"/>
        <v>0</v>
      </c>
      <c r="Q65" s="791">
        <v>0</v>
      </c>
      <c r="R65" s="807">
        <v>0</v>
      </c>
      <c r="S65" s="816">
        <f t="shared" si="39"/>
        <v>0</v>
      </c>
      <c r="T65" s="780"/>
      <c r="U65" s="95"/>
      <c r="V65" s="80">
        <f t="shared" si="40"/>
        <v>1</v>
      </c>
      <c r="W65" s="83">
        <f t="shared" si="41"/>
        <v>0</v>
      </c>
      <c r="X65" s="41">
        <f t="shared" si="42"/>
        <v>0</v>
      </c>
      <c r="Y65" s="42">
        <f t="shared" si="43"/>
        <v>0</v>
      </c>
      <c r="Z65" s="89"/>
    </row>
    <row r="66" spans="1:26">
      <c r="A66" s="513">
        <v>80.05</v>
      </c>
      <c r="B66" s="517" t="s">
        <v>59</v>
      </c>
      <c r="C66" s="515">
        <f>'PMOC Profl Infl Adj'!AI66</f>
        <v>0</v>
      </c>
      <c r="D66" s="96"/>
      <c r="E66" s="790">
        <v>0</v>
      </c>
      <c r="F66" s="807">
        <v>0</v>
      </c>
      <c r="G66" s="808">
        <f t="shared" si="35"/>
        <v>0</v>
      </c>
      <c r="H66" s="790">
        <v>0</v>
      </c>
      <c r="I66" s="807">
        <v>0</v>
      </c>
      <c r="J66" s="808">
        <f t="shared" si="36"/>
        <v>0</v>
      </c>
      <c r="K66" s="790">
        <v>0</v>
      </c>
      <c r="L66" s="807">
        <v>0</v>
      </c>
      <c r="M66" s="808">
        <f t="shared" si="37"/>
        <v>0</v>
      </c>
      <c r="N66" s="790">
        <v>0</v>
      </c>
      <c r="O66" s="807">
        <v>0</v>
      </c>
      <c r="P66" s="808">
        <f t="shared" si="38"/>
        <v>0</v>
      </c>
      <c r="Q66" s="791">
        <v>0</v>
      </c>
      <c r="R66" s="807">
        <v>0</v>
      </c>
      <c r="S66" s="816">
        <f t="shared" si="39"/>
        <v>0</v>
      </c>
      <c r="T66" s="780"/>
      <c r="U66" s="95"/>
      <c r="V66" s="80">
        <f t="shared" si="40"/>
        <v>1</v>
      </c>
      <c r="W66" s="83">
        <f t="shared" si="41"/>
        <v>0</v>
      </c>
      <c r="X66" s="41">
        <f t="shared" si="42"/>
        <v>0</v>
      </c>
      <c r="Y66" s="42">
        <f t="shared" si="43"/>
        <v>0</v>
      </c>
      <c r="Z66" s="89"/>
    </row>
    <row r="67" spans="1:26">
      <c r="A67" s="513">
        <v>80.06</v>
      </c>
      <c r="B67" s="517" t="s">
        <v>60</v>
      </c>
      <c r="C67" s="515">
        <f>'PMOC Profl Infl Adj'!AI67</f>
        <v>0</v>
      </c>
      <c r="D67" s="96"/>
      <c r="E67" s="790">
        <v>0</v>
      </c>
      <c r="F67" s="807">
        <v>0</v>
      </c>
      <c r="G67" s="808">
        <f t="shared" si="35"/>
        <v>0</v>
      </c>
      <c r="H67" s="790">
        <v>0</v>
      </c>
      <c r="I67" s="807">
        <v>0</v>
      </c>
      <c r="J67" s="808">
        <f t="shared" si="36"/>
        <v>0</v>
      </c>
      <c r="K67" s="790">
        <v>0</v>
      </c>
      <c r="L67" s="807">
        <v>0</v>
      </c>
      <c r="M67" s="808">
        <f t="shared" si="37"/>
        <v>0</v>
      </c>
      <c r="N67" s="790">
        <v>0</v>
      </c>
      <c r="O67" s="807">
        <v>0</v>
      </c>
      <c r="P67" s="808">
        <f t="shared" si="38"/>
        <v>0</v>
      </c>
      <c r="Q67" s="791">
        <v>0</v>
      </c>
      <c r="R67" s="807">
        <v>0</v>
      </c>
      <c r="S67" s="816">
        <f t="shared" si="39"/>
        <v>0</v>
      </c>
      <c r="T67" s="780"/>
      <c r="U67" s="95"/>
      <c r="V67" s="80">
        <f t="shared" si="40"/>
        <v>1</v>
      </c>
      <c r="W67" s="83">
        <f t="shared" si="41"/>
        <v>0</v>
      </c>
      <c r="X67" s="41">
        <f t="shared" si="42"/>
        <v>0</v>
      </c>
      <c r="Y67" s="42">
        <f t="shared" si="43"/>
        <v>0</v>
      </c>
      <c r="Z67" s="89"/>
    </row>
    <row r="68" spans="1:26">
      <c r="A68" s="513">
        <v>80.069999999999993</v>
      </c>
      <c r="B68" s="517" t="s">
        <v>61</v>
      </c>
      <c r="C68" s="515">
        <f>'PMOC Profl Infl Adj'!AI68</f>
        <v>0</v>
      </c>
      <c r="D68" s="96"/>
      <c r="E68" s="790">
        <v>0</v>
      </c>
      <c r="F68" s="807">
        <v>0</v>
      </c>
      <c r="G68" s="808">
        <f t="shared" si="35"/>
        <v>0</v>
      </c>
      <c r="H68" s="790">
        <v>0</v>
      </c>
      <c r="I68" s="807">
        <v>0</v>
      </c>
      <c r="J68" s="808">
        <f t="shared" si="36"/>
        <v>0</v>
      </c>
      <c r="K68" s="790">
        <v>0</v>
      </c>
      <c r="L68" s="807">
        <v>0</v>
      </c>
      <c r="M68" s="808">
        <f t="shared" si="37"/>
        <v>0</v>
      </c>
      <c r="N68" s="790">
        <v>0</v>
      </c>
      <c r="O68" s="807">
        <v>0</v>
      </c>
      <c r="P68" s="808">
        <f t="shared" si="38"/>
        <v>0</v>
      </c>
      <c r="Q68" s="791">
        <v>0</v>
      </c>
      <c r="R68" s="807">
        <v>0</v>
      </c>
      <c r="S68" s="816">
        <f t="shared" si="39"/>
        <v>0</v>
      </c>
      <c r="T68" s="780"/>
      <c r="U68" s="95"/>
      <c r="V68" s="80">
        <f t="shared" si="40"/>
        <v>1</v>
      </c>
      <c r="W68" s="83">
        <f t="shared" si="41"/>
        <v>0</v>
      </c>
      <c r="X68" s="41">
        <f t="shared" si="42"/>
        <v>0</v>
      </c>
      <c r="Y68" s="42">
        <f t="shared" si="43"/>
        <v>0</v>
      </c>
      <c r="Z68" s="89"/>
    </row>
    <row r="69" spans="1:26" ht="13.5" thickBot="1">
      <c r="A69" s="513">
        <v>80.08</v>
      </c>
      <c r="B69" s="517" t="s">
        <v>62</v>
      </c>
      <c r="C69" s="516">
        <f>'PMOC Profl Infl Adj'!AI69</f>
        <v>0</v>
      </c>
      <c r="D69" s="96"/>
      <c r="E69" s="809">
        <v>0</v>
      </c>
      <c r="F69" s="810">
        <v>0</v>
      </c>
      <c r="G69" s="811">
        <f t="shared" si="35"/>
        <v>0</v>
      </c>
      <c r="H69" s="809">
        <v>0</v>
      </c>
      <c r="I69" s="810">
        <v>0</v>
      </c>
      <c r="J69" s="811">
        <f t="shared" si="36"/>
        <v>0</v>
      </c>
      <c r="K69" s="809">
        <v>0</v>
      </c>
      <c r="L69" s="810">
        <v>0</v>
      </c>
      <c r="M69" s="811">
        <f t="shared" si="37"/>
        <v>0</v>
      </c>
      <c r="N69" s="809">
        <v>0</v>
      </c>
      <c r="O69" s="810">
        <v>0</v>
      </c>
      <c r="P69" s="811">
        <f t="shared" si="38"/>
        <v>0</v>
      </c>
      <c r="Q69" s="812">
        <v>0</v>
      </c>
      <c r="R69" s="810">
        <v>0</v>
      </c>
      <c r="S69" s="819">
        <f t="shared" si="39"/>
        <v>0</v>
      </c>
      <c r="T69" s="781"/>
      <c r="U69" s="95"/>
      <c r="V69" s="87">
        <f t="shared" si="40"/>
        <v>1</v>
      </c>
      <c r="W69" s="84">
        <f t="shared" si="41"/>
        <v>0</v>
      </c>
      <c r="X69" s="43">
        <f t="shared" si="42"/>
        <v>0</v>
      </c>
      <c r="Y69" s="44">
        <f t="shared" si="43"/>
        <v>0</v>
      </c>
      <c r="Z69" s="89"/>
    </row>
    <row r="70" spans="1:26" ht="13.5" thickBot="1">
      <c r="A70" s="306"/>
      <c r="B70" s="509" t="s">
        <v>80</v>
      </c>
      <c r="C70" s="360">
        <f>SUM(C4:C69)</f>
        <v>0</v>
      </c>
      <c r="D70" s="96"/>
      <c r="E70" s="92"/>
      <c r="F70" s="92"/>
      <c r="G70" s="92"/>
      <c r="H70" s="92"/>
      <c r="I70" s="92"/>
      <c r="J70" s="92"/>
      <c r="K70" s="92"/>
      <c r="L70" s="92"/>
      <c r="M70" s="92"/>
      <c r="N70" s="92"/>
      <c r="O70" s="92"/>
      <c r="P70" s="92"/>
      <c r="Q70" s="92"/>
      <c r="R70" s="92"/>
      <c r="S70" s="92"/>
      <c r="T70" s="92"/>
      <c r="U70" s="92"/>
      <c r="V70" s="65">
        <f>IF(RA_lwrbnd,RA_uprbnd/RA_lwrbnd,0)</f>
        <v>0</v>
      </c>
      <c r="W70" s="45">
        <f>SUM(W4:W69)</f>
        <v>0</v>
      </c>
      <c r="X70" s="46">
        <f>SUM(X4:X69)</f>
        <v>0</v>
      </c>
      <c r="Y70" s="47">
        <f>SUM(Y4:Y69)</f>
        <v>0</v>
      </c>
      <c r="Z70" s="89"/>
    </row>
    <row r="71" spans="1:26" ht="13.5" thickBot="1">
      <c r="A71" s="359"/>
      <c r="B71" s="510"/>
      <c r="C71" s="365" t="s">
        <v>75</v>
      </c>
      <c r="D71" s="97"/>
      <c r="E71" s="91"/>
      <c r="F71" s="91"/>
      <c r="G71" s="91"/>
      <c r="H71" s="91"/>
      <c r="I71" s="91"/>
      <c r="J71" s="91"/>
      <c r="K71" s="91"/>
      <c r="L71" s="91"/>
      <c r="M71" s="91"/>
      <c r="N71" s="91"/>
      <c r="O71" s="91"/>
      <c r="P71" s="91"/>
      <c r="Q71" s="91"/>
      <c r="R71" s="91"/>
      <c r="S71" s="91"/>
      <c r="T71" s="91"/>
      <c r="U71" s="91"/>
      <c r="V71" s="227" t="s">
        <v>92</v>
      </c>
      <c r="W71" s="224" t="s">
        <v>76</v>
      </c>
      <c r="X71" s="224" t="s">
        <v>81</v>
      </c>
      <c r="Y71" s="63" t="s">
        <v>82</v>
      </c>
      <c r="Z71" s="89"/>
    </row>
    <row r="72" spans="1:26">
      <c r="A72" s="98"/>
      <c r="B72" s="91"/>
      <c r="C72" s="97"/>
      <c r="D72" s="97"/>
      <c r="E72" s="91"/>
      <c r="F72" s="91"/>
      <c r="G72" s="91"/>
      <c r="H72" s="91"/>
      <c r="I72" s="91"/>
      <c r="J72" s="91"/>
      <c r="K72" s="91"/>
      <c r="L72" s="91"/>
      <c r="M72" s="91"/>
      <c r="N72" s="91"/>
      <c r="O72" s="91"/>
      <c r="P72" s="91"/>
      <c r="Q72" s="91"/>
      <c r="R72" s="91"/>
      <c r="S72" s="91"/>
      <c r="T72" s="91"/>
      <c r="U72" s="91"/>
      <c r="V72" s="91"/>
      <c r="W72" s="91"/>
      <c r="X72" s="91"/>
      <c r="Y72" s="91"/>
      <c r="Z72" s="89"/>
    </row>
    <row r="73" spans="1:26">
      <c r="A73" s="98"/>
      <c r="B73" s="91"/>
      <c r="C73" s="97"/>
      <c r="D73" s="97"/>
      <c r="E73" s="91"/>
      <c r="F73" s="91"/>
      <c r="G73" s="91"/>
      <c r="H73" s="91"/>
      <c r="I73" s="91"/>
      <c r="J73" s="91"/>
      <c r="K73" s="91"/>
      <c r="L73" s="91"/>
      <c r="M73" s="91"/>
      <c r="N73" s="91"/>
      <c r="O73" s="91"/>
      <c r="P73" s="91"/>
      <c r="Q73" s="91"/>
      <c r="R73" s="91"/>
      <c r="S73" s="91"/>
      <c r="T73" s="91"/>
      <c r="U73" s="91"/>
      <c r="Z73" s="89"/>
    </row>
    <row r="74" spans="1:26" ht="13.5" thickBot="1">
      <c r="A74" s="98"/>
      <c r="B74" s="91"/>
      <c r="C74" s="97"/>
      <c r="D74" s="97"/>
      <c r="E74" s="91"/>
      <c r="F74" s="91"/>
      <c r="G74" s="91"/>
      <c r="H74" s="91"/>
      <c r="I74" s="91"/>
      <c r="J74" s="91"/>
      <c r="K74" s="91"/>
      <c r="L74" s="91"/>
      <c r="M74" s="91"/>
      <c r="N74" s="91"/>
      <c r="O74" s="91"/>
      <c r="P74" s="91"/>
      <c r="Q74" s="91"/>
      <c r="R74" s="91"/>
      <c r="S74" s="91"/>
      <c r="T74" s="91"/>
      <c r="U74" s="91"/>
      <c r="Z74" s="89"/>
    </row>
    <row r="75" spans="1:26">
      <c r="A75" s="98"/>
      <c r="B75" s="758" t="s">
        <v>88</v>
      </c>
      <c r="C75" s="759"/>
      <c r="D75" s="759"/>
      <c r="E75" s="759"/>
      <c r="F75" s="759"/>
      <c r="G75" s="602">
        <v>0</v>
      </c>
      <c r="H75" s="66"/>
      <c r="I75" s="66"/>
      <c r="J75" s="66"/>
      <c r="K75" s="66"/>
      <c r="L75" s="66"/>
      <c r="M75" s="66"/>
      <c r="N75" s="66"/>
      <c r="O75" s="66"/>
      <c r="P75" s="88"/>
      <c r="Q75" s="91"/>
      <c r="R75" s="91"/>
      <c r="S75" s="92"/>
      <c r="T75" s="825"/>
      <c r="U75" s="91"/>
      <c r="Z75" s="89"/>
    </row>
    <row r="76" spans="1:26">
      <c r="A76" s="98"/>
      <c r="B76" s="754" t="s">
        <v>89</v>
      </c>
      <c r="C76" s="755"/>
      <c r="D76" s="755"/>
      <c r="E76" s="755"/>
      <c r="F76" s="755"/>
      <c r="G76" s="755"/>
      <c r="H76" s="755"/>
      <c r="I76" s="755"/>
      <c r="J76" s="603">
        <v>0</v>
      </c>
      <c r="K76" s="33"/>
      <c r="L76" s="33"/>
      <c r="M76" s="33"/>
      <c r="N76" s="33"/>
      <c r="O76" s="33"/>
      <c r="P76" s="56"/>
      <c r="Q76" s="91"/>
      <c r="R76" s="91"/>
      <c r="S76" s="92"/>
      <c r="T76" s="780"/>
      <c r="U76" s="91"/>
      <c r="Z76" s="89"/>
    </row>
    <row r="77" spans="1:26">
      <c r="A77" s="98"/>
      <c r="B77" s="754" t="s">
        <v>90</v>
      </c>
      <c r="C77" s="755"/>
      <c r="D77" s="755"/>
      <c r="E77" s="755"/>
      <c r="F77" s="755"/>
      <c r="G77" s="755"/>
      <c r="H77" s="755"/>
      <c r="I77" s="755"/>
      <c r="J77" s="755"/>
      <c r="K77" s="755"/>
      <c r="L77" s="755"/>
      <c r="M77" s="603">
        <v>0</v>
      </c>
      <c r="N77" s="33"/>
      <c r="O77" s="33"/>
      <c r="P77" s="56"/>
      <c r="Q77" s="91"/>
      <c r="R77" s="91"/>
      <c r="S77" s="92"/>
      <c r="T77" s="780"/>
      <c r="U77" s="91"/>
      <c r="Z77" s="89"/>
    </row>
    <row r="78" spans="1:26" ht="13.5" thickBot="1">
      <c r="A78" s="98"/>
      <c r="B78" s="756" t="s">
        <v>91</v>
      </c>
      <c r="C78" s="757"/>
      <c r="D78" s="757"/>
      <c r="E78" s="757"/>
      <c r="F78" s="757"/>
      <c r="G78" s="757"/>
      <c r="H78" s="757"/>
      <c r="I78" s="757"/>
      <c r="J78" s="757"/>
      <c r="K78" s="757"/>
      <c r="L78" s="757"/>
      <c r="M78" s="757"/>
      <c r="N78" s="757"/>
      <c r="O78" s="757"/>
      <c r="P78" s="604">
        <v>0</v>
      </c>
      <c r="Q78" s="91"/>
      <c r="R78" s="91"/>
      <c r="S78" s="92"/>
      <c r="T78" s="781"/>
      <c r="U78" s="91"/>
      <c r="Z78" s="89"/>
    </row>
    <row r="89" ht="12.75" customHeight="1"/>
    <row r="90" ht="13.5" customHeight="1"/>
  </sheetData>
  <sheetProtection algorithmName="SHA-512" hashValue="W/HXp0hbgqXRH7t7FyJhhpasQGfvyt/Cruov1RGIgNV7q2MaT4fnd3jUR6BywYZJQmuuMiFlptWpkWGphHMD0w==" saltValue="TB4qpqRpcrg1VO3ev2N8sw==" spinCount="100000" sheet="1" formatCells="0" formatColumns="0" formatRows="0"/>
  <mergeCells count="10">
    <mergeCell ref="A1:G1"/>
    <mergeCell ref="E49:S49"/>
    <mergeCell ref="E50:S50"/>
    <mergeCell ref="AC18:AF18"/>
    <mergeCell ref="A2:C2"/>
    <mergeCell ref="E2:G2"/>
    <mergeCell ref="H2:J2"/>
    <mergeCell ref="K2:M2"/>
    <mergeCell ref="N2:P2"/>
    <mergeCell ref="Q2:S2"/>
  </mergeCells>
  <pageMargins left="0.75" right="0.75" top="1" bottom="1" header="0.5" footer="0.5"/>
  <pageSetup orientation="portrait" horizontalDpi="4294967293" verticalDpi="4294967293"/>
  <headerFooter alignWithMargins="0"/>
  <ignoredErrors>
    <ignoredError sqref="S18:S41" unlockedFormula="1"/>
  </ignoredError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69B0-903A-5942-B00A-DC3B06CD1A1D}">
  <sheetPr codeName="Sheet3">
    <tabColor theme="4" tint="0.39997558519241921"/>
  </sheetPr>
  <dimension ref="A1:N78"/>
  <sheetViews>
    <sheetView workbookViewId="0">
      <pane xSplit="2" ySplit="4" topLeftCell="C5" activePane="bottomRight" state="frozen"/>
      <selection pane="topRight" activeCell="C1" sqref="C1"/>
      <selection pane="bottomLeft" activeCell="A5" sqref="A5"/>
      <selection pane="bottomRight" sqref="A1:M1"/>
    </sheetView>
  </sheetViews>
  <sheetFormatPr defaultColWidth="10.85546875" defaultRowHeight="12.75"/>
  <cols>
    <col min="1" max="1" width="10.85546875" style="235"/>
    <col min="2" max="2" width="55.42578125" style="235" customWidth="1"/>
    <col min="3" max="3" width="10.85546875" style="235"/>
    <col min="4" max="4" width="7" style="235" customWidth="1"/>
    <col min="5" max="5" width="5" style="235" customWidth="1"/>
    <col min="6" max="6" width="5.85546875" style="235" customWidth="1"/>
    <col min="7" max="7" width="3.42578125" style="235" customWidth="1"/>
    <col min="8" max="8" width="5.85546875" style="235" customWidth="1"/>
    <col min="9" max="9" width="3.42578125" style="235" customWidth="1"/>
    <col min="10" max="10" width="5.85546875" style="235" customWidth="1"/>
    <col min="11" max="11" width="3.42578125" style="235" customWidth="1"/>
    <col min="12" max="12" width="6.42578125" style="235" customWidth="1"/>
    <col min="13" max="13" width="7.28515625" style="235" customWidth="1"/>
    <col min="14" max="16384" width="10.85546875" style="235"/>
  </cols>
  <sheetData>
    <row r="1" spans="1:14" s="771" customFormat="1" ht="74.45" customHeight="1" thickBot="1">
      <c r="A1" s="1128" t="str">
        <f ca="1">MID(CELL("filename",A1), FIND("]", CELL("filename", A1))+ 1, 255)&amp;
": This worksheet is provided to expand beyond the prime workbook profiles 1-4. "&amp;" Additional profiles may be added by deriving values using an addendum risk workbook, and including results on this and the 'Risk Assessment Analysis' tabs. "&amp;"
Instructions are provided in the Baseline Adjustments Instr worksheet. "&amp;"
It is the responsibility of the risk modeler to ensure that all final totals match the entire project."&amp;"
Note that the values transferred from the addendum risk workbook already include any global risk factor adjustmentsand are not explicitly shown here."</f>
        <v>Additional Profiles: This worksheet is provided to expand beyond the prime workbook profiles 1-4.  Additional profiles may be added by deriving values using an addendum risk workbook, and including results on this and the 'Risk Assessment Analysis' tabs. 
Instructions are provided in the Baseline Adjustments Instr worksheet. 
It is the responsibility of the risk modeler to ensure that all final totals match the entire project.
Note that the values transferred from the addendum risk workbook already include any global risk factor adjustmentsand are not explicitly shown here.</v>
      </c>
      <c r="B1" s="1129"/>
      <c r="C1" s="1129"/>
      <c r="D1" s="1129"/>
      <c r="E1" s="1129"/>
      <c r="F1" s="1129"/>
      <c r="G1" s="1129"/>
      <c r="H1" s="1129"/>
      <c r="I1" s="1129"/>
      <c r="J1" s="1129"/>
      <c r="K1" s="1129"/>
      <c r="L1" s="1129"/>
      <c r="M1" s="1130"/>
    </row>
    <row r="2" spans="1:14" s="771" customFormat="1" ht="20.25" customHeight="1" thickBot="1">
      <c r="A2" s="1131" t="s">
        <v>585</v>
      </c>
      <c r="B2" s="1132"/>
      <c r="C2" s="1132"/>
      <c r="D2" s="1132"/>
      <c r="E2" s="1132"/>
      <c r="F2" s="1132"/>
      <c r="G2" s="1132"/>
      <c r="H2" s="1132"/>
      <c r="I2" s="1132"/>
      <c r="J2" s="1132"/>
      <c r="K2" s="1132"/>
      <c r="L2" s="1132"/>
      <c r="M2" s="1133"/>
    </row>
    <row r="3" spans="1:14" ht="42" customHeight="1">
      <c r="A3" s="747" t="s">
        <v>11</v>
      </c>
      <c r="B3" s="729" t="s">
        <v>12</v>
      </c>
      <c r="C3" s="730" t="s">
        <v>72</v>
      </c>
      <c r="D3" s="299"/>
      <c r="E3" s="728"/>
      <c r="F3" s="729" t="s">
        <v>84</v>
      </c>
      <c r="G3" s="304"/>
      <c r="H3" s="729" t="s">
        <v>85</v>
      </c>
      <c r="I3" s="304"/>
      <c r="J3" s="729" t="s">
        <v>86</v>
      </c>
      <c r="K3" s="304"/>
      <c r="L3" s="729" t="s">
        <v>87</v>
      </c>
      <c r="M3" s="730" t="s">
        <v>6</v>
      </c>
      <c r="N3" s="727"/>
    </row>
    <row r="4" spans="1:14">
      <c r="A4" s="513" t="s">
        <v>165</v>
      </c>
      <c r="B4" s="517"/>
      <c r="C4" s="307"/>
      <c r="D4" s="308"/>
      <c r="E4" s="309"/>
      <c r="F4" s="310"/>
      <c r="G4" s="310"/>
      <c r="H4" s="310"/>
      <c r="I4" s="310"/>
      <c r="J4" s="310"/>
      <c r="K4" s="310"/>
      <c r="L4" s="310"/>
      <c r="M4" s="311"/>
    </row>
    <row r="5" spans="1:14">
      <c r="A5" s="513">
        <v>10.01</v>
      </c>
      <c r="B5" s="517" t="s">
        <v>15</v>
      </c>
      <c r="C5" s="716">
        <v>0</v>
      </c>
      <c r="D5" s="320"/>
      <c r="E5" s="309"/>
      <c r="F5" s="719">
        <v>0</v>
      </c>
      <c r="G5" s="310"/>
      <c r="H5" s="719">
        <v>0</v>
      </c>
      <c r="I5" s="310"/>
      <c r="J5" s="719">
        <v>0</v>
      </c>
      <c r="K5" s="310"/>
      <c r="L5" s="719">
        <v>0</v>
      </c>
      <c r="M5" s="722">
        <v>0</v>
      </c>
    </row>
    <row r="6" spans="1:14">
      <c r="A6" s="513">
        <v>10.02</v>
      </c>
      <c r="B6" s="517" t="s">
        <v>16</v>
      </c>
      <c r="C6" s="717">
        <v>0</v>
      </c>
      <c r="D6" s="320"/>
      <c r="E6" s="309"/>
      <c r="F6" s="720">
        <v>0</v>
      </c>
      <c r="G6" s="310"/>
      <c r="H6" s="720">
        <v>0</v>
      </c>
      <c r="I6" s="310"/>
      <c r="J6" s="720">
        <v>0</v>
      </c>
      <c r="K6" s="310"/>
      <c r="L6" s="720">
        <v>0</v>
      </c>
      <c r="M6" s="723">
        <v>0</v>
      </c>
    </row>
    <row r="7" spans="1:14">
      <c r="A7" s="513">
        <v>10.029999999999999</v>
      </c>
      <c r="B7" s="517" t="s">
        <v>17</v>
      </c>
      <c r="C7" s="717">
        <v>0</v>
      </c>
      <c r="D7" s="320"/>
      <c r="E7" s="309"/>
      <c r="F7" s="720">
        <v>0</v>
      </c>
      <c r="G7" s="310"/>
      <c r="H7" s="720">
        <v>0</v>
      </c>
      <c r="I7" s="310"/>
      <c r="J7" s="720">
        <v>0</v>
      </c>
      <c r="K7" s="310"/>
      <c r="L7" s="720">
        <v>0</v>
      </c>
      <c r="M7" s="723">
        <v>0</v>
      </c>
    </row>
    <row r="8" spans="1:14">
      <c r="A8" s="513">
        <v>10.039999999999999</v>
      </c>
      <c r="B8" s="517" t="s">
        <v>18</v>
      </c>
      <c r="C8" s="717">
        <v>0</v>
      </c>
      <c r="D8" s="320"/>
      <c r="E8" s="309"/>
      <c r="F8" s="720">
        <v>0</v>
      </c>
      <c r="G8" s="310"/>
      <c r="H8" s="720">
        <v>0</v>
      </c>
      <c r="I8" s="310"/>
      <c r="J8" s="720">
        <v>0</v>
      </c>
      <c r="K8" s="310"/>
      <c r="L8" s="720">
        <v>0</v>
      </c>
      <c r="M8" s="723">
        <v>0</v>
      </c>
    </row>
    <row r="9" spans="1:14">
      <c r="A9" s="513">
        <v>10.050000000000001</v>
      </c>
      <c r="B9" s="517" t="s">
        <v>19</v>
      </c>
      <c r="C9" s="717">
        <v>0</v>
      </c>
      <c r="D9" s="320"/>
      <c r="E9" s="309"/>
      <c r="F9" s="720">
        <v>0</v>
      </c>
      <c r="G9" s="310"/>
      <c r="H9" s="720">
        <v>0</v>
      </c>
      <c r="I9" s="310"/>
      <c r="J9" s="720">
        <v>0</v>
      </c>
      <c r="K9" s="310"/>
      <c r="L9" s="720">
        <v>0</v>
      </c>
      <c r="M9" s="723">
        <v>0</v>
      </c>
    </row>
    <row r="10" spans="1:14">
      <c r="A10" s="513">
        <v>10.06</v>
      </c>
      <c r="B10" s="517" t="s">
        <v>20</v>
      </c>
      <c r="C10" s="717">
        <v>0</v>
      </c>
      <c r="D10" s="320"/>
      <c r="E10" s="309"/>
      <c r="F10" s="720">
        <v>0</v>
      </c>
      <c r="G10" s="310"/>
      <c r="H10" s="720">
        <v>0</v>
      </c>
      <c r="I10" s="310"/>
      <c r="J10" s="720">
        <v>0</v>
      </c>
      <c r="K10" s="310"/>
      <c r="L10" s="720">
        <v>0</v>
      </c>
      <c r="M10" s="723">
        <v>0</v>
      </c>
    </row>
    <row r="11" spans="1:14">
      <c r="A11" s="513">
        <v>10.07</v>
      </c>
      <c r="B11" s="517" t="s">
        <v>21</v>
      </c>
      <c r="C11" s="717">
        <v>0</v>
      </c>
      <c r="D11" s="320"/>
      <c r="E11" s="309"/>
      <c r="F11" s="720">
        <v>0</v>
      </c>
      <c r="G11" s="310"/>
      <c r="H11" s="720">
        <v>0</v>
      </c>
      <c r="I11" s="310"/>
      <c r="J11" s="720">
        <v>0</v>
      </c>
      <c r="K11" s="310"/>
      <c r="L11" s="720">
        <v>0</v>
      </c>
      <c r="M11" s="723">
        <v>0</v>
      </c>
    </row>
    <row r="12" spans="1:14">
      <c r="A12" s="513">
        <v>10.08</v>
      </c>
      <c r="B12" s="517" t="s">
        <v>22</v>
      </c>
      <c r="C12" s="717">
        <v>0</v>
      </c>
      <c r="D12" s="320"/>
      <c r="E12" s="309"/>
      <c r="F12" s="720">
        <v>0</v>
      </c>
      <c r="G12" s="310"/>
      <c r="H12" s="720">
        <v>0</v>
      </c>
      <c r="I12" s="310"/>
      <c r="J12" s="720">
        <v>0</v>
      </c>
      <c r="K12" s="310"/>
      <c r="L12" s="720">
        <v>0</v>
      </c>
      <c r="M12" s="723">
        <v>0</v>
      </c>
    </row>
    <row r="13" spans="1:14">
      <c r="A13" s="513">
        <v>10.09</v>
      </c>
      <c r="B13" s="517" t="s">
        <v>23</v>
      </c>
      <c r="C13" s="717">
        <v>0</v>
      </c>
      <c r="D13" s="320"/>
      <c r="E13" s="309"/>
      <c r="F13" s="720">
        <v>0</v>
      </c>
      <c r="G13" s="310"/>
      <c r="H13" s="720">
        <v>0</v>
      </c>
      <c r="I13" s="310"/>
      <c r="J13" s="720">
        <v>0</v>
      </c>
      <c r="K13" s="310"/>
      <c r="L13" s="720">
        <v>0</v>
      </c>
      <c r="M13" s="723">
        <v>0</v>
      </c>
    </row>
    <row r="14" spans="1:14">
      <c r="A14" s="513">
        <v>10.1</v>
      </c>
      <c r="B14" s="517" t="s">
        <v>24</v>
      </c>
      <c r="C14" s="717">
        <v>0</v>
      </c>
      <c r="D14" s="320"/>
      <c r="E14" s="309"/>
      <c r="F14" s="720">
        <v>0</v>
      </c>
      <c r="G14" s="310"/>
      <c r="H14" s="720">
        <v>0</v>
      </c>
      <c r="I14" s="310"/>
      <c r="J14" s="720">
        <v>0</v>
      </c>
      <c r="K14" s="310"/>
      <c r="L14" s="720">
        <v>0</v>
      </c>
      <c r="M14" s="723">
        <v>0</v>
      </c>
    </row>
    <row r="15" spans="1:14">
      <c r="A15" s="513">
        <v>10.11</v>
      </c>
      <c r="B15" s="517" t="s">
        <v>25</v>
      </c>
      <c r="C15" s="717">
        <v>0</v>
      </c>
      <c r="D15" s="320"/>
      <c r="E15" s="309"/>
      <c r="F15" s="720">
        <v>0</v>
      </c>
      <c r="G15" s="310"/>
      <c r="H15" s="720">
        <v>0</v>
      </c>
      <c r="I15" s="310"/>
      <c r="J15" s="720">
        <v>0</v>
      </c>
      <c r="K15" s="310"/>
      <c r="L15" s="720">
        <v>0</v>
      </c>
      <c r="M15" s="723">
        <v>0</v>
      </c>
    </row>
    <row r="16" spans="1:14">
      <c r="A16" s="513">
        <v>10.119999999999999</v>
      </c>
      <c r="B16" s="517" t="s">
        <v>26</v>
      </c>
      <c r="C16" s="717">
        <v>0</v>
      </c>
      <c r="D16" s="320"/>
      <c r="E16" s="309"/>
      <c r="F16" s="720">
        <v>0</v>
      </c>
      <c r="G16" s="310"/>
      <c r="H16" s="720">
        <v>0</v>
      </c>
      <c r="I16" s="310"/>
      <c r="J16" s="720">
        <v>0</v>
      </c>
      <c r="K16" s="310"/>
      <c r="L16" s="720">
        <v>0</v>
      </c>
      <c r="M16" s="723">
        <v>0</v>
      </c>
    </row>
    <row r="17" spans="1:13">
      <c r="A17" s="513">
        <v>10.130000000000001</v>
      </c>
      <c r="B17" s="517" t="s">
        <v>27</v>
      </c>
      <c r="C17" s="718">
        <v>0</v>
      </c>
      <c r="D17" s="320"/>
      <c r="E17" s="309"/>
      <c r="F17" s="721">
        <v>0</v>
      </c>
      <c r="G17" s="310"/>
      <c r="H17" s="721">
        <v>0</v>
      </c>
      <c r="I17" s="310"/>
      <c r="J17" s="721">
        <v>0</v>
      </c>
      <c r="K17" s="310"/>
      <c r="L17" s="721">
        <v>0</v>
      </c>
      <c r="M17" s="724">
        <v>0</v>
      </c>
    </row>
    <row r="18" spans="1:13">
      <c r="A18" s="513" t="s">
        <v>167</v>
      </c>
      <c r="B18" s="517"/>
      <c r="C18" s="307"/>
      <c r="D18" s="308"/>
      <c r="E18" s="309"/>
      <c r="F18" s="310"/>
      <c r="G18" s="310"/>
      <c r="H18" s="310"/>
      <c r="I18" s="310"/>
      <c r="J18" s="310"/>
      <c r="K18" s="310"/>
      <c r="L18" s="310"/>
      <c r="M18" s="311"/>
    </row>
    <row r="19" spans="1:13">
      <c r="A19" s="513">
        <v>20.010000000000002</v>
      </c>
      <c r="B19" s="517" t="s">
        <v>63</v>
      </c>
      <c r="C19" s="716">
        <v>0</v>
      </c>
      <c r="D19" s="320"/>
      <c r="E19" s="309"/>
      <c r="F19" s="719">
        <v>0</v>
      </c>
      <c r="G19" s="310"/>
      <c r="H19" s="719">
        <v>0</v>
      </c>
      <c r="I19" s="310"/>
      <c r="J19" s="719">
        <v>0</v>
      </c>
      <c r="K19" s="310"/>
      <c r="L19" s="719">
        <v>0</v>
      </c>
      <c r="M19" s="722">
        <v>0</v>
      </c>
    </row>
    <row r="20" spans="1:13">
      <c r="A20" s="513">
        <v>20.02</v>
      </c>
      <c r="B20" s="517" t="s">
        <v>64</v>
      </c>
      <c r="C20" s="717">
        <v>0</v>
      </c>
      <c r="D20" s="320"/>
      <c r="E20" s="309"/>
      <c r="F20" s="720">
        <v>0</v>
      </c>
      <c r="G20" s="310"/>
      <c r="H20" s="720">
        <v>0</v>
      </c>
      <c r="I20" s="310"/>
      <c r="J20" s="720">
        <v>0</v>
      </c>
      <c r="K20" s="310"/>
      <c r="L20" s="720">
        <v>0</v>
      </c>
      <c r="M20" s="723">
        <v>0</v>
      </c>
    </row>
    <row r="21" spans="1:13">
      <c r="A21" s="513">
        <v>20.03</v>
      </c>
      <c r="B21" s="517" t="s">
        <v>65</v>
      </c>
      <c r="C21" s="717">
        <v>0</v>
      </c>
      <c r="D21" s="320"/>
      <c r="E21" s="309"/>
      <c r="F21" s="720">
        <v>0</v>
      </c>
      <c r="G21" s="310"/>
      <c r="H21" s="720">
        <v>0</v>
      </c>
      <c r="I21" s="310"/>
      <c r="J21" s="720">
        <v>0</v>
      </c>
      <c r="K21" s="310"/>
      <c r="L21" s="720">
        <v>0</v>
      </c>
      <c r="M21" s="723">
        <v>0</v>
      </c>
    </row>
    <row r="22" spans="1:13">
      <c r="A22" s="513">
        <v>20.04</v>
      </c>
      <c r="B22" s="517" t="s">
        <v>66</v>
      </c>
      <c r="C22" s="717">
        <v>0</v>
      </c>
      <c r="D22" s="320"/>
      <c r="E22" s="309"/>
      <c r="F22" s="720">
        <v>0</v>
      </c>
      <c r="G22" s="310"/>
      <c r="H22" s="720">
        <v>0</v>
      </c>
      <c r="I22" s="310"/>
      <c r="J22" s="720">
        <v>0</v>
      </c>
      <c r="K22" s="310"/>
      <c r="L22" s="720">
        <v>0</v>
      </c>
      <c r="M22" s="723">
        <v>0</v>
      </c>
    </row>
    <row r="23" spans="1:13">
      <c r="A23" s="513">
        <v>20.05</v>
      </c>
      <c r="B23" s="517" t="s">
        <v>67</v>
      </c>
      <c r="C23" s="717">
        <v>0</v>
      </c>
      <c r="D23" s="320"/>
      <c r="E23" s="309"/>
      <c r="F23" s="720">
        <v>0</v>
      </c>
      <c r="G23" s="310"/>
      <c r="H23" s="720">
        <v>0</v>
      </c>
      <c r="I23" s="310"/>
      <c r="J23" s="720">
        <v>0</v>
      </c>
      <c r="K23" s="310"/>
      <c r="L23" s="720">
        <v>0</v>
      </c>
      <c r="M23" s="723">
        <v>0</v>
      </c>
    </row>
    <row r="24" spans="1:13">
      <c r="A24" s="513">
        <v>20.059999999999999</v>
      </c>
      <c r="B24" s="517" t="s">
        <v>68</v>
      </c>
      <c r="C24" s="717">
        <v>0</v>
      </c>
      <c r="D24" s="320"/>
      <c r="E24" s="309"/>
      <c r="F24" s="720">
        <v>0</v>
      </c>
      <c r="G24" s="310"/>
      <c r="H24" s="720">
        <v>0</v>
      </c>
      <c r="I24" s="310"/>
      <c r="J24" s="720">
        <v>0</v>
      </c>
      <c r="K24" s="310"/>
      <c r="L24" s="720">
        <v>0</v>
      </c>
      <c r="M24" s="723">
        <v>0</v>
      </c>
    </row>
    <row r="25" spans="1:13">
      <c r="A25" s="513">
        <v>20.07</v>
      </c>
      <c r="B25" s="517" t="s">
        <v>69</v>
      </c>
      <c r="C25" s="718">
        <v>0</v>
      </c>
      <c r="D25" s="320"/>
      <c r="E25" s="309"/>
      <c r="F25" s="721">
        <v>0</v>
      </c>
      <c r="G25" s="310"/>
      <c r="H25" s="721">
        <v>0</v>
      </c>
      <c r="I25" s="310"/>
      <c r="J25" s="721">
        <v>0</v>
      </c>
      <c r="K25" s="310"/>
      <c r="L25" s="721">
        <v>0</v>
      </c>
      <c r="M25" s="724">
        <v>0</v>
      </c>
    </row>
    <row r="26" spans="1:13">
      <c r="A26" s="513" t="s">
        <v>168</v>
      </c>
      <c r="B26" s="517"/>
      <c r="C26" s="307"/>
      <c r="D26" s="308"/>
      <c r="E26" s="309"/>
      <c r="F26" s="310"/>
      <c r="G26" s="310"/>
      <c r="H26" s="310"/>
      <c r="I26" s="310"/>
      <c r="J26" s="310"/>
      <c r="K26" s="310"/>
      <c r="L26" s="310"/>
      <c r="M26" s="311"/>
    </row>
    <row r="27" spans="1:13">
      <c r="A27" s="513">
        <v>30.01</v>
      </c>
      <c r="B27" s="517" t="s">
        <v>28</v>
      </c>
      <c r="C27" s="716">
        <v>0</v>
      </c>
      <c r="D27" s="320"/>
      <c r="E27" s="309"/>
      <c r="F27" s="719">
        <v>0</v>
      </c>
      <c r="G27" s="310"/>
      <c r="H27" s="719">
        <v>0</v>
      </c>
      <c r="I27" s="310"/>
      <c r="J27" s="719">
        <v>0</v>
      </c>
      <c r="K27" s="310"/>
      <c r="L27" s="719">
        <v>0</v>
      </c>
      <c r="M27" s="722">
        <v>0</v>
      </c>
    </row>
    <row r="28" spans="1:13">
      <c r="A28" s="513">
        <v>30.02</v>
      </c>
      <c r="B28" s="517" t="s">
        <v>29</v>
      </c>
      <c r="C28" s="717">
        <v>0</v>
      </c>
      <c r="D28" s="320"/>
      <c r="E28" s="309"/>
      <c r="F28" s="720">
        <v>0</v>
      </c>
      <c r="G28" s="310"/>
      <c r="H28" s="720">
        <v>0</v>
      </c>
      <c r="I28" s="310"/>
      <c r="J28" s="720">
        <v>0</v>
      </c>
      <c r="K28" s="310"/>
      <c r="L28" s="720">
        <v>0</v>
      </c>
      <c r="M28" s="723">
        <v>0</v>
      </c>
    </row>
    <row r="29" spans="1:13">
      <c r="A29" s="513">
        <v>30.03</v>
      </c>
      <c r="B29" s="517" t="s">
        <v>30</v>
      </c>
      <c r="C29" s="717">
        <v>0</v>
      </c>
      <c r="D29" s="320"/>
      <c r="E29" s="309"/>
      <c r="F29" s="720">
        <v>0</v>
      </c>
      <c r="G29" s="310"/>
      <c r="H29" s="720">
        <v>0</v>
      </c>
      <c r="I29" s="310"/>
      <c r="J29" s="720">
        <v>0</v>
      </c>
      <c r="K29" s="310"/>
      <c r="L29" s="720">
        <v>0</v>
      </c>
      <c r="M29" s="723">
        <v>0</v>
      </c>
    </row>
    <row r="30" spans="1:13">
      <c r="A30" s="513">
        <v>30.04</v>
      </c>
      <c r="B30" s="517" t="s">
        <v>31</v>
      </c>
      <c r="C30" s="717">
        <v>0</v>
      </c>
      <c r="D30" s="320"/>
      <c r="E30" s="309"/>
      <c r="F30" s="720">
        <v>0</v>
      </c>
      <c r="G30" s="310"/>
      <c r="H30" s="720">
        <v>0</v>
      </c>
      <c r="I30" s="310"/>
      <c r="J30" s="720">
        <v>0</v>
      </c>
      <c r="K30" s="310"/>
      <c r="L30" s="720">
        <v>0</v>
      </c>
      <c r="M30" s="723">
        <v>0</v>
      </c>
    </row>
    <row r="31" spans="1:13">
      <c r="A31" s="513">
        <v>30.05</v>
      </c>
      <c r="B31" s="517" t="s">
        <v>32</v>
      </c>
      <c r="C31" s="718">
        <v>0</v>
      </c>
      <c r="D31" s="320"/>
      <c r="E31" s="309"/>
      <c r="F31" s="721">
        <v>0</v>
      </c>
      <c r="G31" s="310"/>
      <c r="H31" s="721">
        <v>0</v>
      </c>
      <c r="I31" s="310"/>
      <c r="J31" s="721">
        <v>0</v>
      </c>
      <c r="K31" s="310"/>
      <c r="L31" s="721">
        <v>0</v>
      </c>
      <c r="M31" s="724">
        <v>0</v>
      </c>
    </row>
    <row r="32" spans="1:13">
      <c r="A32" s="513" t="s">
        <v>169</v>
      </c>
      <c r="B32" s="517"/>
      <c r="C32" s="307"/>
      <c r="D32" s="308"/>
      <c r="E32" s="309"/>
      <c r="F32" s="310"/>
      <c r="G32" s="310"/>
      <c r="H32" s="310"/>
      <c r="I32" s="310"/>
      <c r="J32" s="310"/>
      <c r="K32" s="310"/>
      <c r="L32" s="310"/>
      <c r="M32" s="311"/>
    </row>
    <row r="33" spans="1:13">
      <c r="A33" s="513">
        <v>40.01</v>
      </c>
      <c r="B33" s="517" t="s">
        <v>33</v>
      </c>
      <c r="C33" s="716">
        <v>0</v>
      </c>
      <c r="D33" s="320"/>
      <c r="E33" s="309"/>
      <c r="F33" s="719">
        <v>0</v>
      </c>
      <c r="G33" s="310"/>
      <c r="H33" s="719">
        <v>0</v>
      </c>
      <c r="I33" s="310"/>
      <c r="J33" s="719">
        <v>0</v>
      </c>
      <c r="K33" s="310"/>
      <c r="L33" s="719">
        <v>0</v>
      </c>
      <c r="M33" s="722">
        <v>0</v>
      </c>
    </row>
    <row r="34" spans="1:13">
      <c r="A34" s="513">
        <v>40.020000000000003</v>
      </c>
      <c r="B34" s="517" t="s">
        <v>34</v>
      </c>
      <c r="C34" s="717">
        <v>0</v>
      </c>
      <c r="D34" s="320"/>
      <c r="E34" s="309"/>
      <c r="F34" s="720">
        <v>0</v>
      </c>
      <c r="G34" s="310"/>
      <c r="H34" s="720">
        <v>0</v>
      </c>
      <c r="I34" s="310"/>
      <c r="J34" s="720">
        <v>0</v>
      </c>
      <c r="K34" s="310"/>
      <c r="L34" s="720">
        <v>0</v>
      </c>
      <c r="M34" s="723">
        <v>0</v>
      </c>
    </row>
    <row r="35" spans="1:13">
      <c r="A35" s="513">
        <v>40.03</v>
      </c>
      <c r="B35" s="517" t="s">
        <v>35</v>
      </c>
      <c r="C35" s="717">
        <v>0</v>
      </c>
      <c r="D35" s="320"/>
      <c r="E35" s="309"/>
      <c r="F35" s="720">
        <v>0</v>
      </c>
      <c r="G35" s="310"/>
      <c r="H35" s="720">
        <v>0</v>
      </c>
      <c r="I35" s="310"/>
      <c r="J35" s="720">
        <v>0</v>
      </c>
      <c r="K35" s="310"/>
      <c r="L35" s="720">
        <v>0</v>
      </c>
      <c r="M35" s="723">
        <v>0</v>
      </c>
    </row>
    <row r="36" spans="1:13">
      <c r="A36" s="513">
        <v>40.04</v>
      </c>
      <c r="B36" s="517" t="s">
        <v>36</v>
      </c>
      <c r="C36" s="717">
        <v>0</v>
      </c>
      <c r="D36" s="320"/>
      <c r="E36" s="309"/>
      <c r="F36" s="720">
        <v>0</v>
      </c>
      <c r="G36" s="310"/>
      <c r="H36" s="720">
        <v>0</v>
      </c>
      <c r="I36" s="310"/>
      <c r="J36" s="720">
        <v>0</v>
      </c>
      <c r="K36" s="310"/>
      <c r="L36" s="720">
        <v>0</v>
      </c>
      <c r="M36" s="723">
        <v>0</v>
      </c>
    </row>
    <row r="37" spans="1:13">
      <c r="A37" s="513">
        <v>40.049999999999997</v>
      </c>
      <c r="B37" s="517" t="s">
        <v>37</v>
      </c>
      <c r="C37" s="717">
        <v>0</v>
      </c>
      <c r="D37" s="320"/>
      <c r="E37" s="309"/>
      <c r="F37" s="720">
        <v>0</v>
      </c>
      <c r="G37" s="310"/>
      <c r="H37" s="720">
        <v>0</v>
      </c>
      <c r="I37" s="310"/>
      <c r="J37" s="720">
        <v>0</v>
      </c>
      <c r="K37" s="310"/>
      <c r="L37" s="720">
        <v>0</v>
      </c>
      <c r="M37" s="723">
        <v>0</v>
      </c>
    </row>
    <row r="38" spans="1:13">
      <c r="A38" s="513">
        <v>40.06</v>
      </c>
      <c r="B38" s="517" t="s">
        <v>38</v>
      </c>
      <c r="C38" s="717">
        <v>0</v>
      </c>
      <c r="D38" s="320"/>
      <c r="E38" s="309"/>
      <c r="F38" s="720">
        <v>0</v>
      </c>
      <c r="G38" s="310"/>
      <c r="H38" s="720">
        <v>0</v>
      </c>
      <c r="I38" s="310"/>
      <c r="J38" s="720">
        <v>0</v>
      </c>
      <c r="K38" s="310"/>
      <c r="L38" s="720">
        <v>0</v>
      </c>
      <c r="M38" s="723">
        <v>0</v>
      </c>
    </row>
    <row r="39" spans="1:13">
      <c r="A39" s="513">
        <v>40.07</v>
      </c>
      <c r="B39" s="517" t="s">
        <v>39</v>
      </c>
      <c r="C39" s="717">
        <v>0</v>
      </c>
      <c r="D39" s="320"/>
      <c r="E39" s="309"/>
      <c r="F39" s="720">
        <v>0</v>
      </c>
      <c r="G39" s="310"/>
      <c r="H39" s="720">
        <v>0</v>
      </c>
      <c r="I39" s="310"/>
      <c r="J39" s="720">
        <v>0</v>
      </c>
      <c r="K39" s="310"/>
      <c r="L39" s="720">
        <v>0</v>
      </c>
      <c r="M39" s="723">
        <v>0</v>
      </c>
    </row>
    <row r="40" spans="1:13">
      <c r="A40" s="513">
        <v>40.08</v>
      </c>
      <c r="B40" s="517" t="s">
        <v>40</v>
      </c>
      <c r="C40" s="718">
        <v>0</v>
      </c>
      <c r="D40" s="320"/>
      <c r="E40" s="309"/>
      <c r="F40" s="721">
        <v>0</v>
      </c>
      <c r="G40" s="310"/>
      <c r="H40" s="721">
        <v>0</v>
      </c>
      <c r="I40" s="310"/>
      <c r="J40" s="721">
        <v>0</v>
      </c>
      <c r="K40" s="310"/>
      <c r="L40" s="721">
        <v>0</v>
      </c>
      <c r="M40" s="724">
        <v>0</v>
      </c>
    </row>
    <row r="41" spans="1:13">
      <c r="A41" s="513" t="s">
        <v>170</v>
      </c>
      <c r="B41" s="517"/>
      <c r="C41" s="307"/>
      <c r="D41" s="308"/>
      <c r="E41" s="309"/>
      <c r="F41" s="310"/>
      <c r="G41" s="310"/>
      <c r="H41" s="310"/>
      <c r="I41" s="310"/>
      <c r="J41" s="310"/>
      <c r="K41" s="310"/>
      <c r="L41" s="310"/>
      <c r="M41" s="311"/>
    </row>
    <row r="42" spans="1:13">
      <c r="A42" s="513">
        <v>50.01</v>
      </c>
      <c r="B42" s="517" t="s">
        <v>41</v>
      </c>
      <c r="C42" s="716">
        <v>0</v>
      </c>
      <c r="D42" s="320"/>
      <c r="E42" s="309"/>
      <c r="F42" s="719">
        <v>0</v>
      </c>
      <c r="G42" s="310"/>
      <c r="H42" s="719">
        <v>0</v>
      </c>
      <c r="I42" s="310"/>
      <c r="J42" s="719">
        <v>0</v>
      </c>
      <c r="K42" s="310"/>
      <c r="L42" s="719">
        <v>0</v>
      </c>
      <c r="M42" s="722">
        <v>0</v>
      </c>
    </row>
    <row r="43" spans="1:13">
      <c r="A43" s="513">
        <v>50.02</v>
      </c>
      <c r="B43" s="517" t="s">
        <v>42</v>
      </c>
      <c r="C43" s="717">
        <v>0</v>
      </c>
      <c r="D43" s="320"/>
      <c r="E43" s="309"/>
      <c r="F43" s="720">
        <v>0</v>
      </c>
      <c r="G43" s="310"/>
      <c r="H43" s="720">
        <v>0</v>
      </c>
      <c r="I43" s="310"/>
      <c r="J43" s="720">
        <v>0</v>
      </c>
      <c r="K43" s="310"/>
      <c r="L43" s="720">
        <v>0</v>
      </c>
      <c r="M43" s="723">
        <v>0</v>
      </c>
    </row>
    <row r="44" spans="1:13">
      <c r="A44" s="513">
        <v>50.03</v>
      </c>
      <c r="B44" s="517" t="s">
        <v>43</v>
      </c>
      <c r="C44" s="717">
        <v>0</v>
      </c>
      <c r="D44" s="320"/>
      <c r="E44" s="309"/>
      <c r="F44" s="720">
        <v>0</v>
      </c>
      <c r="G44" s="310"/>
      <c r="H44" s="720">
        <v>0</v>
      </c>
      <c r="I44" s="310"/>
      <c r="J44" s="720">
        <v>0</v>
      </c>
      <c r="K44" s="310"/>
      <c r="L44" s="720">
        <v>0</v>
      </c>
      <c r="M44" s="723">
        <v>0</v>
      </c>
    </row>
    <row r="45" spans="1:13">
      <c r="A45" s="513">
        <v>50.04</v>
      </c>
      <c r="B45" s="517" t="s">
        <v>44</v>
      </c>
      <c r="C45" s="717">
        <v>0</v>
      </c>
      <c r="D45" s="320"/>
      <c r="E45" s="309"/>
      <c r="F45" s="720">
        <v>0</v>
      </c>
      <c r="G45" s="310"/>
      <c r="H45" s="720">
        <v>0</v>
      </c>
      <c r="I45" s="310"/>
      <c r="J45" s="720">
        <v>0</v>
      </c>
      <c r="K45" s="310"/>
      <c r="L45" s="720">
        <v>0</v>
      </c>
      <c r="M45" s="723">
        <v>0</v>
      </c>
    </row>
    <row r="46" spans="1:13">
      <c r="A46" s="513">
        <v>50.05</v>
      </c>
      <c r="B46" s="517" t="s">
        <v>45</v>
      </c>
      <c r="C46" s="717">
        <v>0</v>
      </c>
      <c r="D46" s="320"/>
      <c r="E46" s="309"/>
      <c r="F46" s="720">
        <v>0</v>
      </c>
      <c r="G46" s="310"/>
      <c r="H46" s="720">
        <v>0</v>
      </c>
      <c r="I46" s="310"/>
      <c r="J46" s="720">
        <v>0</v>
      </c>
      <c r="K46" s="310"/>
      <c r="L46" s="720">
        <v>0</v>
      </c>
      <c r="M46" s="723">
        <v>0</v>
      </c>
    </row>
    <row r="47" spans="1:13">
      <c r="A47" s="513">
        <v>50.06</v>
      </c>
      <c r="B47" s="517" t="s">
        <v>46</v>
      </c>
      <c r="C47" s="717">
        <v>0</v>
      </c>
      <c r="D47" s="320"/>
      <c r="E47" s="309"/>
      <c r="F47" s="720">
        <v>0</v>
      </c>
      <c r="G47" s="310"/>
      <c r="H47" s="720">
        <v>0</v>
      </c>
      <c r="I47" s="310"/>
      <c r="J47" s="720">
        <v>0</v>
      </c>
      <c r="K47" s="310"/>
      <c r="L47" s="720">
        <v>0</v>
      </c>
      <c r="M47" s="723">
        <v>0</v>
      </c>
    </row>
    <row r="48" spans="1:13">
      <c r="A48" s="513">
        <v>50.07</v>
      </c>
      <c r="B48" s="517" t="s">
        <v>47</v>
      </c>
      <c r="C48" s="718">
        <v>0</v>
      </c>
      <c r="D48" s="320"/>
      <c r="E48" s="309"/>
      <c r="F48" s="721">
        <v>0</v>
      </c>
      <c r="G48" s="310"/>
      <c r="H48" s="721">
        <v>0</v>
      </c>
      <c r="I48" s="310"/>
      <c r="J48" s="721">
        <v>0</v>
      </c>
      <c r="K48" s="310"/>
      <c r="L48" s="721">
        <v>0</v>
      </c>
      <c r="M48" s="724">
        <v>0</v>
      </c>
    </row>
    <row r="49" spans="1:13">
      <c r="A49" s="513"/>
      <c r="B49" s="517"/>
      <c r="C49" s="307"/>
      <c r="D49" s="308"/>
      <c r="E49" s="309"/>
      <c r="F49" s="310"/>
      <c r="G49" s="310"/>
      <c r="H49" s="310"/>
      <c r="I49" s="310"/>
      <c r="J49" s="310"/>
      <c r="K49" s="310"/>
      <c r="L49" s="310"/>
      <c r="M49" s="311"/>
    </row>
    <row r="50" spans="1:13">
      <c r="A50" s="513" t="s">
        <v>172</v>
      </c>
      <c r="B50" s="517"/>
      <c r="C50" s="307"/>
      <c r="D50" s="308"/>
      <c r="E50" s="309"/>
      <c r="F50" s="310"/>
      <c r="G50" s="310"/>
      <c r="H50" s="310"/>
      <c r="I50" s="310"/>
      <c r="J50" s="310"/>
      <c r="K50" s="310"/>
      <c r="L50" s="310"/>
      <c r="M50" s="311"/>
    </row>
    <row r="51" spans="1:13">
      <c r="A51" s="513">
        <v>60.01</v>
      </c>
      <c r="B51" s="517" t="s">
        <v>48</v>
      </c>
      <c r="C51" s="716">
        <v>0</v>
      </c>
      <c r="D51" s="320"/>
      <c r="E51" s="731"/>
      <c r="F51" s="719">
        <v>0</v>
      </c>
      <c r="G51" s="732"/>
      <c r="H51" s="719">
        <v>0</v>
      </c>
      <c r="I51" s="732"/>
      <c r="J51" s="719">
        <v>0</v>
      </c>
      <c r="K51" s="732"/>
      <c r="L51" s="719">
        <v>0</v>
      </c>
      <c r="M51" s="722">
        <v>0</v>
      </c>
    </row>
    <row r="52" spans="1:13">
      <c r="A52" s="513">
        <v>60.02</v>
      </c>
      <c r="B52" s="517" t="s">
        <v>49</v>
      </c>
      <c r="C52" s="718">
        <v>0</v>
      </c>
      <c r="D52" s="320"/>
      <c r="E52" s="731"/>
      <c r="F52" s="721">
        <v>0</v>
      </c>
      <c r="G52" s="732"/>
      <c r="H52" s="721">
        <v>0</v>
      </c>
      <c r="I52" s="732"/>
      <c r="J52" s="721">
        <v>0</v>
      </c>
      <c r="K52" s="732"/>
      <c r="L52" s="721">
        <v>0</v>
      </c>
      <c r="M52" s="724">
        <v>0</v>
      </c>
    </row>
    <row r="53" spans="1:13">
      <c r="A53" s="513" t="s">
        <v>173</v>
      </c>
      <c r="B53" s="517"/>
      <c r="C53" s="307"/>
      <c r="D53" s="308"/>
      <c r="E53" s="309"/>
      <c r="F53" s="310"/>
      <c r="G53" s="310"/>
      <c r="H53" s="310"/>
      <c r="I53" s="310"/>
      <c r="J53" s="310"/>
      <c r="K53" s="310"/>
      <c r="L53" s="310"/>
      <c r="M53" s="311"/>
    </row>
    <row r="54" spans="1:13">
      <c r="A54" s="513">
        <v>70.010000000000005</v>
      </c>
      <c r="B54" s="517" t="s">
        <v>50</v>
      </c>
      <c r="C54" s="716">
        <v>0</v>
      </c>
      <c r="D54" s="320"/>
      <c r="E54" s="731"/>
      <c r="F54" s="719">
        <v>0</v>
      </c>
      <c r="G54" s="732"/>
      <c r="H54" s="719">
        <v>0</v>
      </c>
      <c r="I54" s="732"/>
      <c r="J54" s="719">
        <v>0</v>
      </c>
      <c r="K54" s="732"/>
      <c r="L54" s="719">
        <v>0</v>
      </c>
      <c r="M54" s="722">
        <v>0</v>
      </c>
    </row>
    <row r="55" spans="1:13">
      <c r="A55" s="513">
        <v>70.02</v>
      </c>
      <c r="B55" s="517" t="s">
        <v>51</v>
      </c>
      <c r="C55" s="717">
        <v>0</v>
      </c>
      <c r="D55" s="320"/>
      <c r="E55" s="731"/>
      <c r="F55" s="720">
        <v>0</v>
      </c>
      <c r="G55" s="732"/>
      <c r="H55" s="720">
        <v>0</v>
      </c>
      <c r="I55" s="732"/>
      <c r="J55" s="720">
        <v>0</v>
      </c>
      <c r="K55" s="732"/>
      <c r="L55" s="720">
        <v>0</v>
      </c>
      <c r="M55" s="723">
        <v>0</v>
      </c>
    </row>
    <row r="56" spans="1:13">
      <c r="A56" s="513">
        <v>70.03</v>
      </c>
      <c r="B56" s="517" t="s">
        <v>52</v>
      </c>
      <c r="C56" s="717">
        <v>0</v>
      </c>
      <c r="D56" s="320"/>
      <c r="E56" s="731"/>
      <c r="F56" s="720">
        <v>0</v>
      </c>
      <c r="G56" s="732"/>
      <c r="H56" s="720">
        <v>0</v>
      </c>
      <c r="I56" s="732"/>
      <c r="J56" s="720">
        <v>0</v>
      </c>
      <c r="K56" s="732"/>
      <c r="L56" s="720">
        <v>0</v>
      </c>
      <c r="M56" s="723">
        <v>0</v>
      </c>
    </row>
    <row r="57" spans="1:13">
      <c r="A57" s="513">
        <v>70.040000000000006</v>
      </c>
      <c r="B57" s="517" t="s">
        <v>53</v>
      </c>
      <c r="C57" s="717">
        <v>0</v>
      </c>
      <c r="D57" s="320"/>
      <c r="E57" s="731"/>
      <c r="F57" s="720">
        <v>0</v>
      </c>
      <c r="G57" s="732"/>
      <c r="H57" s="720">
        <v>0</v>
      </c>
      <c r="I57" s="732"/>
      <c r="J57" s="720">
        <v>0</v>
      </c>
      <c r="K57" s="732"/>
      <c r="L57" s="720">
        <v>0</v>
      </c>
      <c r="M57" s="723">
        <v>0</v>
      </c>
    </row>
    <row r="58" spans="1:13">
      <c r="A58" s="513">
        <v>70.05</v>
      </c>
      <c r="B58" s="517" t="s">
        <v>54</v>
      </c>
      <c r="C58" s="717">
        <v>0</v>
      </c>
      <c r="D58" s="320"/>
      <c r="E58" s="731"/>
      <c r="F58" s="720">
        <v>0</v>
      </c>
      <c r="G58" s="732"/>
      <c r="H58" s="720">
        <v>0</v>
      </c>
      <c r="I58" s="732"/>
      <c r="J58" s="720">
        <v>0</v>
      </c>
      <c r="K58" s="732"/>
      <c r="L58" s="720">
        <v>0</v>
      </c>
      <c r="M58" s="723">
        <v>0</v>
      </c>
    </row>
    <row r="59" spans="1:13">
      <c r="A59" s="513">
        <v>70.06</v>
      </c>
      <c r="B59" s="517" t="s">
        <v>55</v>
      </c>
      <c r="C59" s="717">
        <v>0</v>
      </c>
      <c r="D59" s="320"/>
      <c r="E59" s="731"/>
      <c r="F59" s="720">
        <v>0</v>
      </c>
      <c r="G59" s="732"/>
      <c r="H59" s="720">
        <v>0</v>
      </c>
      <c r="I59" s="732"/>
      <c r="J59" s="720">
        <v>0</v>
      </c>
      <c r="K59" s="732"/>
      <c r="L59" s="720">
        <v>0</v>
      </c>
      <c r="M59" s="723">
        <v>0</v>
      </c>
    </row>
    <row r="60" spans="1:13">
      <c r="A60" s="513">
        <v>70.069999999999993</v>
      </c>
      <c r="B60" s="517" t="s">
        <v>56</v>
      </c>
      <c r="C60" s="718">
        <v>0</v>
      </c>
      <c r="D60" s="320"/>
      <c r="E60" s="731"/>
      <c r="F60" s="721">
        <v>0</v>
      </c>
      <c r="G60" s="732"/>
      <c r="H60" s="721">
        <v>0</v>
      </c>
      <c r="I60" s="732"/>
      <c r="J60" s="721">
        <v>0</v>
      </c>
      <c r="K60" s="732"/>
      <c r="L60" s="721">
        <v>0</v>
      </c>
      <c r="M60" s="724">
        <v>0</v>
      </c>
    </row>
    <row r="61" spans="1:13">
      <c r="A61" s="513" t="s">
        <v>174</v>
      </c>
      <c r="B61" s="517"/>
      <c r="C61" s="307"/>
      <c r="D61" s="308"/>
      <c r="E61" s="309"/>
      <c r="F61" s="310"/>
      <c r="G61" s="310"/>
      <c r="H61" s="310"/>
      <c r="I61" s="310"/>
      <c r="J61" s="310"/>
      <c r="K61" s="310"/>
      <c r="L61" s="310"/>
      <c r="M61" s="311"/>
    </row>
    <row r="62" spans="1:13">
      <c r="A62" s="513">
        <v>80.010000000000005</v>
      </c>
      <c r="B62" s="517" t="s">
        <v>143</v>
      </c>
      <c r="C62" s="716">
        <v>0</v>
      </c>
      <c r="D62" s="320"/>
      <c r="E62" s="731"/>
      <c r="F62" s="719">
        <v>0</v>
      </c>
      <c r="G62" s="732"/>
      <c r="H62" s="719">
        <v>0</v>
      </c>
      <c r="I62" s="732"/>
      <c r="J62" s="719">
        <v>0</v>
      </c>
      <c r="K62" s="732"/>
      <c r="L62" s="719">
        <v>0</v>
      </c>
      <c r="M62" s="722">
        <v>0</v>
      </c>
    </row>
    <row r="63" spans="1:13">
      <c r="A63" s="513">
        <v>80.02</v>
      </c>
      <c r="B63" s="517" t="s">
        <v>175</v>
      </c>
      <c r="C63" s="717">
        <v>0</v>
      </c>
      <c r="D63" s="320"/>
      <c r="E63" s="731"/>
      <c r="F63" s="720">
        <v>0</v>
      </c>
      <c r="G63" s="732"/>
      <c r="H63" s="720">
        <v>0</v>
      </c>
      <c r="I63" s="732"/>
      <c r="J63" s="720">
        <v>0</v>
      </c>
      <c r="K63" s="732"/>
      <c r="L63" s="720">
        <v>0</v>
      </c>
      <c r="M63" s="723">
        <v>0</v>
      </c>
    </row>
    <row r="64" spans="1:13">
      <c r="A64" s="513">
        <v>80.03</v>
      </c>
      <c r="B64" s="517" t="s">
        <v>57</v>
      </c>
      <c r="C64" s="717">
        <v>0</v>
      </c>
      <c r="D64" s="320"/>
      <c r="E64" s="731"/>
      <c r="F64" s="720">
        <v>0</v>
      </c>
      <c r="G64" s="732"/>
      <c r="H64" s="720">
        <v>0</v>
      </c>
      <c r="I64" s="732"/>
      <c r="J64" s="720">
        <v>0</v>
      </c>
      <c r="K64" s="732"/>
      <c r="L64" s="720">
        <v>0</v>
      </c>
      <c r="M64" s="723">
        <v>0</v>
      </c>
    </row>
    <row r="65" spans="1:13">
      <c r="A65" s="513">
        <v>80.040000000000006</v>
      </c>
      <c r="B65" s="517" t="s">
        <v>58</v>
      </c>
      <c r="C65" s="717">
        <v>0</v>
      </c>
      <c r="D65" s="320"/>
      <c r="E65" s="731"/>
      <c r="F65" s="720">
        <v>0</v>
      </c>
      <c r="G65" s="732"/>
      <c r="H65" s="720">
        <v>0</v>
      </c>
      <c r="I65" s="732"/>
      <c r="J65" s="720">
        <v>0</v>
      </c>
      <c r="K65" s="732"/>
      <c r="L65" s="720">
        <v>0</v>
      </c>
      <c r="M65" s="723">
        <v>0</v>
      </c>
    </row>
    <row r="66" spans="1:13">
      <c r="A66" s="513">
        <v>80.05</v>
      </c>
      <c r="B66" s="517" t="s">
        <v>59</v>
      </c>
      <c r="C66" s="717">
        <v>0</v>
      </c>
      <c r="D66" s="320"/>
      <c r="E66" s="731"/>
      <c r="F66" s="720">
        <v>0</v>
      </c>
      <c r="G66" s="732"/>
      <c r="H66" s="720">
        <v>0</v>
      </c>
      <c r="I66" s="732"/>
      <c r="J66" s="720">
        <v>0</v>
      </c>
      <c r="K66" s="732"/>
      <c r="L66" s="720">
        <v>0</v>
      </c>
      <c r="M66" s="723">
        <v>0</v>
      </c>
    </row>
    <row r="67" spans="1:13">
      <c r="A67" s="513">
        <v>80.06</v>
      </c>
      <c r="B67" s="517" t="s">
        <v>60</v>
      </c>
      <c r="C67" s="717">
        <v>0</v>
      </c>
      <c r="D67" s="320"/>
      <c r="E67" s="731"/>
      <c r="F67" s="720">
        <v>0</v>
      </c>
      <c r="G67" s="732"/>
      <c r="H67" s="720">
        <v>0</v>
      </c>
      <c r="I67" s="732"/>
      <c r="J67" s="720">
        <v>0</v>
      </c>
      <c r="K67" s="732"/>
      <c r="L67" s="720">
        <v>0</v>
      </c>
      <c r="M67" s="723">
        <v>0</v>
      </c>
    </row>
    <row r="68" spans="1:13">
      <c r="A68" s="513">
        <v>80.069999999999993</v>
      </c>
      <c r="B68" s="517" t="s">
        <v>61</v>
      </c>
      <c r="C68" s="717">
        <v>0</v>
      </c>
      <c r="D68" s="320"/>
      <c r="E68" s="731"/>
      <c r="F68" s="720">
        <v>0</v>
      </c>
      <c r="G68" s="732"/>
      <c r="H68" s="720">
        <v>0</v>
      </c>
      <c r="I68" s="732"/>
      <c r="J68" s="720">
        <v>0</v>
      </c>
      <c r="K68" s="732"/>
      <c r="L68" s="720">
        <v>0</v>
      </c>
      <c r="M68" s="723">
        <v>0</v>
      </c>
    </row>
    <row r="69" spans="1:13" ht="13.5" thickBot="1">
      <c r="A69" s="513">
        <v>80.08</v>
      </c>
      <c r="B69" s="517" t="s">
        <v>62</v>
      </c>
      <c r="C69" s="717">
        <v>0</v>
      </c>
      <c r="D69" s="320"/>
      <c r="E69" s="733"/>
      <c r="F69" s="725">
        <v>0</v>
      </c>
      <c r="G69" s="734"/>
      <c r="H69" s="725">
        <v>0</v>
      </c>
      <c r="I69" s="734"/>
      <c r="J69" s="725">
        <v>0</v>
      </c>
      <c r="K69" s="734"/>
      <c r="L69" s="725">
        <v>0</v>
      </c>
      <c r="M69" s="726">
        <v>0</v>
      </c>
    </row>
    <row r="70" spans="1:13">
      <c r="A70" s="306"/>
      <c r="B70" s="715" t="s">
        <v>515</v>
      </c>
      <c r="C70" s="735">
        <f>SUM(C4:C69)</f>
        <v>0</v>
      </c>
      <c r="D70" s="320"/>
      <c r="E70" s="361"/>
      <c r="F70" s="361"/>
      <c r="G70" s="361"/>
      <c r="H70" s="361"/>
      <c r="I70" s="361"/>
      <c r="J70" s="361"/>
      <c r="K70" s="361"/>
      <c r="L70" s="361"/>
      <c r="M70" s="736"/>
    </row>
    <row r="71" spans="1:13" ht="13.5" thickBot="1">
      <c r="A71" s="359"/>
      <c r="B71" s="667"/>
      <c r="C71" s="365" t="s">
        <v>75</v>
      </c>
      <c r="D71" s="737"/>
      <c r="E71" s="738"/>
      <c r="F71" s="738"/>
      <c r="G71" s="738"/>
      <c r="H71" s="738"/>
      <c r="I71" s="738"/>
      <c r="J71" s="738"/>
      <c r="K71" s="738"/>
      <c r="L71" s="738"/>
      <c r="M71" s="739"/>
    </row>
    <row r="72" spans="1:13">
      <c r="A72" s="370"/>
      <c r="B72" s="367"/>
      <c r="C72" s="366"/>
      <c r="D72" s="366"/>
      <c r="E72" s="367"/>
      <c r="F72" s="367"/>
      <c r="G72" s="367"/>
      <c r="H72" s="367"/>
      <c r="I72" s="367"/>
      <c r="J72" s="367"/>
      <c r="K72" s="367"/>
      <c r="L72" s="367"/>
      <c r="M72" s="367"/>
    </row>
    <row r="73" spans="1:13">
      <c r="A73" s="370"/>
      <c r="B73" s="367"/>
      <c r="C73" s="366"/>
      <c r="D73" s="366"/>
      <c r="E73" s="367"/>
      <c r="F73" s="367"/>
      <c r="G73" s="367"/>
      <c r="H73" s="367"/>
      <c r="I73" s="367"/>
      <c r="J73" s="367"/>
      <c r="K73" s="367"/>
      <c r="L73" s="367"/>
      <c r="M73" s="367"/>
    </row>
    <row r="74" spans="1:13" ht="13.5" thickBot="1">
      <c r="A74" s="370"/>
      <c r="B74" s="367"/>
      <c r="C74" s="366"/>
      <c r="D74" s="366"/>
      <c r="E74" s="367"/>
      <c r="F74" s="367"/>
      <c r="G74" s="367"/>
      <c r="H74" s="367"/>
      <c r="I74" s="367"/>
      <c r="J74" s="367"/>
      <c r="K74" s="367"/>
      <c r="L74" s="367"/>
      <c r="M74" s="367"/>
    </row>
    <row r="75" spans="1:13">
      <c r="A75" s="370"/>
      <c r="B75" s="1106" t="s">
        <v>88</v>
      </c>
      <c r="C75" s="1107"/>
      <c r="D75" s="1107"/>
      <c r="E75" s="1107"/>
      <c r="F75" s="1134" t="s">
        <v>312</v>
      </c>
      <c r="G75" s="1134"/>
      <c r="H75" s="1134"/>
      <c r="I75" s="1134"/>
      <c r="J75" s="1134"/>
      <c r="K75" s="1134"/>
      <c r="L75" s="1135"/>
      <c r="M75" s="1135"/>
    </row>
    <row r="76" spans="1:13">
      <c r="A76" s="370"/>
      <c r="B76" s="1102" t="s">
        <v>89</v>
      </c>
      <c r="C76" s="1103"/>
      <c r="D76" s="1103"/>
      <c r="E76" s="1103"/>
      <c r="F76" s="1103"/>
      <c r="G76" s="1103"/>
      <c r="H76" s="1136" t="s">
        <v>98</v>
      </c>
      <c r="I76" s="1103"/>
      <c r="J76" s="1103"/>
      <c r="K76" s="1103"/>
      <c r="L76" s="1137"/>
      <c r="M76" s="1137"/>
    </row>
    <row r="77" spans="1:13">
      <c r="A77" s="370"/>
      <c r="B77" s="1102" t="s">
        <v>90</v>
      </c>
      <c r="C77" s="1103"/>
      <c r="D77" s="1103"/>
      <c r="E77" s="1103"/>
      <c r="F77" s="1103"/>
      <c r="G77" s="1103"/>
      <c r="H77" s="1103"/>
      <c r="I77" s="1103"/>
      <c r="J77" s="1136" t="s">
        <v>98</v>
      </c>
      <c r="K77" s="1103"/>
      <c r="L77" s="1137"/>
      <c r="M77" s="1137"/>
    </row>
    <row r="78" spans="1:13" ht="13.5" thickBot="1">
      <c r="A78" s="370"/>
      <c r="B78" s="1104" t="s">
        <v>91</v>
      </c>
      <c r="C78" s="1105"/>
      <c r="D78" s="1105"/>
      <c r="E78" s="1105"/>
      <c r="F78" s="1105"/>
      <c r="G78" s="1105"/>
      <c r="H78" s="1105"/>
      <c r="I78" s="1105"/>
      <c r="J78" s="1105"/>
      <c r="K78" s="1105"/>
      <c r="L78" s="1126" t="s">
        <v>98</v>
      </c>
      <c r="M78" s="1127"/>
    </row>
  </sheetData>
  <sheetProtection algorithmName="SHA-512" hashValue="3I5Kl8WtWzdlYIqA0KpYdHUYDyFkHVAxtB0J2P+tPvPJAJEQAMRvvFQQAYhtxnBrrzRakks6u0iY6UKcli3/Cw==" saltValue="lGnXTLrJNHdMZqexYZ5R/g==" spinCount="100000" sheet="1" scenarios="1" formatCells="0" formatColumns="0" formatRows="0"/>
  <mergeCells count="10">
    <mergeCell ref="B78:K78"/>
    <mergeCell ref="L78:M78"/>
    <mergeCell ref="A1:M1"/>
    <mergeCell ref="A2:M2"/>
    <mergeCell ref="B75:E75"/>
    <mergeCell ref="F75:M75"/>
    <mergeCell ref="B76:G76"/>
    <mergeCell ref="H76:M76"/>
    <mergeCell ref="B77:I77"/>
    <mergeCell ref="J77:M77"/>
  </mergeCells>
  <pageMargins left="0.7" right="0.7" top="0.75" bottom="0.75" header="0.3" footer="0.3"/>
  <pageSetup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tabColor theme="4" tint="0.39997558519241921"/>
  </sheetPr>
  <dimension ref="A1:AL90"/>
  <sheetViews>
    <sheetView zoomScale="85" zoomScaleNormal="85" workbookViewId="0">
      <pane xSplit="3" ySplit="3" topLeftCell="D4" activePane="bottomRight" state="frozen"/>
      <selection pane="topRight" activeCell="D1" sqref="D1"/>
      <selection pane="bottomLeft" activeCell="A4" sqref="A4"/>
      <selection pane="bottomRight" sqref="A1:C1"/>
    </sheetView>
  </sheetViews>
  <sheetFormatPr defaultColWidth="8.85546875" defaultRowHeight="12.75"/>
  <cols>
    <col min="2" max="2" width="55.42578125" customWidth="1"/>
    <col min="3" max="3" width="10.85546875" customWidth="1"/>
    <col min="4" max="5" width="3.42578125" customWidth="1"/>
    <col min="6" max="6" width="3.42578125" style="763" customWidth="1"/>
    <col min="7" max="7" width="5.85546875" customWidth="1"/>
    <col min="8" max="8" width="3.42578125" customWidth="1"/>
    <col min="9" max="9" width="3.42578125" style="763" customWidth="1"/>
    <col min="10" max="10" width="5.85546875" customWidth="1"/>
    <col min="11" max="11" width="3.42578125" customWidth="1"/>
    <col min="12" max="12" width="3.42578125" style="763" customWidth="1"/>
    <col min="13" max="13" width="5.85546875" customWidth="1"/>
    <col min="14" max="14" width="3.42578125" customWidth="1"/>
    <col min="15" max="15" width="3.42578125" style="763" customWidth="1"/>
    <col min="16" max="16" width="6.140625" customWidth="1"/>
    <col min="17" max="18" width="3.42578125" style="763" customWidth="1"/>
    <col min="19" max="19" width="5.85546875" customWidth="1"/>
    <col min="20" max="20" width="2.85546875" customWidth="1"/>
    <col min="21" max="21" width="2.140625" customWidth="1"/>
    <col min="22" max="22" width="8.42578125" customWidth="1"/>
    <col min="23" max="25" width="10.85546875" customWidth="1"/>
    <col min="26" max="26" width="5.85546875" customWidth="1"/>
    <col min="27" max="28" width="10.85546875" customWidth="1"/>
    <col min="29" max="29" width="1.5703125" customWidth="1"/>
    <col min="30" max="32" width="10.85546875" customWidth="1"/>
  </cols>
  <sheetData>
    <row r="1" spans="1:38" s="770" customFormat="1" ht="60.95" customHeight="1" thickBot="1">
      <c r="A1" s="1149" t="str">
        <f ca="1">MID(CELL("filename",A1), FIND("]", CELL("filename", A1))+ 1, 255)&amp;": This worksheet requires no input (see exception following); it is a totaling of the the active risk profiles.
Exception: Analyst may input a particular probability value (in yellow cell AA24) to determine a projected p-value project cost outcome."</f>
        <v>Risk Assessment Total: This worksheet requires no input (see exception following); it is a totaling of the the active risk profiles.
Exception: Analyst may input a particular probability value (in yellow cell AA24) to determine a projected p-value project cost outcome.</v>
      </c>
      <c r="B1" s="1150"/>
      <c r="C1" s="1150"/>
      <c r="D1" s="929"/>
      <c r="E1" s="929"/>
      <c r="F1" s="929"/>
      <c r="G1" s="772"/>
      <c r="H1" s="772"/>
      <c r="I1" s="772"/>
      <c r="J1" s="772"/>
      <c r="K1" s="772"/>
      <c r="L1" s="772"/>
      <c r="M1" s="772"/>
      <c r="N1" s="772"/>
      <c r="O1" s="772"/>
      <c r="P1" s="772"/>
      <c r="Q1" s="772"/>
      <c r="R1" s="772"/>
      <c r="S1" s="772"/>
      <c r="T1" s="783"/>
      <c r="U1" s="783"/>
      <c r="V1" s="783"/>
      <c r="W1" s="783"/>
      <c r="X1" s="783"/>
      <c r="Y1" s="783"/>
      <c r="Z1" s="783"/>
      <c r="AA1" s="783"/>
      <c r="AB1" s="783"/>
      <c r="AC1" s="783"/>
      <c r="AD1" s="783"/>
      <c r="AE1" s="783"/>
      <c r="AF1" s="783"/>
    </row>
    <row r="2" spans="1:38" s="654" customFormat="1" ht="29.1" customHeight="1" thickBot="1">
      <c r="A2" s="1140" t="s">
        <v>491</v>
      </c>
      <c r="B2" s="1141"/>
      <c r="C2" s="1141"/>
      <c r="D2" s="658"/>
      <c r="E2" s="1142" t="s">
        <v>536</v>
      </c>
      <c r="F2" s="1143"/>
      <c r="G2" s="1144"/>
      <c r="H2" s="1142" t="s">
        <v>539</v>
      </c>
      <c r="I2" s="1143"/>
      <c r="J2" s="1151"/>
      <c r="K2" s="1142" t="s">
        <v>540</v>
      </c>
      <c r="L2" s="1143"/>
      <c r="M2" s="1151"/>
      <c r="N2" s="1142" t="s">
        <v>541</v>
      </c>
      <c r="O2" s="1143"/>
      <c r="P2" s="1151"/>
      <c r="Q2" s="1143" t="s">
        <v>542</v>
      </c>
      <c r="R2" s="1143"/>
      <c r="S2" s="1151"/>
      <c r="T2"/>
      <c r="U2"/>
      <c r="V2" s="658"/>
      <c r="W2" s="658"/>
      <c r="X2" s="658"/>
      <c r="Y2" s="658"/>
      <c r="Z2" s="658"/>
      <c r="AA2" s="658"/>
      <c r="AB2" s="658"/>
      <c r="AC2" s="658"/>
      <c r="AD2" s="658"/>
      <c r="AE2" s="658"/>
      <c r="AF2" s="658"/>
    </row>
    <row r="3" spans="1:38" s="1" customFormat="1" ht="38.1" customHeight="1">
      <c r="A3" s="300" t="s">
        <v>11</v>
      </c>
      <c r="B3" s="301" t="s">
        <v>12</v>
      </c>
      <c r="C3" s="190" t="s">
        <v>72</v>
      </c>
      <c r="D3" s="93"/>
      <c r="E3" s="814"/>
      <c r="F3" s="815"/>
      <c r="G3" s="302" t="s">
        <v>84</v>
      </c>
      <c r="H3" s="814"/>
      <c r="I3" s="815"/>
      <c r="J3" s="302" t="s">
        <v>85</v>
      </c>
      <c r="K3" s="814"/>
      <c r="L3" s="815"/>
      <c r="M3" s="302" t="s">
        <v>86</v>
      </c>
      <c r="N3" s="814"/>
      <c r="O3" s="815"/>
      <c r="P3" s="302" t="s">
        <v>87</v>
      </c>
      <c r="Q3" s="814"/>
      <c r="R3" s="815"/>
      <c r="S3" s="302" t="s">
        <v>553</v>
      </c>
      <c r="T3" s="242"/>
      <c r="U3" s="242"/>
      <c r="V3" s="220" t="s">
        <v>1</v>
      </c>
      <c r="W3" s="189" t="s">
        <v>71</v>
      </c>
      <c r="X3" s="189" t="s">
        <v>73</v>
      </c>
      <c r="Y3" s="190" t="s">
        <v>7</v>
      </c>
      <c r="Z3" s="90"/>
      <c r="AA3" s="220" t="s">
        <v>0</v>
      </c>
      <c r="AB3" s="190" t="s">
        <v>77</v>
      </c>
      <c r="AC3" s="129"/>
      <c r="AD3" s="220" t="s">
        <v>77</v>
      </c>
      <c r="AE3" s="189" t="s">
        <v>78</v>
      </c>
      <c r="AF3" s="190" t="s">
        <v>79</v>
      </c>
      <c r="AH3"/>
      <c r="AI3"/>
      <c r="AJ3"/>
      <c r="AK3"/>
      <c r="AL3"/>
    </row>
    <row r="4" spans="1:38">
      <c r="A4" s="513" t="s">
        <v>165</v>
      </c>
      <c r="B4" s="517"/>
      <c r="C4" s="52"/>
      <c r="D4" s="2"/>
      <c r="E4" s="309"/>
      <c r="F4" s="310"/>
      <c r="G4" s="311"/>
      <c r="H4" s="309"/>
      <c r="I4" s="310"/>
      <c r="J4" s="311"/>
      <c r="K4" s="309"/>
      <c r="L4" s="310"/>
      <c r="M4" s="311"/>
      <c r="N4" s="309"/>
      <c r="O4" s="310"/>
      <c r="P4" s="311"/>
      <c r="Q4" s="777"/>
      <c r="R4" s="777"/>
      <c r="S4" s="778"/>
      <c r="T4" s="242"/>
      <c r="U4" s="242"/>
      <c r="V4" s="177"/>
      <c r="W4" s="221"/>
      <c r="X4" s="221"/>
      <c r="Y4" s="222"/>
      <c r="Z4" s="90"/>
      <c r="AA4" s="53">
        <v>0</v>
      </c>
      <c r="AB4" s="42">
        <f>RA_lwrbnd</f>
        <v>0</v>
      </c>
      <c r="AC4" s="38"/>
      <c r="AD4" s="49">
        <f>RA_lwrbnd</f>
        <v>0</v>
      </c>
      <c r="AE4" s="201" t="e">
        <f t="shared" ref="AE4:AE14" si="0">BETADIST(AD4,RA_alpha,RA_beta,RA_lwrbnd,RA_uprbnd)</f>
        <v>#NUM!</v>
      </c>
      <c r="AF4" s="203" t="e">
        <f>AE4</f>
        <v>#NUM!</v>
      </c>
    </row>
    <row r="5" spans="1:38">
      <c r="A5" s="513">
        <v>10.01</v>
      </c>
      <c r="B5" s="517" t="s">
        <v>15</v>
      </c>
      <c r="C5" s="76">
        <f>SUM('Risk Assessment (1):Risk Assessment (4)'!C5,'Additional Profiles'!C5)</f>
        <v>0</v>
      </c>
      <c r="D5" s="96"/>
      <c r="E5" s="796"/>
      <c r="F5" s="797"/>
      <c r="G5" s="804">
        <f>IF($C5&lt;&gt;0,SUM(('Risk Assessment (1)'!G5*'Risk Assessment (1)'!$C5),('Risk Assessment (2)'!G5*'Risk Assessment (2)'!$C5),('Risk Assessment (3)'!G5*'Risk Assessment (3)'!$C5),('Risk Assessment (4)'!G5*'Risk Assessment (4)'!$C5),('Additional Profiles'!F5*'Additional Profiles'!$C5))/$C5,0)</f>
        <v>0</v>
      </c>
      <c r="H5" s="796"/>
      <c r="I5" s="797"/>
      <c r="J5" s="804">
        <f>IF($C5&lt;&gt;0,SUM(('Risk Assessment (1)'!J5*'Risk Assessment (1)'!$C5),('Risk Assessment (2)'!J5*'Risk Assessment (2)'!$C5),('Risk Assessment (3)'!J5*'Risk Assessment (3)'!$C5),('Risk Assessment (4)'!J5*'Risk Assessment (4)'!$C5),('Additional Profiles'!H5*'Additional Profiles'!$C5))/$C5,0)</f>
        <v>0</v>
      </c>
      <c r="K5" s="796"/>
      <c r="L5" s="797"/>
      <c r="M5" s="804">
        <f>IF($C5&lt;&gt;0,SUM(('Risk Assessment (1)'!M5*'Risk Assessment (1)'!$C5),('Risk Assessment (2)'!M5*'Risk Assessment (2)'!$C5),('Risk Assessment (3)'!M5*'Risk Assessment (3)'!$C5),('Risk Assessment (4)'!M5*'Risk Assessment (4)'!$C5),('Additional Profiles'!J5*'Additional Profiles'!$C5))/$C5,0)</f>
        <v>0</v>
      </c>
      <c r="N5" s="796"/>
      <c r="O5" s="797"/>
      <c r="P5" s="804">
        <f>IF($C5&lt;&gt;0,SUM(('Risk Assessment (1)'!P5*'Risk Assessment (1)'!$C5),('Risk Assessment (2)'!P5*'Risk Assessment (2)'!$C5),('Risk Assessment (3)'!P5*'Risk Assessment (3)'!$C5),('Risk Assessment (4)'!P5*'Risk Assessment (4)'!$C5),('Additional Profiles'!L5*'Additional Profiles'!$C5))/$C5,0)</f>
        <v>0</v>
      </c>
      <c r="Q5" s="796"/>
      <c r="R5" s="797"/>
      <c r="S5" s="804">
        <f>IF($C5&lt;&gt;0,SUM(('Risk Assessment (1)'!S5*'Risk Assessment (1)'!$C5),('Risk Assessment (2)'!S5*'Risk Assessment (2)'!$C5),('Risk Assessment (3)'!S5*'Risk Assessment (3)'!$C5),('Risk Assessment (4)'!S5*'Risk Assessment (4)'!$C5),('Additional Profiles'!M5*'Additional Profiles'!$C5))/$C5,0)</f>
        <v>0</v>
      </c>
      <c r="T5" s="242"/>
      <c r="U5" s="242"/>
      <c r="V5" s="197">
        <f t="shared" ref="V5:V17" si="1">1+SUM(G5,J5,M5,P5,S5)</f>
        <v>1</v>
      </c>
      <c r="W5" s="192">
        <f t="shared" ref="W5:W17" si="2">C5*V5</f>
        <v>0</v>
      </c>
      <c r="X5" s="192">
        <f t="shared" ref="X5:X17" si="3">IF(C5,BETAINV(0.5,RA_alpha,RA_beta,C5,W5),0)</f>
        <v>0</v>
      </c>
      <c r="Y5" s="78">
        <f t="shared" ref="Y5:Y17" si="4">((RA_alpha/(RA_alpha+RA_beta))*(W5-C5))+C5</f>
        <v>0</v>
      </c>
      <c r="Z5" s="90"/>
      <c r="AA5" s="53">
        <v>0.1</v>
      </c>
      <c r="AB5" s="42" t="e">
        <f t="shared" ref="AB5:AB14" si="5">BETAINV(AA5,RA_alpha,RA_beta,RA_lwrbnd,RA_uprbnd)</f>
        <v>#NUM!</v>
      </c>
      <c r="AC5" s="38"/>
      <c r="AD5" s="49">
        <f t="shared" ref="AD5:AD13" si="6">AD4+((RA_uprbnd-RA_lwrbnd)/10)</f>
        <v>0</v>
      </c>
      <c r="AE5" s="201" t="e">
        <f t="shared" si="0"/>
        <v>#NUM!</v>
      </c>
      <c r="AF5" s="203" t="e">
        <f>AE5-AE4</f>
        <v>#NUM!</v>
      </c>
    </row>
    <row r="6" spans="1:38">
      <c r="A6" s="513">
        <v>10.02</v>
      </c>
      <c r="B6" s="517" t="s">
        <v>16</v>
      </c>
      <c r="C6" s="78">
        <f>SUM('Risk Assessment (1):Risk Assessment (4)'!C6,'Additional Profiles'!C6)</f>
        <v>0</v>
      </c>
      <c r="D6" s="96"/>
      <c r="E6" s="796"/>
      <c r="F6" s="797"/>
      <c r="G6" s="808">
        <f>IF($C6&lt;&gt;0,SUM(('Risk Assessment (1)'!G6*'Risk Assessment (1)'!$C6),('Risk Assessment (2)'!G6*'Risk Assessment (2)'!$C6),('Risk Assessment (3)'!G6*'Risk Assessment (3)'!$C6),('Risk Assessment (4)'!G6*'Risk Assessment (4)'!$C6),('Additional Profiles'!F6*'Additional Profiles'!$C6))/$C6,0)</f>
        <v>0</v>
      </c>
      <c r="H6" s="796"/>
      <c r="I6" s="797"/>
      <c r="J6" s="808">
        <f>IF($C6&lt;&gt;0,SUM(('Risk Assessment (1)'!J6*'Risk Assessment (1)'!$C6),('Risk Assessment (2)'!J6*'Risk Assessment (2)'!$C6),('Risk Assessment (3)'!J6*'Risk Assessment (3)'!$C6),('Risk Assessment (4)'!J6*'Risk Assessment (4)'!$C6),('Additional Profiles'!H6*'Additional Profiles'!$C6))/$C6,0)</f>
        <v>0</v>
      </c>
      <c r="K6" s="796"/>
      <c r="L6" s="797"/>
      <c r="M6" s="808">
        <f>IF($C6&lt;&gt;0,SUM(('Risk Assessment (1)'!M6*'Risk Assessment (1)'!$C6),('Risk Assessment (2)'!M6*'Risk Assessment (2)'!$C6),('Risk Assessment (3)'!M6*'Risk Assessment (3)'!$C6),('Risk Assessment (4)'!M6*'Risk Assessment (4)'!$C6),('Additional Profiles'!J6*'Additional Profiles'!$C6))/$C6,0)</f>
        <v>0</v>
      </c>
      <c r="N6" s="796"/>
      <c r="O6" s="797"/>
      <c r="P6" s="808">
        <f>IF($C6&lt;&gt;0,SUM(('Risk Assessment (1)'!P6*'Risk Assessment (1)'!$C6),('Risk Assessment (2)'!P6*'Risk Assessment (2)'!$C6),('Risk Assessment (3)'!P6*'Risk Assessment (3)'!$C6),('Risk Assessment (4)'!P6*'Risk Assessment (4)'!$C6),('Additional Profiles'!L6*'Additional Profiles'!$C6))/$C6,0)</f>
        <v>0</v>
      </c>
      <c r="Q6" s="796"/>
      <c r="R6" s="797"/>
      <c r="S6" s="808">
        <f>IF($C6&lt;&gt;0,SUM(('Risk Assessment (1)'!S6*'Risk Assessment (1)'!$C6),('Risk Assessment (2)'!S6*'Risk Assessment (2)'!$C6),('Risk Assessment (3)'!S6*'Risk Assessment (3)'!$C6),('Risk Assessment (4)'!S6*'Risk Assessment (4)'!$C6),('Additional Profiles'!M6*'Additional Profiles'!$C6))/$C6,0)</f>
        <v>0</v>
      </c>
      <c r="T6" s="242"/>
      <c r="U6" s="242"/>
      <c r="V6" s="197">
        <f t="shared" si="1"/>
        <v>1</v>
      </c>
      <c r="W6" s="192">
        <f t="shared" si="2"/>
        <v>0</v>
      </c>
      <c r="X6" s="192">
        <f t="shared" si="3"/>
        <v>0</v>
      </c>
      <c r="Y6" s="78">
        <f t="shared" si="4"/>
        <v>0</v>
      </c>
      <c r="Z6" s="90"/>
      <c r="AA6" s="53">
        <v>0.2</v>
      </c>
      <c r="AB6" s="42" t="e">
        <f t="shared" si="5"/>
        <v>#NUM!</v>
      </c>
      <c r="AC6" s="38"/>
      <c r="AD6" s="49">
        <f t="shared" si="6"/>
        <v>0</v>
      </c>
      <c r="AE6" s="201" t="e">
        <f t="shared" si="0"/>
        <v>#NUM!</v>
      </c>
      <c r="AF6" s="203" t="e">
        <f t="shared" ref="AF6:AF13" si="7">AE6-AE5</f>
        <v>#NUM!</v>
      </c>
    </row>
    <row r="7" spans="1:38">
      <c r="A7" s="513">
        <v>10.029999999999999</v>
      </c>
      <c r="B7" s="517" t="s">
        <v>17</v>
      </c>
      <c r="C7" s="78">
        <f>SUM('Risk Assessment (1):Risk Assessment (4)'!C7,'Additional Profiles'!C7)</f>
        <v>0</v>
      </c>
      <c r="D7" s="96"/>
      <c r="E7" s="796"/>
      <c r="F7" s="797"/>
      <c r="G7" s="808">
        <f>IF($C7&lt;&gt;0,SUM(('Risk Assessment (1)'!G7*'Risk Assessment (1)'!$C7),('Risk Assessment (2)'!G7*'Risk Assessment (2)'!$C7),('Risk Assessment (3)'!G7*'Risk Assessment (3)'!$C7),('Risk Assessment (4)'!G7*'Risk Assessment (4)'!$C7),('Additional Profiles'!F7*'Additional Profiles'!$C7))/$C7,0)</f>
        <v>0</v>
      </c>
      <c r="H7" s="796"/>
      <c r="I7" s="797"/>
      <c r="J7" s="808">
        <f>IF($C7&lt;&gt;0,SUM(('Risk Assessment (1)'!J7*'Risk Assessment (1)'!$C7),('Risk Assessment (2)'!J7*'Risk Assessment (2)'!$C7),('Risk Assessment (3)'!J7*'Risk Assessment (3)'!$C7),('Risk Assessment (4)'!J7*'Risk Assessment (4)'!$C7),('Additional Profiles'!H7*'Additional Profiles'!$C7))/$C7,0)</f>
        <v>0</v>
      </c>
      <c r="K7" s="796"/>
      <c r="L7" s="797"/>
      <c r="M7" s="808">
        <f>IF($C7&lt;&gt;0,SUM(('Risk Assessment (1)'!M7*'Risk Assessment (1)'!$C7),('Risk Assessment (2)'!M7*'Risk Assessment (2)'!$C7),('Risk Assessment (3)'!M7*'Risk Assessment (3)'!$C7),('Risk Assessment (4)'!M7*'Risk Assessment (4)'!$C7),('Additional Profiles'!J7*'Additional Profiles'!$C7))/$C7,0)</f>
        <v>0</v>
      </c>
      <c r="N7" s="796"/>
      <c r="O7" s="797"/>
      <c r="P7" s="808">
        <f>IF($C7&lt;&gt;0,SUM(('Risk Assessment (1)'!P7*'Risk Assessment (1)'!$C7),('Risk Assessment (2)'!P7*'Risk Assessment (2)'!$C7),('Risk Assessment (3)'!P7*'Risk Assessment (3)'!$C7),('Risk Assessment (4)'!P7*'Risk Assessment (4)'!$C7),('Additional Profiles'!L7*'Additional Profiles'!$C7))/$C7,0)</f>
        <v>0</v>
      </c>
      <c r="Q7" s="796"/>
      <c r="R7" s="797"/>
      <c r="S7" s="808">
        <f>IF($C7&lt;&gt;0,SUM(('Risk Assessment (1)'!S7*'Risk Assessment (1)'!$C7),('Risk Assessment (2)'!S7*'Risk Assessment (2)'!$C7),('Risk Assessment (3)'!S7*'Risk Assessment (3)'!$C7),('Risk Assessment (4)'!S7*'Risk Assessment (4)'!$C7),('Additional Profiles'!M7*'Additional Profiles'!$C7))/$C7,0)</f>
        <v>0</v>
      </c>
      <c r="T7" s="242"/>
      <c r="U7" s="242"/>
      <c r="V7" s="197">
        <f t="shared" si="1"/>
        <v>1</v>
      </c>
      <c r="W7" s="192">
        <f t="shared" si="2"/>
        <v>0</v>
      </c>
      <c r="X7" s="192">
        <f t="shared" si="3"/>
        <v>0</v>
      </c>
      <c r="Y7" s="78">
        <f t="shared" si="4"/>
        <v>0</v>
      </c>
      <c r="Z7" s="90"/>
      <c r="AA7" s="53">
        <v>0.3</v>
      </c>
      <c r="AB7" s="42" t="e">
        <f t="shared" si="5"/>
        <v>#NUM!</v>
      </c>
      <c r="AC7" s="38"/>
      <c r="AD7" s="49">
        <f t="shared" si="6"/>
        <v>0</v>
      </c>
      <c r="AE7" s="201" t="e">
        <f t="shared" si="0"/>
        <v>#NUM!</v>
      </c>
      <c r="AF7" s="203" t="e">
        <f t="shared" si="7"/>
        <v>#NUM!</v>
      </c>
    </row>
    <row r="8" spans="1:38">
      <c r="A8" s="513">
        <v>10.039999999999999</v>
      </c>
      <c r="B8" s="517" t="s">
        <v>18</v>
      </c>
      <c r="C8" s="78">
        <f>SUM('Risk Assessment (1):Risk Assessment (4)'!C8,'Additional Profiles'!C8)</f>
        <v>0</v>
      </c>
      <c r="D8" s="96"/>
      <c r="E8" s="796"/>
      <c r="F8" s="797"/>
      <c r="G8" s="808">
        <f>IF($C8&lt;&gt;0,SUM(('Risk Assessment (1)'!G8*'Risk Assessment (1)'!$C8),('Risk Assessment (2)'!G8*'Risk Assessment (2)'!$C8),('Risk Assessment (3)'!G8*'Risk Assessment (3)'!$C8),('Risk Assessment (4)'!G8*'Risk Assessment (4)'!$C8),('Additional Profiles'!F8*'Additional Profiles'!$C8))/$C8,0)</f>
        <v>0</v>
      </c>
      <c r="H8" s="796"/>
      <c r="I8" s="797"/>
      <c r="J8" s="808">
        <f>IF($C8&lt;&gt;0,SUM(('Risk Assessment (1)'!J8*'Risk Assessment (1)'!$C8),('Risk Assessment (2)'!J8*'Risk Assessment (2)'!$C8),('Risk Assessment (3)'!J8*'Risk Assessment (3)'!$C8),('Risk Assessment (4)'!J8*'Risk Assessment (4)'!$C8),('Additional Profiles'!H8*'Additional Profiles'!$C8))/$C8,0)</f>
        <v>0</v>
      </c>
      <c r="K8" s="796"/>
      <c r="L8" s="797"/>
      <c r="M8" s="808">
        <f>IF($C8&lt;&gt;0,SUM(('Risk Assessment (1)'!M8*'Risk Assessment (1)'!$C8),('Risk Assessment (2)'!M8*'Risk Assessment (2)'!$C8),('Risk Assessment (3)'!M8*'Risk Assessment (3)'!$C8),('Risk Assessment (4)'!M8*'Risk Assessment (4)'!$C8),('Additional Profiles'!J8*'Additional Profiles'!$C8))/$C8,0)</f>
        <v>0</v>
      </c>
      <c r="N8" s="796"/>
      <c r="O8" s="797"/>
      <c r="P8" s="808">
        <f>IF($C8&lt;&gt;0,SUM(('Risk Assessment (1)'!P8*'Risk Assessment (1)'!$C8),('Risk Assessment (2)'!P8*'Risk Assessment (2)'!$C8),('Risk Assessment (3)'!P8*'Risk Assessment (3)'!$C8),('Risk Assessment (4)'!P8*'Risk Assessment (4)'!$C8),('Additional Profiles'!L8*'Additional Profiles'!$C8))/$C8,0)</f>
        <v>0</v>
      </c>
      <c r="Q8" s="796"/>
      <c r="R8" s="797"/>
      <c r="S8" s="808">
        <f>IF($C8&lt;&gt;0,SUM(('Risk Assessment (1)'!S8*'Risk Assessment (1)'!$C8),('Risk Assessment (2)'!S8*'Risk Assessment (2)'!$C8),('Risk Assessment (3)'!S8*'Risk Assessment (3)'!$C8),('Risk Assessment (4)'!S8*'Risk Assessment (4)'!$C8),('Additional Profiles'!M8*'Additional Profiles'!$C8))/$C8,0)</f>
        <v>0</v>
      </c>
      <c r="T8" s="242"/>
      <c r="U8" s="242"/>
      <c r="V8" s="197">
        <f t="shared" si="1"/>
        <v>1</v>
      </c>
      <c r="W8" s="192">
        <f t="shared" si="2"/>
        <v>0</v>
      </c>
      <c r="X8" s="192">
        <f t="shared" si="3"/>
        <v>0</v>
      </c>
      <c r="Y8" s="78">
        <f t="shared" si="4"/>
        <v>0</v>
      </c>
      <c r="Z8" s="90"/>
      <c r="AA8" s="53">
        <v>0.4</v>
      </c>
      <c r="AB8" s="42" t="e">
        <f t="shared" si="5"/>
        <v>#NUM!</v>
      </c>
      <c r="AC8" s="38"/>
      <c r="AD8" s="49">
        <f t="shared" si="6"/>
        <v>0</v>
      </c>
      <c r="AE8" s="201" t="e">
        <f t="shared" si="0"/>
        <v>#NUM!</v>
      </c>
      <c r="AF8" s="203" t="e">
        <f t="shared" si="7"/>
        <v>#NUM!</v>
      </c>
    </row>
    <row r="9" spans="1:38">
      <c r="A9" s="513">
        <v>10.050000000000001</v>
      </c>
      <c r="B9" s="517" t="s">
        <v>19</v>
      </c>
      <c r="C9" s="78">
        <f>SUM('Risk Assessment (1):Risk Assessment (4)'!C9,'Additional Profiles'!C9)</f>
        <v>0</v>
      </c>
      <c r="D9" s="96"/>
      <c r="E9" s="796"/>
      <c r="F9" s="797"/>
      <c r="G9" s="808">
        <f>IF($C9&lt;&gt;0,SUM(('Risk Assessment (1)'!G9*'Risk Assessment (1)'!$C9),('Risk Assessment (2)'!G9*'Risk Assessment (2)'!$C9),('Risk Assessment (3)'!G9*'Risk Assessment (3)'!$C9),('Risk Assessment (4)'!G9*'Risk Assessment (4)'!$C9),('Additional Profiles'!F9*'Additional Profiles'!$C9))/$C9,0)</f>
        <v>0</v>
      </c>
      <c r="H9" s="796"/>
      <c r="I9" s="797"/>
      <c r="J9" s="808">
        <f>IF($C9&lt;&gt;0,SUM(('Risk Assessment (1)'!J9*'Risk Assessment (1)'!$C9),('Risk Assessment (2)'!J9*'Risk Assessment (2)'!$C9),('Risk Assessment (3)'!J9*'Risk Assessment (3)'!$C9),('Risk Assessment (4)'!J9*'Risk Assessment (4)'!$C9),('Additional Profiles'!H9*'Additional Profiles'!$C9))/$C9,0)</f>
        <v>0</v>
      </c>
      <c r="K9" s="796"/>
      <c r="L9" s="797"/>
      <c r="M9" s="808">
        <f>IF($C9&lt;&gt;0,SUM(('Risk Assessment (1)'!M9*'Risk Assessment (1)'!$C9),('Risk Assessment (2)'!M9*'Risk Assessment (2)'!$C9),('Risk Assessment (3)'!M9*'Risk Assessment (3)'!$C9),('Risk Assessment (4)'!M9*'Risk Assessment (4)'!$C9),('Additional Profiles'!J9*'Additional Profiles'!$C9))/$C9,0)</f>
        <v>0</v>
      </c>
      <c r="N9" s="796"/>
      <c r="O9" s="797"/>
      <c r="P9" s="808">
        <f>IF($C9&lt;&gt;0,SUM(('Risk Assessment (1)'!P9*'Risk Assessment (1)'!$C9),('Risk Assessment (2)'!P9*'Risk Assessment (2)'!$C9),('Risk Assessment (3)'!P9*'Risk Assessment (3)'!$C9),('Risk Assessment (4)'!P9*'Risk Assessment (4)'!$C9),('Additional Profiles'!L9*'Additional Profiles'!$C9))/$C9,0)</f>
        <v>0</v>
      </c>
      <c r="Q9" s="796"/>
      <c r="R9" s="797"/>
      <c r="S9" s="808">
        <f>IF($C9&lt;&gt;0,SUM(('Risk Assessment (1)'!S9*'Risk Assessment (1)'!$C9),('Risk Assessment (2)'!S9*'Risk Assessment (2)'!$C9),('Risk Assessment (3)'!S9*'Risk Assessment (3)'!$C9),('Risk Assessment (4)'!S9*'Risk Assessment (4)'!$C9),('Additional Profiles'!M9*'Additional Profiles'!$C9))/$C9,0)</f>
        <v>0</v>
      </c>
      <c r="T9" s="242"/>
      <c r="U9" s="242"/>
      <c r="V9" s="197">
        <f t="shared" si="1"/>
        <v>1</v>
      </c>
      <c r="W9" s="192">
        <f t="shared" si="2"/>
        <v>0</v>
      </c>
      <c r="X9" s="192">
        <f t="shared" si="3"/>
        <v>0</v>
      </c>
      <c r="Y9" s="78">
        <f t="shared" si="4"/>
        <v>0</v>
      </c>
      <c r="Z9" s="90"/>
      <c r="AA9" s="53">
        <v>0.5</v>
      </c>
      <c r="AB9" s="42" t="e">
        <f t="shared" si="5"/>
        <v>#NUM!</v>
      </c>
      <c r="AC9" s="38"/>
      <c r="AD9" s="49">
        <f t="shared" si="6"/>
        <v>0</v>
      </c>
      <c r="AE9" s="201" t="e">
        <f t="shared" si="0"/>
        <v>#NUM!</v>
      </c>
      <c r="AF9" s="203" t="e">
        <f t="shared" si="7"/>
        <v>#NUM!</v>
      </c>
    </row>
    <row r="10" spans="1:38">
      <c r="A10" s="513">
        <v>10.06</v>
      </c>
      <c r="B10" s="517" t="s">
        <v>20</v>
      </c>
      <c r="C10" s="78">
        <f>SUM('Risk Assessment (1):Risk Assessment (4)'!C10,'Additional Profiles'!C10)</f>
        <v>0</v>
      </c>
      <c r="D10" s="96"/>
      <c r="E10" s="796"/>
      <c r="F10" s="797"/>
      <c r="G10" s="808">
        <f>IF($C10&lt;&gt;0,SUM(('Risk Assessment (1)'!G10*'Risk Assessment (1)'!$C10),('Risk Assessment (2)'!G10*'Risk Assessment (2)'!$C10),('Risk Assessment (3)'!G10*'Risk Assessment (3)'!$C10),('Risk Assessment (4)'!G10*'Risk Assessment (4)'!$C10),('Additional Profiles'!F10*'Additional Profiles'!$C10))/$C10,0)</f>
        <v>0</v>
      </c>
      <c r="H10" s="796"/>
      <c r="I10" s="797"/>
      <c r="J10" s="808">
        <f>IF($C10&lt;&gt;0,SUM(('Risk Assessment (1)'!J10*'Risk Assessment (1)'!$C10),('Risk Assessment (2)'!J10*'Risk Assessment (2)'!$C10),('Risk Assessment (3)'!J10*'Risk Assessment (3)'!$C10),('Risk Assessment (4)'!J10*'Risk Assessment (4)'!$C10),('Additional Profiles'!H10*'Additional Profiles'!$C10))/$C10,0)</f>
        <v>0</v>
      </c>
      <c r="K10" s="796"/>
      <c r="L10" s="797"/>
      <c r="M10" s="808">
        <f>IF($C10&lt;&gt;0,SUM(('Risk Assessment (1)'!M10*'Risk Assessment (1)'!$C10),('Risk Assessment (2)'!M10*'Risk Assessment (2)'!$C10),('Risk Assessment (3)'!M10*'Risk Assessment (3)'!$C10),('Risk Assessment (4)'!M10*'Risk Assessment (4)'!$C10),('Additional Profiles'!J10*'Additional Profiles'!$C10))/$C10,0)</f>
        <v>0</v>
      </c>
      <c r="N10" s="796"/>
      <c r="O10" s="797"/>
      <c r="P10" s="808">
        <f>IF($C10&lt;&gt;0,SUM(('Risk Assessment (1)'!P10*'Risk Assessment (1)'!$C10),('Risk Assessment (2)'!P10*'Risk Assessment (2)'!$C10),('Risk Assessment (3)'!P10*'Risk Assessment (3)'!$C10),('Risk Assessment (4)'!P10*'Risk Assessment (4)'!$C10),('Additional Profiles'!L10*'Additional Profiles'!$C10))/$C10,0)</f>
        <v>0</v>
      </c>
      <c r="Q10" s="796"/>
      <c r="R10" s="797"/>
      <c r="S10" s="808">
        <f>IF($C10&lt;&gt;0,SUM(('Risk Assessment (1)'!S10*'Risk Assessment (1)'!$C10),('Risk Assessment (2)'!S10*'Risk Assessment (2)'!$C10),('Risk Assessment (3)'!S10*'Risk Assessment (3)'!$C10),('Risk Assessment (4)'!S10*'Risk Assessment (4)'!$C10),('Additional Profiles'!M10*'Additional Profiles'!$C10))/$C10,0)</f>
        <v>0</v>
      </c>
      <c r="T10" s="242"/>
      <c r="U10" s="242"/>
      <c r="V10" s="197">
        <f t="shared" si="1"/>
        <v>1</v>
      </c>
      <c r="W10" s="192">
        <f t="shared" si="2"/>
        <v>0</v>
      </c>
      <c r="X10" s="192">
        <f t="shared" si="3"/>
        <v>0</v>
      </c>
      <c r="Y10" s="78">
        <f t="shared" si="4"/>
        <v>0</v>
      </c>
      <c r="Z10" s="90"/>
      <c r="AA10" s="53">
        <v>0.6</v>
      </c>
      <c r="AB10" s="42" t="e">
        <f t="shared" si="5"/>
        <v>#NUM!</v>
      </c>
      <c r="AC10" s="38"/>
      <c r="AD10" s="49">
        <f t="shared" si="6"/>
        <v>0</v>
      </c>
      <c r="AE10" s="201" t="e">
        <f t="shared" si="0"/>
        <v>#NUM!</v>
      </c>
      <c r="AF10" s="203" t="e">
        <f t="shared" si="7"/>
        <v>#NUM!</v>
      </c>
    </row>
    <row r="11" spans="1:38">
      <c r="A11" s="513">
        <v>10.07</v>
      </c>
      <c r="B11" s="517" t="s">
        <v>21</v>
      </c>
      <c r="C11" s="78">
        <f>SUM('Risk Assessment (1):Risk Assessment (4)'!C11,'Additional Profiles'!C11)</f>
        <v>0</v>
      </c>
      <c r="D11" s="96"/>
      <c r="E11" s="796"/>
      <c r="F11" s="797"/>
      <c r="G11" s="808">
        <f>IF($C11&lt;&gt;0,SUM(('Risk Assessment (1)'!G11*'Risk Assessment (1)'!$C11),('Risk Assessment (2)'!G11*'Risk Assessment (2)'!$C11),('Risk Assessment (3)'!G11*'Risk Assessment (3)'!$C11),('Risk Assessment (4)'!G11*'Risk Assessment (4)'!$C11),('Additional Profiles'!F11*'Additional Profiles'!$C11))/$C11,0)</f>
        <v>0</v>
      </c>
      <c r="H11" s="796"/>
      <c r="I11" s="797"/>
      <c r="J11" s="808">
        <f>IF($C11&lt;&gt;0,SUM(('Risk Assessment (1)'!J11*'Risk Assessment (1)'!$C11),('Risk Assessment (2)'!J11*'Risk Assessment (2)'!$C11),('Risk Assessment (3)'!J11*'Risk Assessment (3)'!$C11),('Risk Assessment (4)'!J11*'Risk Assessment (4)'!$C11),('Additional Profiles'!H11*'Additional Profiles'!$C11))/$C11,0)</f>
        <v>0</v>
      </c>
      <c r="K11" s="796"/>
      <c r="L11" s="797"/>
      <c r="M11" s="808">
        <f>IF($C11&lt;&gt;0,SUM(('Risk Assessment (1)'!M11*'Risk Assessment (1)'!$C11),('Risk Assessment (2)'!M11*'Risk Assessment (2)'!$C11),('Risk Assessment (3)'!M11*'Risk Assessment (3)'!$C11),('Risk Assessment (4)'!M11*'Risk Assessment (4)'!$C11),('Additional Profiles'!J11*'Additional Profiles'!$C11))/$C11,0)</f>
        <v>0</v>
      </c>
      <c r="N11" s="796"/>
      <c r="O11" s="797"/>
      <c r="P11" s="808">
        <f>IF($C11&lt;&gt;0,SUM(('Risk Assessment (1)'!P11*'Risk Assessment (1)'!$C11),('Risk Assessment (2)'!P11*'Risk Assessment (2)'!$C11),('Risk Assessment (3)'!P11*'Risk Assessment (3)'!$C11),('Risk Assessment (4)'!P11*'Risk Assessment (4)'!$C11),('Additional Profiles'!L11*'Additional Profiles'!$C11))/$C11,0)</f>
        <v>0</v>
      </c>
      <c r="Q11" s="796"/>
      <c r="R11" s="797"/>
      <c r="S11" s="808">
        <f>IF($C11&lt;&gt;0,SUM(('Risk Assessment (1)'!S11*'Risk Assessment (1)'!$C11),('Risk Assessment (2)'!S11*'Risk Assessment (2)'!$C11),('Risk Assessment (3)'!S11*'Risk Assessment (3)'!$C11),('Risk Assessment (4)'!S11*'Risk Assessment (4)'!$C11),('Additional Profiles'!M11*'Additional Profiles'!$C11))/$C11,0)</f>
        <v>0</v>
      </c>
      <c r="T11" s="242"/>
      <c r="U11" s="242"/>
      <c r="V11" s="197">
        <f t="shared" si="1"/>
        <v>1</v>
      </c>
      <c r="W11" s="192">
        <f t="shared" si="2"/>
        <v>0</v>
      </c>
      <c r="X11" s="192">
        <f t="shared" si="3"/>
        <v>0</v>
      </c>
      <c r="Y11" s="78">
        <f t="shared" si="4"/>
        <v>0</v>
      </c>
      <c r="Z11" s="90"/>
      <c r="AA11" s="53">
        <v>0.65</v>
      </c>
      <c r="AB11" s="42" t="e">
        <f t="shared" si="5"/>
        <v>#NUM!</v>
      </c>
      <c r="AC11" s="38"/>
      <c r="AD11" s="49">
        <f t="shared" si="6"/>
        <v>0</v>
      </c>
      <c r="AE11" s="201" t="e">
        <f t="shared" si="0"/>
        <v>#NUM!</v>
      </c>
      <c r="AF11" s="203" t="e">
        <f t="shared" si="7"/>
        <v>#NUM!</v>
      </c>
    </row>
    <row r="12" spans="1:38">
      <c r="A12" s="513">
        <v>10.08</v>
      </c>
      <c r="B12" s="517" t="s">
        <v>22</v>
      </c>
      <c r="C12" s="78">
        <f>SUM('Risk Assessment (1):Risk Assessment (4)'!C12,'Additional Profiles'!C12)</f>
        <v>0</v>
      </c>
      <c r="D12" s="96"/>
      <c r="E12" s="796"/>
      <c r="F12" s="797"/>
      <c r="G12" s="808">
        <f>IF($C12&lt;&gt;0,SUM(('Risk Assessment (1)'!G12*'Risk Assessment (1)'!$C12),('Risk Assessment (2)'!G12*'Risk Assessment (2)'!$C12),('Risk Assessment (3)'!G12*'Risk Assessment (3)'!$C12),('Risk Assessment (4)'!G12*'Risk Assessment (4)'!$C12),('Additional Profiles'!F12*'Additional Profiles'!$C12))/$C12,0)</f>
        <v>0</v>
      </c>
      <c r="H12" s="796"/>
      <c r="I12" s="797"/>
      <c r="J12" s="808">
        <f>IF($C12&lt;&gt;0,SUM(('Risk Assessment (1)'!J12*'Risk Assessment (1)'!$C12),('Risk Assessment (2)'!J12*'Risk Assessment (2)'!$C12),('Risk Assessment (3)'!J12*'Risk Assessment (3)'!$C12),('Risk Assessment (4)'!J12*'Risk Assessment (4)'!$C12),('Additional Profiles'!H12*'Additional Profiles'!$C12))/$C12,0)</f>
        <v>0</v>
      </c>
      <c r="K12" s="796"/>
      <c r="L12" s="797"/>
      <c r="M12" s="808">
        <f>IF($C12&lt;&gt;0,SUM(('Risk Assessment (1)'!M12*'Risk Assessment (1)'!$C12),('Risk Assessment (2)'!M12*'Risk Assessment (2)'!$C12),('Risk Assessment (3)'!M12*'Risk Assessment (3)'!$C12),('Risk Assessment (4)'!M12*'Risk Assessment (4)'!$C12),('Additional Profiles'!J12*'Additional Profiles'!$C12))/$C12,0)</f>
        <v>0</v>
      </c>
      <c r="N12" s="796"/>
      <c r="O12" s="797"/>
      <c r="P12" s="808">
        <f>IF($C12&lt;&gt;0,SUM(('Risk Assessment (1)'!P12*'Risk Assessment (1)'!$C12),('Risk Assessment (2)'!P12*'Risk Assessment (2)'!$C12),('Risk Assessment (3)'!P12*'Risk Assessment (3)'!$C12),('Risk Assessment (4)'!P12*'Risk Assessment (4)'!$C12),('Additional Profiles'!L12*'Additional Profiles'!$C12))/$C12,0)</f>
        <v>0</v>
      </c>
      <c r="Q12" s="796"/>
      <c r="R12" s="797"/>
      <c r="S12" s="808">
        <f>IF($C12&lt;&gt;0,SUM(('Risk Assessment (1)'!S12*'Risk Assessment (1)'!$C12),('Risk Assessment (2)'!S12*'Risk Assessment (2)'!$C12),('Risk Assessment (3)'!S12*'Risk Assessment (3)'!$C12),('Risk Assessment (4)'!S12*'Risk Assessment (4)'!$C12),('Additional Profiles'!M12*'Additional Profiles'!$C12))/$C12,0)</f>
        <v>0</v>
      </c>
      <c r="T12" s="242"/>
      <c r="U12" s="242"/>
      <c r="V12" s="197">
        <f t="shared" si="1"/>
        <v>1</v>
      </c>
      <c r="W12" s="192">
        <f t="shared" si="2"/>
        <v>0</v>
      </c>
      <c r="X12" s="192">
        <f t="shared" si="3"/>
        <v>0</v>
      </c>
      <c r="Y12" s="78">
        <f t="shared" si="4"/>
        <v>0</v>
      </c>
      <c r="Z12" s="90"/>
      <c r="AA12" s="53">
        <v>0.7</v>
      </c>
      <c r="AB12" s="42" t="e">
        <f t="shared" si="5"/>
        <v>#NUM!</v>
      </c>
      <c r="AC12" s="38"/>
      <c r="AD12" s="49">
        <f t="shared" si="6"/>
        <v>0</v>
      </c>
      <c r="AE12" s="201" t="e">
        <f t="shared" si="0"/>
        <v>#NUM!</v>
      </c>
      <c r="AF12" s="203" t="e">
        <f t="shared" si="7"/>
        <v>#NUM!</v>
      </c>
    </row>
    <row r="13" spans="1:38">
      <c r="A13" s="513">
        <v>10.09</v>
      </c>
      <c r="B13" s="517" t="s">
        <v>23</v>
      </c>
      <c r="C13" s="78">
        <f>SUM('Risk Assessment (1):Risk Assessment (4)'!C13,'Additional Profiles'!C13)</f>
        <v>0</v>
      </c>
      <c r="D13" s="96"/>
      <c r="E13" s="796"/>
      <c r="F13" s="797"/>
      <c r="G13" s="808">
        <f>IF($C13&lt;&gt;0,SUM(('Risk Assessment (1)'!G13*'Risk Assessment (1)'!$C13),('Risk Assessment (2)'!G13*'Risk Assessment (2)'!$C13),('Risk Assessment (3)'!G13*'Risk Assessment (3)'!$C13),('Risk Assessment (4)'!G13*'Risk Assessment (4)'!$C13),('Additional Profiles'!F13*'Additional Profiles'!$C13))/$C13,0)</f>
        <v>0</v>
      </c>
      <c r="H13" s="796"/>
      <c r="I13" s="797"/>
      <c r="J13" s="808">
        <f>IF($C13&lt;&gt;0,SUM(('Risk Assessment (1)'!J13*'Risk Assessment (1)'!$C13),('Risk Assessment (2)'!J13*'Risk Assessment (2)'!$C13),('Risk Assessment (3)'!J13*'Risk Assessment (3)'!$C13),('Risk Assessment (4)'!J13*'Risk Assessment (4)'!$C13),('Additional Profiles'!H13*'Additional Profiles'!$C13))/$C13,0)</f>
        <v>0</v>
      </c>
      <c r="K13" s="796"/>
      <c r="L13" s="797"/>
      <c r="M13" s="808">
        <f>IF($C13&lt;&gt;0,SUM(('Risk Assessment (1)'!M13*'Risk Assessment (1)'!$C13),('Risk Assessment (2)'!M13*'Risk Assessment (2)'!$C13),('Risk Assessment (3)'!M13*'Risk Assessment (3)'!$C13),('Risk Assessment (4)'!M13*'Risk Assessment (4)'!$C13),('Additional Profiles'!J13*'Additional Profiles'!$C13))/$C13,0)</f>
        <v>0</v>
      </c>
      <c r="N13" s="796"/>
      <c r="O13" s="797"/>
      <c r="P13" s="808">
        <f>IF($C13&lt;&gt;0,SUM(('Risk Assessment (1)'!P13*'Risk Assessment (1)'!$C13),('Risk Assessment (2)'!P13*'Risk Assessment (2)'!$C13),('Risk Assessment (3)'!P13*'Risk Assessment (3)'!$C13),('Risk Assessment (4)'!P13*'Risk Assessment (4)'!$C13),('Additional Profiles'!L13*'Additional Profiles'!$C13))/$C13,0)</f>
        <v>0</v>
      </c>
      <c r="Q13" s="796"/>
      <c r="R13" s="797"/>
      <c r="S13" s="808">
        <f>IF($C13&lt;&gt;0,SUM(('Risk Assessment (1)'!S13*'Risk Assessment (1)'!$C13),('Risk Assessment (2)'!S13*'Risk Assessment (2)'!$C13),('Risk Assessment (3)'!S13*'Risk Assessment (3)'!$C13),('Risk Assessment (4)'!S13*'Risk Assessment (4)'!$C13),('Additional Profiles'!M13*'Additional Profiles'!$C13))/$C13,0)</f>
        <v>0</v>
      </c>
      <c r="T13" s="242"/>
      <c r="U13" s="242"/>
      <c r="V13" s="197">
        <f t="shared" si="1"/>
        <v>1</v>
      </c>
      <c r="W13" s="192">
        <f t="shared" si="2"/>
        <v>0</v>
      </c>
      <c r="X13" s="192">
        <f t="shared" si="3"/>
        <v>0</v>
      </c>
      <c r="Y13" s="78">
        <f t="shared" si="4"/>
        <v>0</v>
      </c>
      <c r="Z13" s="90"/>
      <c r="AA13" s="53">
        <v>0.8</v>
      </c>
      <c r="AB13" s="42" t="e">
        <f t="shared" si="5"/>
        <v>#NUM!</v>
      </c>
      <c r="AC13" s="38"/>
      <c r="AD13" s="49">
        <f t="shared" si="6"/>
        <v>0</v>
      </c>
      <c r="AE13" s="201" t="e">
        <f t="shared" si="0"/>
        <v>#NUM!</v>
      </c>
      <c r="AF13" s="203" t="e">
        <f t="shared" si="7"/>
        <v>#NUM!</v>
      </c>
    </row>
    <row r="14" spans="1:38" ht="13.5" thickBot="1">
      <c r="A14" s="513">
        <v>10.1</v>
      </c>
      <c r="B14" s="517" t="s">
        <v>24</v>
      </c>
      <c r="C14" s="78">
        <f>SUM('Risk Assessment (1):Risk Assessment (4)'!C14,'Additional Profiles'!C14)</f>
        <v>0</v>
      </c>
      <c r="D14" s="96"/>
      <c r="E14" s="796"/>
      <c r="F14" s="797"/>
      <c r="G14" s="808">
        <f>IF($C14&lt;&gt;0,SUM(('Risk Assessment (1)'!G14*'Risk Assessment (1)'!$C14),('Risk Assessment (2)'!G14*'Risk Assessment (2)'!$C14),('Risk Assessment (3)'!G14*'Risk Assessment (3)'!$C14),('Risk Assessment (4)'!G14*'Risk Assessment (4)'!$C14),('Additional Profiles'!F14*'Additional Profiles'!$C14))/$C14,0)</f>
        <v>0</v>
      </c>
      <c r="H14" s="796"/>
      <c r="I14" s="797"/>
      <c r="J14" s="808">
        <f>IF($C14&lt;&gt;0,SUM(('Risk Assessment (1)'!J14*'Risk Assessment (1)'!$C14),('Risk Assessment (2)'!J14*'Risk Assessment (2)'!$C14),('Risk Assessment (3)'!J14*'Risk Assessment (3)'!$C14),('Risk Assessment (4)'!J14*'Risk Assessment (4)'!$C14),('Additional Profiles'!H14*'Additional Profiles'!$C14))/$C14,0)</f>
        <v>0</v>
      </c>
      <c r="K14" s="796"/>
      <c r="L14" s="797"/>
      <c r="M14" s="808">
        <f>IF($C14&lt;&gt;0,SUM(('Risk Assessment (1)'!M14*'Risk Assessment (1)'!$C14),('Risk Assessment (2)'!M14*'Risk Assessment (2)'!$C14),('Risk Assessment (3)'!M14*'Risk Assessment (3)'!$C14),('Risk Assessment (4)'!M14*'Risk Assessment (4)'!$C14),('Additional Profiles'!J14*'Additional Profiles'!$C14))/$C14,0)</f>
        <v>0</v>
      </c>
      <c r="N14" s="796"/>
      <c r="O14" s="797"/>
      <c r="P14" s="808">
        <f>IF($C14&lt;&gt;0,SUM(('Risk Assessment (1)'!P14*'Risk Assessment (1)'!$C14),('Risk Assessment (2)'!P14*'Risk Assessment (2)'!$C14),('Risk Assessment (3)'!P14*'Risk Assessment (3)'!$C14),('Risk Assessment (4)'!P14*'Risk Assessment (4)'!$C14),('Additional Profiles'!L14*'Additional Profiles'!$C14))/$C14,0)</f>
        <v>0</v>
      </c>
      <c r="Q14" s="796"/>
      <c r="R14" s="797"/>
      <c r="S14" s="808">
        <f>IF($C14&lt;&gt;0,SUM(('Risk Assessment (1)'!S14*'Risk Assessment (1)'!$C14),('Risk Assessment (2)'!S14*'Risk Assessment (2)'!$C14),('Risk Assessment (3)'!S14*'Risk Assessment (3)'!$C14),('Risk Assessment (4)'!S14*'Risk Assessment (4)'!$C14),('Additional Profiles'!M14*'Additional Profiles'!$C14))/$C14,0)</f>
        <v>0</v>
      </c>
      <c r="T14" s="242"/>
      <c r="U14" s="242"/>
      <c r="V14" s="197">
        <f t="shared" si="1"/>
        <v>1</v>
      </c>
      <c r="W14" s="192">
        <f t="shared" si="2"/>
        <v>0</v>
      </c>
      <c r="X14" s="192">
        <f t="shared" si="3"/>
        <v>0</v>
      </c>
      <c r="Y14" s="78">
        <f t="shared" si="4"/>
        <v>0</v>
      </c>
      <c r="Z14" s="90"/>
      <c r="AA14" s="53">
        <v>0.9</v>
      </c>
      <c r="AB14" s="42" t="e">
        <f t="shared" si="5"/>
        <v>#NUM!</v>
      </c>
      <c r="AC14" s="38"/>
      <c r="AD14" s="50">
        <f>RA_uprbnd</f>
        <v>0</v>
      </c>
      <c r="AE14" s="202" t="e">
        <f t="shared" si="0"/>
        <v>#NUM!</v>
      </c>
      <c r="AF14" s="204" t="e">
        <f>AE14-AE13</f>
        <v>#NUM!</v>
      </c>
    </row>
    <row r="15" spans="1:38" ht="13.5" thickBot="1">
      <c r="A15" s="513">
        <v>10.11</v>
      </c>
      <c r="B15" s="517" t="s">
        <v>25</v>
      </c>
      <c r="C15" s="78">
        <f>SUM('Risk Assessment (1):Risk Assessment (4)'!C15,'Additional Profiles'!C15)</f>
        <v>0</v>
      </c>
      <c r="D15" s="96"/>
      <c r="E15" s="796"/>
      <c r="F15" s="797"/>
      <c r="G15" s="808">
        <f>IF($C15&lt;&gt;0,SUM(('Risk Assessment (1)'!G15*'Risk Assessment (1)'!$C15),('Risk Assessment (2)'!G15*'Risk Assessment (2)'!$C15),('Risk Assessment (3)'!G15*'Risk Assessment (3)'!$C15),('Risk Assessment (4)'!G15*'Risk Assessment (4)'!$C15),('Additional Profiles'!F15*'Additional Profiles'!$C15))/$C15,0)</f>
        <v>0</v>
      </c>
      <c r="H15" s="796"/>
      <c r="I15" s="797"/>
      <c r="J15" s="808">
        <f>IF($C15&lt;&gt;0,SUM(('Risk Assessment (1)'!J15*'Risk Assessment (1)'!$C15),('Risk Assessment (2)'!J15*'Risk Assessment (2)'!$C15),('Risk Assessment (3)'!J15*'Risk Assessment (3)'!$C15),('Risk Assessment (4)'!J15*'Risk Assessment (4)'!$C15),('Additional Profiles'!H15*'Additional Profiles'!$C15))/$C15,0)</f>
        <v>0</v>
      </c>
      <c r="K15" s="796"/>
      <c r="L15" s="797"/>
      <c r="M15" s="808">
        <f>IF($C15&lt;&gt;0,SUM(('Risk Assessment (1)'!M15*'Risk Assessment (1)'!$C15),('Risk Assessment (2)'!M15*'Risk Assessment (2)'!$C15),('Risk Assessment (3)'!M15*'Risk Assessment (3)'!$C15),('Risk Assessment (4)'!M15*'Risk Assessment (4)'!$C15),('Additional Profiles'!J15*'Additional Profiles'!$C15))/$C15,0)</f>
        <v>0</v>
      </c>
      <c r="N15" s="796"/>
      <c r="O15" s="797"/>
      <c r="P15" s="808">
        <f>IF($C15&lt;&gt;0,SUM(('Risk Assessment (1)'!P15*'Risk Assessment (1)'!$C15),('Risk Assessment (2)'!P15*'Risk Assessment (2)'!$C15),('Risk Assessment (3)'!P15*'Risk Assessment (3)'!$C15),('Risk Assessment (4)'!P15*'Risk Assessment (4)'!$C15),('Additional Profiles'!L15*'Additional Profiles'!$C15))/$C15,0)</f>
        <v>0</v>
      </c>
      <c r="Q15" s="796"/>
      <c r="R15" s="797"/>
      <c r="S15" s="808">
        <f>IF($C15&lt;&gt;0,SUM(('Risk Assessment (1)'!S15*'Risk Assessment (1)'!$C15),('Risk Assessment (2)'!S15*'Risk Assessment (2)'!$C15),('Risk Assessment (3)'!S15*'Risk Assessment (3)'!$C15),('Risk Assessment (4)'!S15*'Risk Assessment (4)'!$C15),('Additional Profiles'!M15*'Additional Profiles'!$C15))/$C15,0)</f>
        <v>0</v>
      </c>
      <c r="T15" s="242"/>
      <c r="U15" s="242"/>
      <c r="V15" s="197">
        <f t="shared" si="1"/>
        <v>1</v>
      </c>
      <c r="W15" s="192">
        <f t="shared" si="2"/>
        <v>0</v>
      </c>
      <c r="X15" s="192">
        <f t="shared" si="3"/>
        <v>0</v>
      </c>
      <c r="Y15" s="78">
        <f t="shared" si="4"/>
        <v>0</v>
      </c>
      <c r="Z15" s="90"/>
      <c r="AA15" s="200">
        <v>1</v>
      </c>
      <c r="AB15" s="205">
        <f>RA_uprbnd</f>
        <v>0</v>
      </c>
      <c r="AC15" s="38"/>
      <c r="AD15" s="54"/>
      <c r="AE15" s="55"/>
      <c r="AF15" s="67"/>
    </row>
    <row r="16" spans="1:38">
      <c r="A16" s="513">
        <v>10.119999999999999</v>
      </c>
      <c r="B16" s="517" t="s">
        <v>26</v>
      </c>
      <c r="C16" s="78">
        <f>SUM('Risk Assessment (1):Risk Assessment (4)'!C16,'Additional Profiles'!C16)</f>
        <v>0</v>
      </c>
      <c r="D16" s="96"/>
      <c r="E16" s="796"/>
      <c r="F16" s="797"/>
      <c r="G16" s="808">
        <f>IF($C16&lt;&gt;0,SUM(('Risk Assessment (1)'!G16*'Risk Assessment (1)'!$C16),('Risk Assessment (2)'!G16*'Risk Assessment (2)'!$C16),('Risk Assessment (3)'!G16*'Risk Assessment (3)'!$C16),('Risk Assessment (4)'!G16*'Risk Assessment (4)'!$C16),('Additional Profiles'!F16*'Additional Profiles'!$C16))/$C16,0)</f>
        <v>0</v>
      </c>
      <c r="H16" s="796"/>
      <c r="I16" s="797"/>
      <c r="J16" s="808">
        <f>IF($C16&lt;&gt;0,SUM(('Risk Assessment (1)'!J16*'Risk Assessment (1)'!$C16),('Risk Assessment (2)'!J16*'Risk Assessment (2)'!$C16),('Risk Assessment (3)'!J16*'Risk Assessment (3)'!$C16),('Risk Assessment (4)'!J16*'Risk Assessment (4)'!$C16),('Additional Profiles'!H16*'Additional Profiles'!$C16))/$C16,0)</f>
        <v>0</v>
      </c>
      <c r="K16" s="796"/>
      <c r="L16" s="797"/>
      <c r="M16" s="808">
        <f>IF($C16&lt;&gt;0,SUM(('Risk Assessment (1)'!M16*'Risk Assessment (1)'!$C16),('Risk Assessment (2)'!M16*'Risk Assessment (2)'!$C16),('Risk Assessment (3)'!M16*'Risk Assessment (3)'!$C16),('Risk Assessment (4)'!M16*'Risk Assessment (4)'!$C16),('Additional Profiles'!J16*'Additional Profiles'!$C16))/$C16,0)</f>
        <v>0</v>
      </c>
      <c r="N16" s="796"/>
      <c r="O16" s="797"/>
      <c r="P16" s="808">
        <f>IF($C16&lt;&gt;0,SUM(('Risk Assessment (1)'!P16*'Risk Assessment (1)'!$C16),('Risk Assessment (2)'!P16*'Risk Assessment (2)'!$C16),('Risk Assessment (3)'!P16*'Risk Assessment (3)'!$C16),('Risk Assessment (4)'!P16*'Risk Assessment (4)'!$C16),('Additional Profiles'!L16*'Additional Profiles'!$C16))/$C16,0)</f>
        <v>0</v>
      </c>
      <c r="Q16" s="796"/>
      <c r="R16" s="797"/>
      <c r="S16" s="808">
        <f>IF($C16&lt;&gt;0,SUM(('Risk Assessment (1)'!S16*'Risk Assessment (1)'!$C16),('Risk Assessment (2)'!S16*'Risk Assessment (2)'!$C16),('Risk Assessment (3)'!S16*'Risk Assessment (3)'!$C16),('Risk Assessment (4)'!S16*'Risk Assessment (4)'!$C16),('Additional Profiles'!M16*'Additional Profiles'!$C16))/$C16,0)</f>
        <v>0</v>
      </c>
      <c r="T16" s="242"/>
      <c r="U16" s="242"/>
      <c r="V16" s="197">
        <f t="shared" si="1"/>
        <v>1</v>
      </c>
      <c r="W16" s="192">
        <f t="shared" si="2"/>
        <v>0</v>
      </c>
      <c r="X16" s="192">
        <f t="shared" si="3"/>
        <v>0</v>
      </c>
      <c r="Y16" s="78">
        <f t="shared" si="4"/>
        <v>0</v>
      </c>
      <c r="Z16" s="90"/>
      <c r="AA16" s="53"/>
      <c r="AB16" s="40"/>
      <c r="AC16" s="33"/>
      <c r="AD16" s="33"/>
      <c r="AE16" s="33"/>
      <c r="AF16" s="56"/>
    </row>
    <row r="17" spans="1:32" ht="13.5" thickBot="1">
      <c r="A17" s="513">
        <v>10.130000000000001</v>
      </c>
      <c r="B17" s="517" t="s">
        <v>27</v>
      </c>
      <c r="C17" s="199">
        <f>SUM('Risk Assessment (1):Risk Assessment (4)'!C17,'Additional Profiles'!C17)</f>
        <v>0</v>
      </c>
      <c r="D17" s="96"/>
      <c r="E17" s="796"/>
      <c r="F17" s="797"/>
      <c r="G17" s="806">
        <f>IF($C17&lt;&gt;0,SUM(('Risk Assessment (1)'!G17*'Risk Assessment (1)'!$C17),('Risk Assessment (2)'!G17*'Risk Assessment (2)'!$C17),('Risk Assessment (3)'!G17*'Risk Assessment (3)'!$C17),('Risk Assessment (4)'!G17*'Risk Assessment (4)'!$C17),('Additional Profiles'!F17*'Additional Profiles'!$C17))/$C17,0)</f>
        <v>0</v>
      </c>
      <c r="H17" s="796"/>
      <c r="I17" s="797"/>
      <c r="J17" s="806">
        <f>IF($C17&lt;&gt;0,SUM(('Risk Assessment (1)'!J17*'Risk Assessment (1)'!$C17),('Risk Assessment (2)'!J17*'Risk Assessment (2)'!$C17),('Risk Assessment (3)'!J17*'Risk Assessment (3)'!$C17),('Risk Assessment (4)'!J17*'Risk Assessment (4)'!$C17),('Additional Profiles'!H17*'Additional Profiles'!$C17))/$C17,0)</f>
        <v>0</v>
      </c>
      <c r="K17" s="796"/>
      <c r="L17" s="797"/>
      <c r="M17" s="806">
        <f>IF($C17&lt;&gt;0,SUM(('Risk Assessment (1)'!M17*'Risk Assessment (1)'!$C17),('Risk Assessment (2)'!M17*'Risk Assessment (2)'!$C17),('Risk Assessment (3)'!M17*'Risk Assessment (3)'!$C17),('Risk Assessment (4)'!M17*'Risk Assessment (4)'!$C17),('Additional Profiles'!J17*'Additional Profiles'!$C17))/$C17,0)</f>
        <v>0</v>
      </c>
      <c r="N17" s="796"/>
      <c r="O17" s="797"/>
      <c r="P17" s="806">
        <f>IF($C17&lt;&gt;0,SUM(('Risk Assessment (1)'!P17*'Risk Assessment (1)'!$C17),('Risk Assessment (2)'!P17*'Risk Assessment (2)'!$C17),('Risk Assessment (3)'!P17*'Risk Assessment (3)'!$C17),('Risk Assessment (4)'!P17*'Risk Assessment (4)'!$C17),('Additional Profiles'!L17*'Additional Profiles'!$C17))/$C17,0)</f>
        <v>0</v>
      </c>
      <c r="Q17" s="796"/>
      <c r="R17" s="797"/>
      <c r="S17" s="806">
        <f>IF($C17&lt;&gt;0,SUM(('Risk Assessment (1)'!S17*'Risk Assessment (1)'!$C17),('Risk Assessment (2)'!S17*'Risk Assessment (2)'!$C17),('Risk Assessment (3)'!S17*'Risk Assessment (3)'!$C17),('Risk Assessment (4)'!S17*'Risk Assessment (4)'!$C17),('Additional Profiles'!M17*'Additional Profiles'!$C17))/$C17,0)</f>
        <v>0</v>
      </c>
      <c r="T17" s="242"/>
      <c r="U17" s="242"/>
      <c r="V17" s="198">
        <f t="shared" si="1"/>
        <v>1</v>
      </c>
      <c r="W17" s="193">
        <f t="shared" si="2"/>
        <v>0</v>
      </c>
      <c r="X17" s="193">
        <f t="shared" si="3"/>
        <v>0</v>
      </c>
      <c r="Y17" s="199">
        <f t="shared" si="4"/>
        <v>0</v>
      </c>
      <c r="Z17" s="90"/>
      <c r="AA17" s="53"/>
      <c r="AB17" s="33"/>
      <c r="AC17" s="33"/>
      <c r="AD17" s="33"/>
      <c r="AE17" s="33"/>
      <c r="AF17" s="56"/>
    </row>
    <row r="18" spans="1:32">
      <c r="A18" s="513" t="s">
        <v>167</v>
      </c>
      <c r="B18" s="517"/>
      <c r="C18" s="52"/>
      <c r="D18" s="2"/>
      <c r="E18" s="796"/>
      <c r="F18" s="797"/>
      <c r="G18" s="798"/>
      <c r="H18" s="796"/>
      <c r="I18" s="797"/>
      <c r="J18" s="798"/>
      <c r="K18" s="796"/>
      <c r="L18" s="797"/>
      <c r="M18" s="798"/>
      <c r="N18" s="796"/>
      <c r="O18" s="797"/>
      <c r="P18" s="798"/>
      <c r="Q18" s="796"/>
      <c r="R18" s="797"/>
      <c r="S18" s="798"/>
      <c r="T18" s="242"/>
      <c r="U18" s="242"/>
      <c r="V18" s="177"/>
      <c r="W18" s="221"/>
      <c r="X18" s="221"/>
      <c r="Y18" s="222"/>
      <c r="Z18" s="90"/>
      <c r="AA18" s="207">
        <f>RA_lwrrange</f>
        <v>0.4</v>
      </c>
      <c r="AB18" s="208" t="e">
        <f>BETAINV(AA18,RA_alpha,RA_beta,RA_lwrbnd,RA_uprbnd)</f>
        <v>#NUM!</v>
      </c>
      <c r="AC18" s="1145" t="s">
        <v>136</v>
      </c>
      <c r="AD18" s="1145"/>
      <c r="AE18" s="1145"/>
      <c r="AF18" s="1146"/>
    </row>
    <row r="19" spans="1:32">
      <c r="A19" s="513">
        <v>20.010000000000002</v>
      </c>
      <c r="B19" s="517" t="s">
        <v>63</v>
      </c>
      <c r="C19" s="76">
        <f>SUM('Risk Assessment (1):Risk Assessment (4)'!C19,'Additional Profiles'!C19)</f>
        <v>0</v>
      </c>
      <c r="D19" s="96"/>
      <c r="E19" s="796"/>
      <c r="F19" s="797"/>
      <c r="G19" s="804">
        <f>IF($C19&lt;&gt;0,SUM(('Risk Assessment (1)'!G19*'Risk Assessment (1)'!$C19),('Risk Assessment (2)'!G19*'Risk Assessment (2)'!$C19),('Risk Assessment (3)'!G19*'Risk Assessment (3)'!$C19),('Risk Assessment (4)'!G19*'Risk Assessment (4)'!$C19),('Additional Profiles'!F19*'Additional Profiles'!$C19))/$C19,0)</f>
        <v>0</v>
      </c>
      <c r="H19" s="796"/>
      <c r="I19" s="797"/>
      <c r="J19" s="804">
        <f>IF($C19&lt;&gt;0,SUM(('Risk Assessment (1)'!J19*'Risk Assessment (1)'!$C19),('Risk Assessment (2)'!J19*'Risk Assessment (2)'!$C19),('Risk Assessment (3)'!J19*'Risk Assessment (3)'!$C19),('Risk Assessment (4)'!J19*'Risk Assessment (4)'!$C19),('Additional Profiles'!H19*'Additional Profiles'!$C19))/$C19,0)</f>
        <v>0</v>
      </c>
      <c r="K19" s="796"/>
      <c r="L19" s="797"/>
      <c r="M19" s="804">
        <f>IF($C19&lt;&gt;0,SUM(('Risk Assessment (1)'!M19*'Risk Assessment (1)'!$C19),('Risk Assessment (2)'!M19*'Risk Assessment (2)'!$C19),('Risk Assessment (3)'!M19*'Risk Assessment (3)'!$C19),('Risk Assessment (4)'!M19*'Risk Assessment (4)'!$C19),('Additional Profiles'!J19*'Additional Profiles'!$C19))/$C19,0)</f>
        <v>0</v>
      </c>
      <c r="N19" s="796"/>
      <c r="O19" s="797"/>
      <c r="P19" s="804">
        <f>IF($C19&lt;&gt;0,SUM(('Risk Assessment (1)'!P19*'Risk Assessment (1)'!$C19),('Risk Assessment (2)'!P19*'Risk Assessment (2)'!$C19),('Risk Assessment (3)'!P19*'Risk Assessment (3)'!$C19),('Risk Assessment (4)'!P19*'Risk Assessment (4)'!$C19),('Additional Profiles'!L19*'Additional Profiles'!$C19))/$C19,0)</f>
        <v>0</v>
      </c>
      <c r="Q19" s="796"/>
      <c r="R19" s="797"/>
      <c r="S19" s="804">
        <f>IF($C19&lt;&gt;0,SUM(('Risk Assessment (1)'!S19*'Risk Assessment (1)'!$C19),('Risk Assessment (2)'!S19*'Risk Assessment (2)'!$C19),('Risk Assessment (3)'!S19*'Risk Assessment (3)'!$C19),('Risk Assessment (4)'!S19*'Risk Assessment (4)'!$C19),('Additional Profiles'!M19*'Additional Profiles'!$C19))/$C19,0)</f>
        <v>0</v>
      </c>
      <c r="T19" s="242"/>
      <c r="U19" s="242"/>
      <c r="V19" s="196">
        <f t="shared" ref="V19:V25" si="8">1+SUM(G19,J19,M19,P19,S19)</f>
        <v>1</v>
      </c>
      <c r="W19" s="191">
        <f t="shared" ref="W19:W25" si="9">C19*V19</f>
        <v>0</v>
      </c>
      <c r="X19" s="191">
        <f t="shared" ref="X19:X25" si="10">IF(C19,BETAINV(0.5,RA_alpha,RA_beta,C19,W19),0)</f>
        <v>0</v>
      </c>
      <c r="Y19" s="76">
        <f t="shared" ref="Y19:Y25" si="11">((RA_alpha/(RA_alpha+RA_beta))*(W19-C19))+C19</f>
        <v>0</v>
      </c>
      <c r="Z19" s="90"/>
      <c r="AA19" s="209">
        <f>RA_contingency_percent</f>
        <v>0.65</v>
      </c>
      <c r="AB19" s="206" t="e">
        <f>BETAINV(AA19,RA_alpha,RA_beta,RA_lwrbnd,RA_uprbnd)</f>
        <v>#NUM!</v>
      </c>
      <c r="AC19" s="1147" t="s">
        <v>83</v>
      </c>
      <c r="AD19" s="1147"/>
      <c r="AE19" s="1147"/>
      <c r="AF19" s="1148"/>
    </row>
    <row r="20" spans="1:32">
      <c r="A20" s="513">
        <v>20.02</v>
      </c>
      <c r="B20" s="517" t="s">
        <v>64</v>
      </c>
      <c r="C20" s="78">
        <f>SUM('Risk Assessment (1):Risk Assessment (4)'!C20,'Additional Profiles'!C20)</f>
        <v>0</v>
      </c>
      <c r="D20" s="96"/>
      <c r="E20" s="796"/>
      <c r="F20" s="797"/>
      <c r="G20" s="808">
        <f>IF($C20&lt;&gt;0,SUM(('Risk Assessment (1)'!G20*'Risk Assessment (1)'!$C20),('Risk Assessment (2)'!G20*'Risk Assessment (2)'!$C20),('Risk Assessment (3)'!G20*'Risk Assessment (3)'!$C20),('Risk Assessment (4)'!G20*'Risk Assessment (4)'!$C20),('Additional Profiles'!F20*'Additional Profiles'!$C20))/$C20,0)</f>
        <v>0</v>
      </c>
      <c r="H20" s="796"/>
      <c r="I20" s="797"/>
      <c r="J20" s="808">
        <f>IF($C20&lt;&gt;0,SUM(('Risk Assessment (1)'!J20*'Risk Assessment (1)'!$C20),('Risk Assessment (2)'!J20*'Risk Assessment (2)'!$C20),('Risk Assessment (3)'!J20*'Risk Assessment (3)'!$C20),('Risk Assessment (4)'!J20*'Risk Assessment (4)'!$C20),('Additional Profiles'!H20*'Additional Profiles'!$C20))/$C20,0)</f>
        <v>0</v>
      </c>
      <c r="K20" s="796"/>
      <c r="L20" s="797"/>
      <c r="M20" s="808">
        <f>IF($C20&lt;&gt;0,SUM(('Risk Assessment (1)'!M20*'Risk Assessment (1)'!$C20),('Risk Assessment (2)'!M20*'Risk Assessment (2)'!$C20),('Risk Assessment (3)'!M20*'Risk Assessment (3)'!$C20),('Risk Assessment (4)'!M20*'Risk Assessment (4)'!$C20),('Additional Profiles'!J20*'Additional Profiles'!$C20))/$C20,0)</f>
        <v>0</v>
      </c>
      <c r="N20" s="796"/>
      <c r="O20" s="797"/>
      <c r="P20" s="808">
        <f>IF($C20&lt;&gt;0,SUM(('Risk Assessment (1)'!P20*'Risk Assessment (1)'!$C20),('Risk Assessment (2)'!P20*'Risk Assessment (2)'!$C20),('Risk Assessment (3)'!P20*'Risk Assessment (3)'!$C20),('Risk Assessment (4)'!P20*'Risk Assessment (4)'!$C20),('Additional Profiles'!L20*'Additional Profiles'!$C20))/$C20,0)</f>
        <v>0</v>
      </c>
      <c r="Q20" s="796"/>
      <c r="R20" s="797"/>
      <c r="S20" s="808">
        <f>IF($C20&lt;&gt;0,SUM(('Risk Assessment (1)'!S20*'Risk Assessment (1)'!$C20),('Risk Assessment (2)'!S20*'Risk Assessment (2)'!$C20),('Risk Assessment (3)'!S20*'Risk Assessment (3)'!$C20),('Risk Assessment (4)'!S20*'Risk Assessment (4)'!$C20),('Additional Profiles'!M20*'Additional Profiles'!$C20))/$C20,0)</f>
        <v>0</v>
      </c>
      <c r="T20" s="242"/>
      <c r="U20" s="242"/>
      <c r="V20" s="197">
        <f t="shared" si="8"/>
        <v>1</v>
      </c>
      <c r="W20" s="192">
        <f t="shared" si="9"/>
        <v>0</v>
      </c>
      <c r="X20" s="192">
        <f t="shared" si="10"/>
        <v>0</v>
      </c>
      <c r="Y20" s="78">
        <f t="shared" si="11"/>
        <v>0</v>
      </c>
      <c r="Z20" s="90"/>
      <c r="AA20" s="209">
        <f>RA_uprrange</f>
        <v>0.8</v>
      </c>
      <c r="AB20" s="206" t="e">
        <f>BETAINV(AA20,RA_alpha,RA_beta,RA_lwrbnd,RA_uprbnd)</f>
        <v>#NUM!</v>
      </c>
      <c r="AC20" s="1147" t="s">
        <v>137</v>
      </c>
      <c r="AD20" s="1147"/>
      <c r="AE20" s="1147"/>
      <c r="AF20" s="1148"/>
    </row>
    <row r="21" spans="1:32" ht="12.95" customHeight="1">
      <c r="A21" s="513">
        <v>20.03</v>
      </c>
      <c r="B21" s="517" t="s">
        <v>65</v>
      </c>
      <c r="C21" s="78">
        <f>SUM('Risk Assessment (1):Risk Assessment (4)'!C21,'Additional Profiles'!C21)</f>
        <v>0</v>
      </c>
      <c r="D21" s="96"/>
      <c r="E21" s="796"/>
      <c r="F21" s="797"/>
      <c r="G21" s="808">
        <f>IF($C21&lt;&gt;0,SUM(('Risk Assessment (1)'!G21*'Risk Assessment (1)'!$C21),('Risk Assessment (2)'!G21*'Risk Assessment (2)'!$C21),('Risk Assessment (3)'!G21*'Risk Assessment (3)'!$C21),('Risk Assessment (4)'!G21*'Risk Assessment (4)'!$C21),('Additional Profiles'!F21*'Additional Profiles'!$C21))/$C21,0)</f>
        <v>0</v>
      </c>
      <c r="H21" s="796"/>
      <c r="I21" s="797"/>
      <c r="J21" s="808">
        <f>IF($C21&lt;&gt;0,SUM(('Risk Assessment (1)'!J21*'Risk Assessment (1)'!$C21),('Risk Assessment (2)'!J21*'Risk Assessment (2)'!$C21),('Risk Assessment (3)'!J21*'Risk Assessment (3)'!$C21),('Risk Assessment (4)'!J21*'Risk Assessment (4)'!$C21),('Additional Profiles'!H21*'Additional Profiles'!$C21))/$C21,0)</f>
        <v>0</v>
      </c>
      <c r="K21" s="796"/>
      <c r="L21" s="797"/>
      <c r="M21" s="808">
        <f>IF($C21&lt;&gt;0,SUM(('Risk Assessment (1)'!M21*'Risk Assessment (1)'!$C21),('Risk Assessment (2)'!M21*'Risk Assessment (2)'!$C21),('Risk Assessment (3)'!M21*'Risk Assessment (3)'!$C21),('Risk Assessment (4)'!M21*'Risk Assessment (4)'!$C21),('Additional Profiles'!J21*'Additional Profiles'!$C21))/$C21,0)</f>
        <v>0</v>
      </c>
      <c r="N21" s="796"/>
      <c r="O21" s="797"/>
      <c r="P21" s="808">
        <f>IF($C21&lt;&gt;0,SUM(('Risk Assessment (1)'!P21*'Risk Assessment (1)'!$C21),('Risk Assessment (2)'!P21*'Risk Assessment (2)'!$C21),('Risk Assessment (3)'!P21*'Risk Assessment (3)'!$C21),('Risk Assessment (4)'!P21*'Risk Assessment (4)'!$C21),('Additional Profiles'!L21*'Additional Profiles'!$C21))/$C21,0)</f>
        <v>0</v>
      </c>
      <c r="Q21" s="796"/>
      <c r="R21" s="797"/>
      <c r="S21" s="808">
        <f>IF($C21&lt;&gt;0,SUM(('Risk Assessment (1)'!S21*'Risk Assessment (1)'!$C21),('Risk Assessment (2)'!S21*'Risk Assessment (2)'!$C21),('Risk Assessment (3)'!S21*'Risk Assessment (3)'!$C21),('Risk Assessment (4)'!S21*'Risk Assessment (4)'!$C21),('Additional Profiles'!M21*'Additional Profiles'!$C21))/$C21,0)</f>
        <v>0</v>
      </c>
      <c r="T21" s="242"/>
      <c r="U21" s="242"/>
      <c r="V21" s="197">
        <f t="shared" si="8"/>
        <v>1</v>
      </c>
      <c r="W21" s="192">
        <f t="shared" si="9"/>
        <v>0</v>
      </c>
      <c r="X21" s="192">
        <f t="shared" si="10"/>
        <v>0</v>
      </c>
      <c r="Y21" s="78">
        <f t="shared" si="11"/>
        <v>0</v>
      </c>
      <c r="Z21" s="90"/>
      <c r="AA21" s="53"/>
      <c r="AB21" s="33"/>
      <c r="AC21" s="33"/>
      <c r="AD21" s="33"/>
      <c r="AE21" s="33"/>
      <c r="AF21" s="56"/>
    </row>
    <row r="22" spans="1:32">
      <c r="A22" s="513">
        <v>20.04</v>
      </c>
      <c r="B22" s="517" t="s">
        <v>66</v>
      </c>
      <c r="C22" s="78">
        <f>SUM('Risk Assessment (1):Risk Assessment (4)'!C22,'Additional Profiles'!C22)</f>
        <v>0</v>
      </c>
      <c r="D22" s="96"/>
      <c r="E22" s="796"/>
      <c r="F22" s="797"/>
      <c r="G22" s="808">
        <f>IF($C22&lt;&gt;0,SUM(('Risk Assessment (1)'!G22*'Risk Assessment (1)'!$C22),('Risk Assessment (2)'!G22*'Risk Assessment (2)'!$C22),('Risk Assessment (3)'!G22*'Risk Assessment (3)'!$C22),('Risk Assessment (4)'!G22*'Risk Assessment (4)'!$C22),('Additional Profiles'!F22*'Additional Profiles'!$C22))/$C22,0)</f>
        <v>0</v>
      </c>
      <c r="H22" s="796"/>
      <c r="I22" s="797"/>
      <c r="J22" s="808">
        <f>IF($C22&lt;&gt;0,SUM(('Risk Assessment (1)'!J22*'Risk Assessment (1)'!$C22),('Risk Assessment (2)'!J22*'Risk Assessment (2)'!$C22),('Risk Assessment (3)'!J22*'Risk Assessment (3)'!$C22),('Risk Assessment (4)'!J22*'Risk Assessment (4)'!$C22),('Additional Profiles'!H22*'Additional Profiles'!$C22))/$C22,0)</f>
        <v>0</v>
      </c>
      <c r="K22" s="796"/>
      <c r="L22" s="797"/>
      <c r="M22" s="808">
        <f>IF($C22&lt;&gt;0,SUM(('Risk Assessment (1)'!M22*'Risk Assessment (1)'!$C22),('Risk Assessment (2)'!M22*'Risk Assessment (2)'!$C22),('Risk Assessment (3)'!M22*'Risk Assessment (3)'!$C22),('Risk Assessment (4)'!M22*'Risk Assessment (4)'!$C22),('Additional Profiles'!J22*'Additional Profiles'!$C22))/$C22,0)</f>
        <v>0</v>
      </c>
      <c r="N22" s="796"/>
      <c r="O22" s="797"/>
      <c r="P22" s="808">
        <f>IF($C22&lt;&gt;0,SUM(('Risk Assessment (1)'!P22*'Risk Assessment (1)'!$C22),('Risk Assessment (2)'!P22*'Risk Assessment (2)'!$C22),('Risk Assessment (3)'!P22*'Risk Assessment (3)'!$C22),('Risk Assessment (4)'!P22*'Risk Assessment (4)'!$C22),('Additional Profiles'!L22*'Additional Profiles'!$C22))/$C22,0)</f>
        <v>0</v>
      </c>
      <c r="Q22" s="796"/>
      <c r="R22" s="797"/>
      <c r="S22" s="808">
        <f>IF($C22&lt;&gt;0,SUM(('Risk Assessment (1)'!S22*'Risk Assessment (1)'!$C22),('Risk Assessment (2)'!S22*'Risk Assessment (2)'!$C22),('Risk Assessment (3)'!S22*'Risk Assessment (3)'!$C22),('Risk Assessment (4)'!S22*'Risk Assessment (4)'!$C22),('Additional Profiles'!M22*'Additional Profiles'!$C22))/$C22,0)</f>
        <v>0</v>
      </c>
      <c r="T22" s="242"/>
      <c r="U22" s="242"/>
      <c r="V22" s="197">
        <f t="shared" si="8"/>
        <v>1</v>
      </c>
      <c r="W22" s="192">
        <f t="shared" si="9"/>
        <v>0</v>
      </c>
      <c r="X22" s="192">
        <f t="shared" si="10"/>
        <v>0</v>
      </c>
      <c r="Y22" s="78">
        <f t="shared" si="11"/>
        <v>0</v>
      </c>
      <c r="Z22" s="90"/>
      <c r="AA22" s="219">
        <f>IF(AB22&lt;=RA_lwrbnd,0,BETADIST(AB22,RA_alpha,RA_beta,RA_lwrbnd,RA_uprbnd))</f>
        <v>0</v>
      </c>
      <c r="AB22" s="218">
        <f>SpBYEst</f>
        <v>0</v>
      </c>
      <c r="AC22" s="1147" t="s">
        <v>153</v>
      </c>
      <c r="AD22" s="1147"/>
      <c r="AE22" s="1147"/>
      <c r="AF22" s="1148"/>
    </row>
    <row r="23" spans="1:32">
      <c r="A23" s="513">
        <v>20.05</v>
      </c>
      <c r="B23" s="517" t="s">
        <v>67</v>
      </c>
      <c r="C23" s="78">
        <f>SUM('Risk Assessment (1):Risk Assessment (4)'!C23,'Additional Profiles'!C23)</f>
        <v>0</v>
      </c>
      <c r="D23" s="96"/>
      <c r="E23" s="796"/>
      <c r="F23" s="797"/>
      <c r="G23" s="808">
        <f>IF($C23&lt;&gt;0,SUM(('Risk Assessment (1)'!G23*'Risk Assessment (1)'!$C23),('Risk Assessment (2)'!G23*'Risk Assessment (2)'!$C23),('Risk Assessment (3)'!G23*'Risk Assessment (3)'!$C23),('Risk Assessment (4)'!G23*'Risk Assessment (4)'!$C23),('Additional Profiles'!F23*'Additional Profiles'!$C23))/$C23,0)</f>
        <v>0</v>
      </c>
      <c r="H23" s="796"/>
      <c r="I23" s="797"/>
      <c r="J23" s="808">
        <f>IF($C23&lt;&gt;0,SUM(('Risk Assessment (1)'!J23*'Risk Assessment (1)'!$C23),('Risk Assessment (2)'!J23*'Risk Assessment (2)'!$C23),('Risk Assessment (3)'!J23*'Risk Assessment (3)'!$C23),('Risk Assessment (4)'!J23*'Risk Assessment (4)'!$C23),('Additional Profiles'!H23*'Additional Profiles'!$C23))/$C23,0)</f>
        <v>0</v>
      </c>
      <c r="K23" s="796"/>
      <c r="L23" s="797"/>
      <c r="M23" s="808">
        <f>IF($C23&lt;&gt;0,SUM(('Risk Assessment (1)'!M23*'Risk Assessment (1)'!$C23),('Risk Assessment (2)'!M23*'Risk Assessment (2)'!$C23),('Risk Assessment (3)'!M23*'Risk Assessment (3)'!$C23),('Risk Assessment (4)'!M23*'Risk Assessment (4)'!$C23),('Additional Profiles'!J23*'Additional Profiles'!$C23))/$C23,0)</f>
        <v>0</v>
      </c>
      <c r="N23" s="796"/>
      <c r="O23" s="797"/>
      <c r="P23" s="808">
        <f>IF($C23&lt;&gt;0,SUM(('Risk Assessment (1)'!P23*'Risk Assessment (1)'!$C23),('Risk Assessment (2)'!P23*'Risk Assessment (2)'!$C23),('Risk Assessment (3)'!P23*'Risk Assessment (3)'!$C23),('Risk Assessment (4)'!P23*'Risk Assessment (4)'!$C23),('Additional Profiles'!L23*'Additional Profiles'!$C23))/$C23,0)</f>
        <v>0</v>
      </c>
      <c r="Q23" s="796"/>
      <c r="R23" s="797"/>
      <c r="S23" s="808">
        <f>IF($C23&lt;&gt;0,SUM(('Risk Assessment (1)'!S23*'Risk Assessment (1)'!$C23),('Risk Assessment (2)'!S23*'Risk Assessment (2)'!$C23),('Risk Assessment (3)'!S23*'Risk Assessment (3)'!$C23),('Risk Assessment (4)'!S23*'Risk Assessment (4)'!$C23),('Additional Profiles'!M23*'Additional Profiles'!$C23))/$C23,0)</f>
        <v>0</v>
      </c>
      <c r="T23" s="242"/>
      <c r="U23" s="242"/>
      <c r="V23" s="197">
        <f t="shared" si="8"/>
        <v>1</v>
      </c>
      <c r="W23" s="192">
        <f t="shared" si="9"/>
        <v>0</v>
      </c>
      <c r="X23" s="192">
        <f t="shared" si="10"/>
        <v>0</v>
      </c>
      <c r="Y23" s="78">
        <f t="shared" si="11"/>
        <v>0</v>
      </c>
      <c r="Z23" s="90"/>
      <c r="AA23" s="37"/>
      <c r="AB23" s="33"/>
      <c r="AC23" s="33"/>
      <c r="AD23" s="33"/>
      <c r="AE23" s="33"/>
      <c r="AF23" s="56"/>
    </row>
    <row r="24" spans="1:32" ht="13.5" thickBot="1">
      <c r="A24" s="513">
        <v>20.059999999999999</v>
      </c>
      <c r="B24" s="517" t="s">
        <v>68</v>
      </c>
      <c r="C24" s="78">
        <f>SUM('Risk Assessment (1):Risk Assessment (4)'!C24,'Additional Profiles'!C24)</f>
        <v>0</v>
      </c>
      <c r="D24" s="96"/>
      <c r="E24" s="796"/>
      <c r="F24" s="797"/>
      <c r="G24" s="808">
        <f>IF($C24&lt;&gt;0,SUM(('Risk Assessment (1)'!G24*'Risk Assessment (1)'!$C24),('Risk Assessment (2)'!G24*'Risk Assessment (2)'!$C24),('Risk Assessment (3)'!G24*'Risk Assessment (3)'!$C24),('Risk Assessment (4)'!G24*'Risk Assessment (4)'!$C24),('Additional Profiles'!F24*'Additional Profiles'!$C24))/$C24,0)</f>
        <v>0</v>
      </c>
      <c r="H24" s="796"/>
      <c r="I24" s="797"/>
      <c r="J24" s="808">
        <f>IF($C24&lt;&gt;0,SUM(('Risk Assessment (1)'!J24*'Risk Assessment (1)'!$C24),('Risk Assessment (2)'!J24*'Risk Assessment (2)'!$C24),('Risk Assessment (3)'!J24*'Risk Assessment (3)'!$C24),('Risk Assessment (4)'!J24*'Risk Assessment (4)'!$C24),('Additional Profiles'!H24*'Additional Profiles'!$C24))/$C24,0)</f>
        <v>0</v>
      </c>
      <c r="K24" s="796"/>
      <c r="L24" s="797"/>
      <c r="M24" s="808">
        <f>IF($C24&lt;&gt;0,SUM(('Risk Assessment (1)'!M24*'Risk Assessment (1)'!$C24),('Risk Assessment (2)'!M24*'Risk Assessment (2)'!$C24),('Risk Assessment (3)'!M24*'Risk Assessment (3)'!$C24),('Risk Assessment (4)'!M24*'Risk Assessment (4)'!$C24),('Additional Profiles'!J24*'Additional Profiles'!$C24))/$C24,0)</f>
        <v>0</v>
      </c>
      <c r="N24" s="796"/>
      <c r="O24" s="797"/>
      <c r="P24" s="808">
        <f>IF($C24&lt;&gt;0,SUM(('Risk Assessment (1)'!P24*'Risk Assessment (1)'!$C24),('Risk Assessment (2)'!P24*'Risk Assessment (2)'!$C24),('Risk Assessment (3)'!P24*'Risk Assessment (3)'!$C24),('Risk Assessment (4)'!P24*'Risk Assessment (4)'!$C24),('Additional Profiles'!L24*'Additional Profiles'!$C24))/$C24,0)</f>
        <v>0</v>
      </c>
      <c r="Q24" s="796"/>
      <c r="R24" s="797"/>
      <c r="S24" s="808">
        <f>IF($C24&lt;&gt;0,SUM(('Risk Assessment (1)'!S24*'Risk Assessment (1)'!$C24),('Risk Assessment (2)'!S24*'Risk Assessment (2)'!$C24),('Risk Assessment (3)'!S24*'Risk Assessment (3)'!$C24),('Risk Assessment (4)'!S24*'Risk Assessment (4)'!$C24),('Additional Profiles'!M24*'Additional Profiles'!$C24))/$C24,0)</f>
        <v>0</v>
      </c>
      <c r="T24" s="242"/>
      <c r="U24" s="242"/>
      <c r="V24" s="197">
        <f t="shared" si="8"/>
        <v>1</v>
      </c>
      <c r="W24" s="192">
        <f t="shared" si="9"/>
        <v>0</v>
      </c>
      <c r="X24" s="192">
        <f t="shared" si="10"/>
        <v>0</v>
      </c>
      <c r="Y24" s="78">
        <f t="shared" si="11"/>
        <v>0</v>
      </c>
      <c r="Z24" s="90"/>
      <c r="AA24" s="605">
        <v>0.45</v>
      </c>
      <c r="AB24" s="210" t="e">
        <f>BETAINV(AA24,RA_alpha,RA_beta,RA_lwrbnd,RA_uprbnd)</f>
        <v>#NUM!</v>
      </c>
      <c r="AC24" s="1138" t="s">
        <v>132</v>
      </c>
      <c r="AD24" s="1138"/>
      <c r="AE24" s="1138"/>
      <c r="AF24" s="1139"/>
    </row>
    <row r="25" spans="1:32">
      <c r="A25" s="513">
        <v>20.07</v>
      </c>
      <c r="B25" s="517" t="s">
        <v>69</v>
      </c>
      <c r="C25" s="199">
        <f>SUM('Risk Assessment (1):Risk Assessment (4)'!C25,'Additional Profiles'!C25)</f>
        <v>0</v>
      </c>
      <c r="D25" s="96"/>
      <c r="E25" s="796"/>
      <c r="F25" s="797"/>
      <c r="G25" s="806">
        <f>IF($C25&lt;&gt;0,SUM(('Risk Assessment (1)'!G25*'Risk Assessment (1)'!$C25),('Risk Assessment (2)'!G25*'Risk Assessment (2)'!$C25),('Risk Assessment (3)'!G25*'Risk Assessment (3)'!$C25),('Risk Assessment (4)'!G25*'Risk Assessment (4)'!$C25),('Additional Profiles'!F25*'Additional Profiles'!$C25))/$C25,0)</f>
        <v>0</v>
      </c>
      <c r="H25" s="796"/>
      <c r="I25" s="797"/>
      <c r="J25" s="806">
        <f>IF($C25&lt;&gt;0,SUM(('Risk Assessment (1)'!J25*'Risk Assessment (1)'!$C25),('Risk Assessment (2)'!J25*'Risk Assessment (2)'!$C25),('Risk Assessment (3)'!J25*'Risk Assessment (3)'!$C25),('Risk Assessment (4)'!J25*'Risk Assessment (4)'!$C25),('Additional Profiles'!H25*'Additional Profiles'!$C25))/$C25,0)</f>
        <v>0</v>
      </c>
      <c r="K25" s="796"/>
      <c r="L25" s="797"/>
      <c r="M25" s="806">
        <f>IF($C25&lt;&gt;0,SUM(('Risk Assessment (1)'!M25*'Risk Assessment (1)'!$C25),('Risk Assessment (2)'!M25*'Risk Assessment (2)'!$C25),('Risk Assessment (3)'!M25*'Risk Assessment (3)'!$C25),('Risk Assessment (4)'!M25*'Risk Assessment (4)'!$C25),('Additional Profiles'!J25*'Additional Profiles'!$C25))/$C25,0)</f>
        <v>0</v>
      </c>
      <c r="N25" s="796"/>
      <c r="O25" s="797"/>
      <c r="P25" s="806">
        <f>IF($C25&lt;&gt;0,SUM(('Risk Assessment (1)'!P25*'Risk Assessment (1)'!$C25),('Risk Assessment (2)'!P25*'Risk Assessment (2)'!$C25),('Risk Assessment (3)'!P25*'Risk Assessment (3)'!$C25),('Risk Assessment (4)'!P25*'Risk Assessment (4)'!$C25),('Additional Profiles'!L25*'Additional Profiles'!$C25))/$C25,0)</f>
        <v>0</v>
      </c>
      <c r="Q25" s="796"/>
      <c r="R25" s="797"/>
      <c r="S25" s="806">
        <f>IF($C25&lt;&gt;0,SUM(('Risk Assessment (1)'!S25*'Risk Assessment (1)'!$C25),('Risk Assessment (2)'!S25*'Risk Assessment (2)'!$C25),('Risk Assessment (3)'!S25*'Risk Assessment (3)'!$C25),('Risk Assessment (4)'!S25*'Risk Assessment (4)'!$C25),('Additional Profiles'!M25*'Additional Profiles'!$C25))/$C25,0)</f>
        <v>0</v>
      </c>
      <c r="T25" s="242"/>
      <c r="U25" s="242"/>
      <c r="V25" s="198">
        <f t="shared" si="8"/>
        <v>1</v>
      </c>
      <c r="W25" s="193">
        <f t="shared" si="9"/>
        <v>0</v>
      </c>
      <c r="X25" s="193">
        <f t="shared" si="10"/>
        <v>0</v>
      </c>
      <c r="Y25" s="199">
        <f t="shared" si="11"/>
        <v>0</v>
      </c>
      <c r="Z25" s="90"/>
      <c r="AA25" s="211"/>
      <c r="AB25" s="212"/>
      <c r="AC25" s="212"/>
      <c r="AD25" s="212"/>
      <c r="AE25" s="212"/>
      <c r="AF25" s="215"/>
    </row>
    <row r="26" spans="1:32">
      <c r="A26" s="513" t="s">
        <v>168</v>
      </c>
      <c r="B26" s="517"/>
      <c r="C26" s="52"/>
      <c r="D26" s="2"/>
      <c r="E26" s="796"/>
      <c r="F26" s="797"/>
      <c r="G26" s="798"/>
      <c r="H26" s="796"/>
      <c r="I26" s="797"/>
      <c r="J26" s="798"/>
      <c r="K26" s="796"/>
      <c r="L26" s="797"/>
      <c r="M26" s="798"/>
      <c r="N26" s="796"/>
      <c r="O26" s="797"/>
      <c r="P26" s="798"/>
      <c r="Q26" s="796"/>
      <c r="R26" s="797"/>
      <c r="S26" s="798"/>
      <c r="T26" s="242"/>
      <c r="U26" s="242"/>
      <c r="V26" s="177"/>
      <c r="W26" s="221"/>
      <c r="X26" s="221"/>
      <c r="Y26" s="222"/>
      <c r="Z26" s="90"/>
      <c r="AA26" s="211"/>
      <c r="AB26" s="212"/>
      <c r="AC26" s="212"/>
      <c r="AD26" s="212"/>
      <c r="AE26" s="212"/>
      <c r="AF26" s="215"/>
    </row>
    <row r="27" spans="1:32">
      <c r="A27" s="513">
        <v>30.01</v>
      </c>
      <c r="B27" s="517" t="s">
        <v>28</v>
      </c>
      <c r="C27" s="76">
        <f>SUM('Risk Assessment (1):Risk Assessment (4)'!C27,'Additional Profiles'!C27)</f>
        <v>0</v>
      </c>
      <c r="D27" s="96"/>
      <c r="E27" s="796"/>
      <c r="F27" s="797"/>
      <c r="G27" s="804">
        <f>IF($C27&lt;&gt;0,SUM(('Risk Assessment (1)'!G27*'Risk Assessment (1)'!$C27),('Risk Assessment (2)'!G27*'Risk Assessment (2)'!$C27),('Risk Assessment (3)'!G27*'Risk Assessment (3)'!$C27),('Risk Assessment (4)'!G27*'Risk Assessment (4)'!$C27),('Additional Profiles'!F27*'Additional Profiles'!$C27))/$C27,0)</f>
        <v>0</v>
      </c>
      <c r="H27" s="796"/>
      <c r="I27" s="797"/>
      <c r="J27" s="804">
        <f>IF($C27&lt;&gt;0,SUM(('Risk Assessment (1)'!J27*'Risk Assessment (1)'!$C27),('Risk Assessment (2)'!J27*'Risk Assessment (2)'!$C27),('Risk Assessment (3)'!J27*'Risk Assessment (3)'!$C27),('Risk Assessment (4)'!J27*'Risk Assessment (4)'!$C27),('Additional Profiles'!H27*'Additional Profiles'!$C27))/$C27,0)</f>
        <v>0</v>
      </c>
      <c r="K27" s="796"/>
      <c r="L27" s="797"/>
      <c r="M27" s="804">
        <f>IF($C27&lt;&gt;0,SUM(('Risk Assessment (1)'!M27*'Risk Assessment (1)'!$C27),('Risk Assessment (2)'!M27*'Risk Assessment (2)'!$C27),('Risk Assessment (3)'!M27*'Risk Assessment (3)'!$C27),('Risk Assessment (4)'!M27*'Risk Assessment (4)'!$C27),('Additional Profiles'!J27*'Additional Profiles'!$C27))/$C27,0)</f>
        <v>0</v>
      </c>
      <c r="N27" s="796"/>
      <c r="O27" s="797"/>
      <c r="P27" s="804">
        <f>IF($C27&lt;&gt;0,SUM(('Risk Assessment (1)'!P27*'Risk Assessment (1)'!$C27),('Risk Assessment (2)'!P27*'Risk Assessment (2)'!$C27),('Risk Assessment (3)'!P27*'Risk Assessment (3)'!$C27),('Risk Assessment (4)'!P27*'Risk Assessment (4)'!$C27),('Additional Profiles'!L27*'Additional Profiles'!$C27))/$C27,0)</f>
        <v>0</v>
      </c>
      <c r="Q27" s="796"/>
      <c r="R27" s="797"/>
      <c r="S27" s="804">
        <f>IF($C27&lt;&gt;0,SUM(('Risk Assessment (1)'!S27*'Risk Assessment (1)'!$C27),('Risk Assessment (2)'!S27*'Risk Assessment (2)'!$C27),('Risk Assessment (3)'!S27*'Risk Assessment (3)'!$C27),('Risk Assessment (4)'!S27*'Risk Assessment (4)'!$C27),('Additional Profiles'!M27*'Additional Profiles'!$C27))/$C27,0)</f>
        <v>0</v>
      </c>
      <c r="T27" s="242"/>
      <c r="U27" s="242"/>
      <c r="V27" s="196">
        <f>1+SUM(G27,J27,M27,P27,S27)</f>
        <v>1</v>
      </c>
      <c r="W27" s="191">
        <f>C27*V27</f>
        <v>0</v>
      </c>
      <c r="X27" s="191">
        <f>IF(C27,BETAINV(0.5,RA_alpha,RA_beta,C27,W27),0)</f>
        <v>0</v>
      </c>
      <c r="Y27" s="76">
        <f>((RA_alpha/(RA_alpha+RA_beta))*(W27-C27))+C27</f>
        <v>0</v>
      </c>
      <c r="Z27" s="90"/>
      <c r="AA27" s="211"/>
      <c r="AB27" s="212"/>
      <c r="AC27" s="212"/>
      <c r="AD27" s="212"/>
      <c r="AE27" s="212"/>
      <c r="AF27" s="215"/>
    </row>
    <row r="28" spans="1:32">
      <c r="A28" s="513">
        <v>30.02</v>
      </c>
      <c r="B28" s="517" t="s">
        <v>29</v>
      </c>
      <c r="C28" s="78">
        <f>SUM('Risk Assessment (1):Risk Assessment (4)'!C28,'Additional Profiles'!C28)</f>
        <v>0</v>
      </c>
      <c r="D28" s="96"/>
      <c r="E28" s="796"/>
      <c r="F28" s="797"/>
      <c r="G28" s="808">
        <f>IF($C28&lt;&gt;0,SUM(('Risk Assessment (1)'!G28*'Risk Assessment (1)'!$C28),('Risk Assessment (2)'!G28*'Risk Assessment (2)'!$C28),('Risk Assessment (3)'!G28*'Risk Assessment (3)'!$C28),('Risk Assessment (4)'!G28*'Risk Assessment (4)'!$C28),('Additional Profiles'!F28*'Additional Profiles'!$C28))/$C28,0)</f>
        <v>0</v>
      </c>
      <c r="H28" s="796"/>
      <c r="I28" s="797"/>
      <c r="J28" s="808">
        <f>IF($C28&lt;&gt;0,SUM(('Risk Assessment (1)'!J28*'Risk Assessment (1)'!$C28),('Risk Assessment (2)'!J28*'Risk Assessment (2)'!$C28),('Risk Assessment (3)'!J28*'Risk Assessment (3)'!$C28),('Risk Assessment (4)'!J28*'Risk Assessment (4)'!$C28),('Additional Profiles'!H28*'Additional Profiles'!$C28))/$C28,0)</f>
        <v>0</v>
      </c>
      <c r="K28" s="796"/>
      <c r="L28" s="797"/>
      <c r="M28" s="808">
        <f>IF($C28&lt;&gt;0,SUM(('Risk Assessment (1)'!M28*'Risk Assessment (1)'!$C28),('Risk Assessment (2)'!M28*'Risk Assessment (2)'!$C28),('Risk Assessment (3)'!M28*'Risk Assessment (3)'!$C28),('Risk Assessment (4)'!M28*'Risk Assessment (4)'!$C28),('Additional Profiles'!J28*'Additional Profiles'!$C28))/$C28,0)</f>
        <v>0</v>
      </c>
      <c r="N28" s="796"/>
      <c r="O28" s="797"/>
      <c r="P28" s="808">
        <f>IF($C28&lt;&gt;0,SUM(('Risk Assessment (1)'!P28*'Risk Assessment (1)'!$C28),('Risk Assessment (2)'!P28*'Risk Assessment (2)'!$C28),('Risk Assessment (3)'!P28*'Risk Assessment (3)'!$C28),('Risk Assessment (4)'!P28*'Risk Assessment (4)'!$C28),('Additional Profiles'!L28*'Additional Profiles'!$C28))/$C28,0)</f>
        <v>0</v>
      </c>
      <c r="Q28" s="796"/>
      <c r="R28" s="797"/>
      <c r="S28" s="808">
        <f>IF($C28&lt;&gt;0,SUM(('Risk Assessment (1)'!S28*'Risk Assessment (1)'!$C28),('Risk Assessment (2)'!S28*'Risk Assessment (2)'!$C28),('Risk Assessment (3)'!S28*'Risk Assessment (3)'!$C28),('Risk Assessment (4)'!S28*'Risk Assessment (4)'!$C28),('Additional Profiles'!M28*'Additional Profiles'!$C28))/$C28,0)</f>
        <v>0</v>
      </c>
      <c r="T28" s="242"/>
      <c r="U28" s="242"/>
      <c r="V28" s="197">
        <f>1+SUM(G28,J28,M28,P28,S28)</f>
        <v>1</v>
      </c>
      <c r="W28" s="192">
        <f>C28*V28</f>
        <v>0</v>
      </c>
      <c r="X28" s="192">
        <f>IF(C28,BETAINV(0.5,RA_alpha,RA_beta,C28,W28),0)</f>
        <v>0</v>
      </c>
      <c r="Y28" s="78">
        <f>((RA_alpha/(RA_alpha+RA_beta))*(W28-C28))+C28</f>
        <v>0</v>
      </c>
      <c r="Z28" s="90"/>
      <c r="AA28" s="211"/>
      <c r="AB28" s="212"/>
      <c r="AC28" s="212"/>
      <c r="AD28" s="212"/>
      <c r="AE28" s="212"/>
      <c r="AF28" s="215"/>
    </row>
    <row r="29" spans="1:32">
      <c r="A29" s="513">
        <v>30.03</v>
      </c>
      <c r="B29" s="517" t="s">
        <v>30</v>
      </c>
      <c r="C29" s="78">
        <f>SUM('Risk Assessment (1):Risk Assessment (4)'!C29,'Additional Profiles'!C29)</f>
        <v>0</v>
      </c>
      <c r="D29" s="96"/>
      <c r="E29" s="796"/>
      <c r="F29" s="797"/>
      <c r="G29" s="808">
        <f>IF($C29&lt;&gt;0,SUM(('Risk Assessment (1)'!G29*'Risk Assessment (1)'!$C29),('Risk Assessment (2)'!G29*'Risk Assessment (2)'!$C29),('Risk Assessment (3)'!G29*'Risk Assessment (3)'!$C29),('Risk Assessment (4)'!G29*'Risk Assessment (4)'!$C29),('Additional Profiles'!F29*'Additional Profiles'!$C29))/$C29,0)</f>
        <v>0</v>
      </c>
      <c r="H29" s="796"/>
      <c r="I29" s="797"/>
      <c r="J29" s="808">
        <f>IF($C29&lt;&gt;0,SUM(('Risk Assessment (1)'!J29*'Risk Assessment (1)'!$C29),('Risk Assessment (2)'!J29*'Risk Assessment (2)'!$C29),('Risk Assessment (3)'!J29*'Risk Assessment (3)'!$C29),('Risk Assessment (4)'!J29*'Risk Assessment (4)'!$C29),('Additional Profiles'!H29*'Additional Profiles'!$C29))/$C29,0)</f>
        <v>0</v>
      </c>
      <c r="K29" s="796"/>
      <c r="L29" s="797"/>
      <c r="M29" s="808">
        <f>IF($C29&lt;&gt;0,SUM(('Risk Assessment (1)'!M29*'Risk Assessment (1)'!$C29),('Risk Assessment (2)'!M29*'Risk Assessment (2)'!$C29),('Risk Assessment (3)'!M29*'Risk Assessment (3)'!$C29),('Risk Assessment (4)'!M29*'Risk Assessment (4)'!$C29),('Additional Profiles'!J29*'Additional Profiles'!$C29))/$C29,0)</f>
        <v>0</v>
      </c>
      <c r="N29" s="796"/>
      <c r="O29" s="797"/>
      <c r="P29" s="808">
        <f>IF($C29&lt;&gt;0,SUM(('Risk Assessment (1)'!P29*'Risk Assessment (1)'!$C29),('Risk Assessment (2)'!P29*'Risk Assessment (2)'!$C29),('Risk Assessment (3)'!P29*'Risk Assessment (3)'!$C29),('Risk Assessment (4)'!P29*'Risk Assessment (4)'!$C29),('Additional Profiles'!L29*'Additional Profiles'!$C29))/$C29,0)</f>
        <v>0</v>
      </c>
      <c r="Q29" s="796"/>
      <c r="R29" s="797"/>
      <c r="S29" s="808">
        <f>IF($C29&lt;&gt;0,SUM(('Risk Assessment (1)'!S29*'Risk Assessment (1)'!$C29),('Risk Assessment (2)'!S29*'Risk Assessment (2)'!$C29),('Risk Assessment (3)'!S29*'Risk Assessment (3)'!$C29),('Risk Assessment (4)'!S29*'Risk Assessment (4)'!$C29),('Additional Profiles'!M29*'Additional Profiles'!$C29))/$C29,0)</f>
        <v>0</v>
      </c>
      <c r="T29" s="242"/>
      <c r="U29" s="242"/>
      <c r="V29" s="197">
        <f>1+SUM(G29,J29,M29,P29,S29)</f>
        <v>1</v>
      </c>
      <c r="W29" s="192">
        <f>C29*V29</f>
        <v>0</v>
      </c>
      <c r="X29" s="192">
        <f>IF(C29,BETAINV(0.5,RA_alpha,RA_beta,C29,W29),0)</f>
        <v>0</v>
      </c>
      <c r="Y29" s="78">
        <f>((RA_alpha/(RA_alpha+RA_beta))*(W29-C29))+C29</f>
        <v>0</v>
      </c>
      <c r="Z29" s="90"/>
      <c r="AA29" s="211"/>
      <c r="AB29" s="212"/>
      <c r="AC29" s="212"/>
      <c r="AD29" s="212"/>
      <c r="AE29" s="212"/>
      <c r="AF29" s="215"/>
    </row>
    <row r="30" spans="1:32">
      <c r="A30" s="513">
        <v>30.04</v>
      </c>
      <c r="B30" s="517" t="s">
        <v>31</v>
      </c>
      <c r="C30" s="78">
        <f>SUM('Risk Assessment (1):Risk Assessment (4)'!C30,'Additional Profiles'!C30)</f>
        <v>0</v>
      </c>
      <c r="D30" s="96"/>
      <c r="E30" s="796"/>
      <c r="F30" s="797"/>
      <c r="G30" s="808">
        <f>IF($C30&lt;&gt;0,SUM(('Risk Assessment (1)'!G30*'Risk Assessment (1)'!$C30),('Risk Assessment (2)'!G30*'Risk Assessment (2)'!$C30),('Risk Assessment (3)'!G30*'Risk Assessment (3)'!$C30),('Risk Assessment (4)'!G30*'Risk Assessment (4)'!$C30),('Additional Profiles'!F30*'Additional Profiles'!$C30))/$C30,0)</f>
        <v>0</v>
      </c>
      <c r="H30" s="796"/>
      <c r="I30" s="797"/>
      <c r="J30" s="808">
        <f>IF($C30&lt;&gt;0,SUM(('Risk Assessment (1)'!J30*'Risk Assessment (1)'!$C30),('Risk Assessment (2)'!J30*'Risk Assessment (2)'!$C30),('Risk Assessment (3)'!J30*'Risk Assessment (3)'!$C30),('Risk Assessment (4)'!J30*'Risk Assessment (4)'!$C30),('Additional Profiles'!H30*'Additional Profiles'!$C30))/$C30,0)</f>
        <v>0</v>
      </c>
      <c r="K30" s="796"/>
      <c r="L30" s="797"/>
      <c r="M30" s="808">
        <f>IF($C30&lt;&gt;0,SUM(('Risk Assessment (1)'!M30*'Risk Assessment (1)'!$C30),('Risk Assessment (2)'!M30*'Risk Assessment (2)'!$C30),('Risk Assessment (3)'!M30*'Risk Assessment (3)'!$C30),('Risk Assessment (4)'!M30*'Risk Assessment (4)'!$C30),('Additional Profiles'!J30*'Additional Profiles'!$C30))/$C30,0)</f>
        <v>0</v>
      </c>
      <c r="N30" s="796"/>
      <c r="O30" s="797"/>
      <c r="P30" s="808">
        <f>IF($C30&lt;&gt;0,SUM(('Risk Assessment (1)'!P30*'Risk Assessment (1)'!$C30),('Risk Assessment (2)'!P30*'Risk Assessment (2)'!$C30),('Risk Assessment (3)'!P30*'Risk Assessment (3)'!$C30),('Risk Assessment (4)'!P30*'Risk Assessment (4)'!$C30),('Additional Profiles'!L30*'Additional Profiles'!$C30))/$C30,0)</f>
        <v>0</v>
      </c>
      <c r="Q30" s="796"/>
      <c r="R30" s="797"/>
      <c r="S30" s="808">
        <f>IF($C30&lt;&gt;0,SUM(('Risk Assessment (1)'!S30*'Risk Assessment (1)'!$C30),('Risk Assessment (2)'!S30*'Risk Assessment (2)'!$C30),('Risk Assessment (3)'!S30*'Risk Assessment (3)'!$C30),('Risk Assessment (4)'!S30*'Risk Assessment (4)'!$C30),('Additional Profiles'!M30*'Additional Profiles'!$C30))/$C30,0)</f>
        <v>0</v>
      </c>
      <c r="T30" s="242"/>
      <c r="U30" s="242"/>
      <c r="V30" s="197">
        <f>1+SUM(G30,J30,M30,P30,S30)</f>
        <v>1</v>
      </c>
      <c r="W30" s="192">
        <f>C30*V30</f>
        <v>0</v>
      </c>
      <c r="X30" s="192">
        <f>IF(C30,BETAINV(0.5,RA_alpha,RA_beta,C30,W30),0)</f>
        <v>0</v>
      </c>
      <c r="Y30" s="78">
        <f>((RA_alpha/(RA_alpha+RA_beta))*(W30-C30))+C30</f>
        <v>0</v>
      </c>
      <c r="Z30" s="90"/>
      <c r="AA30" s="211"/>
      <c r="AB30" s="212"/>
      <c r="AC30" s="212"/>
      <c r="AD30" s="212"/>
      <c r="AE30" s="212"/>
      <c r="AF30" s="215"/>
    </row>
    <row r="31" spans="1:32">
      <c r="A31" s="513">
        <v>30.05</v>
      </c>
      <c r="B31" s="517" t="s">
        <v>32</v>
      </c>
      <c r="C31" s="199">
        <f>SUM('Risk Assessment (1):Risk Assessment (4)'!C31,'Additional Profiles'!C31)</f>
        <v>0</v>
      </c>
      <c r="D31" s="96"/>
      <c r="E31" s="796"/>
      <c r="F31" s="797"/>
      <c r="G31" s="806">
        <f>IF($C31&lt;&gt;0,SUM(('Risk Assessment (1)'!G31*'Risk Assessment (1)'!$C31),('Risk Assessment (2)'!G31*'Risk Assessment (2)'!$C31),('Risk Assessment (3)'!G31*'Risk Assessment (3)'!$C31),('Risk Assessment (4)'!G31*'Risk Assessment (4)'!$C31),('Additional Profiles'!F31*'Additional Profiles'!$C31))/$C31,0)</f>
        <v>0</v>
      </c>
      <c r="H31" s="796"/>
      <c r="I31" s="797"/>
      <c r="J31" s="806">
        <f>IF($C31&lt;&gt;0,SUM(('Risk Assessment (1)'!J31*'Risk Assessment (1)'!$C31),('Risk Assessment (2)'!J31*'Risk Assessment (2)'!$C31),('Risk Assessment (3)'!J31*'Risk Assessment (3)'!$C31),('Risk Assessment (4)'!J31*'Risk Assessment (4)'!$C31),('Additional Profiles'!H31*'Additional Profiles'!$C31))/$C31,0)</f>
        <v>0</v>
      </c>
      <c r="K31" s="796"/>
      <c r="L31" s="797"/>
      <c r="M31" s="806">
        <f>IF($C31&lt;&gt;0,SUM(('Risk Assessment (1)'!M31*'Risk Assessment (1)'!$C31),('Risk Assessment (2)'!M31*'Risk Assessment (2)'!$C31),('Risk Assessment (3)'!M31*'Risk Assessment (3)'!$C31),('Risk Assessment (4)'!M31*'Risk Assessment (4)'!$C31),('Additional Profiles'!J31*'Additional Profiles'!$C31))/$C31,0)</f>
        <v>0</v>
      </c>
      <c r="N31" s="796"/>
      <c r="O31" s="797"/>
      <c r="P31" s="806">
        <f>IF($C31&lt;&gt;0,SUM(('Risk Assessment (1)'!P31*'Risk Assessment (1)'!$C31),('Risk Assessment (2)'!P31*'Risk Assessment (2)'!$C31),('Risk Assessment (3)'!P31*'Risk Assessment (3)'!$C31),('Risk Assessment (4)'!P31*'Risk Assessment (4)'!$C31),('Additional Profiles'!L31*'Additional Profiles'!$C31))/$C31,0)</f>
        <v>0</v>
      </c>
      <c r="Q31" s="796"/>
      <c r="R31" s="797"/>
      <c r="S31" s="806">
        <f>IF($C31&lt;&gt;0,SUM(('Risk Assessment (1)'!S31*'Risk Assessment (1)'!$C31),('Risk Assessment (2)'!S31*'Risk Assessment (2)'!$C31),('Risk Assessment (3)'!S31*'Risk Assessment (3)'!$C31),('Risk Assessment (4)'!S31*'Risk Assessment (4)'!$C31),('Additional Profiles'!M31*'Additional Profiles'!$C31))/$C31,0)</f>
        <v>0</v>
      </c>
      <c r="T31" s="242"/>
      <c r="U31" s="242"/>
      <c r="V31" s="198">
        <f>1+SUM(G31,J31,M31,P31,S31)</f>
        <v>1</v>
      </c>
      <c r="W31" s="193">
        <f>C31*V31</f>
        <v>0</v>
      </c>
      <c r="X31" s="193">
        <f>IF(C31,BETAINV(0.5,RA_alpha,RA_beta,C31,W31),0)</f>
        <v>0</v>
      </c>
      <c r="Y31" s="199">
        <f>((RA_alpha/(RA_alpha+RA_beta))*(W31-C31))+C31</f>
        <v>0</v>
      </c>
      <c r="Z31" s="90"/>
      <c r="AA31" s="211"/>
      <c r="AB31" s="212"/>
      <c r="AC31" s="212"/>
      <c r="AD31" s="212"/>
      <c r="AE31" s="212"/>
      <c r="AF31" s="215"/>
    </row>
    <row r="32" spans="1:32">
      <c r="A32" s="513" t="s">
        <v>169</v>
      </c>
      <c r="B32" s="517"/>
      <c r="C32" s="52"/>
      <c r="D32" s="2"/>
      <c r="E32" s="796"/>
      <c r="F32" s="797"/>
      <c r="G32" s="798"/>
      <c r="H32" s="796"/>
      <c r="I32" s="797"/>
      <c r="J32" s="798"/>
      <c r="K32" s="796"/>
      <c r="L32" s="797"/>
      <c r="M32" s="798"/>
      <c r="N32" s="796"/>
      <c r="O32" s="797"/>
      <c r="P32" s="798"/>
      <c r="Q32" s="796"/>
      <c r="R32" s="797"/>
      <c r="S32" s="798"/>
      <c r="T32" s="242"/>
      <c r="U32" s="242"/>
      <c r="V32" s="177"/>
      <c r="W32" s="221"/>
      <c r="X32" s="221"/>
      <c r="Y32" s="222"/>
      <c r="Z32" s="90"/>
      <c r="AA32" s="211"/>
      <c r="AB32" s="212"/>
      <c r="AC32" s="212"/>
      <c r="AD32" s="212"/>
      <c r="AE32" s="212"/>
      <c r="AF32" s="215"/>
    </row>
    <row r="33" spans="1:32">
      <c r="A33" s="513">
        <v>40.01</v>
      </c>
      <c r="B33" s="517" t="s">
        <v>33</v>
      </c>
      <c r="C33" s="76">
        <f>SUM('Risk Assessment (1):Risk Assessment (4)'!C33,'Additional Profiles'!C33)</f>
        <v>0</v>
      </c>
      <c r="D33" s="96"/>
      <c r="E33" s="796"/>
      <c r="F33" s="797"/>
      <c r="G33" s="804">
        <f>IF($C33&lt;&gt;0,SUM(('Risk Assessment (1)'!G33*'Risk Assessment (1)'!$C33),('Risk Assessment (2)'!G33*'Risk Assessment (2)'!$C33),('Risk Assessment (3)'!G33*'Risk Assessment (3)'!$C33),('Risk Assessment (4)'!G33*'Risk Assessment (4)'!$C33),('Additional Profiles'!F33*'Additional Profiles'!$C33))/$C33,0)</f>
        <v>0</v>
      </c>
      <c r="H33" s="796"/>
      <c r="I33" s="797"/>
      <c r="J33" s="804">
        <f>IF($C33&lt;&gt;0,SUM(('Risk Assessment (1)'!J33*'Risk Assessment (1)'!$C33),('Risk Assessment (2)'!J33*'Risk Assessment (2)'!$C33),('Risk Assessment (3)'!J33*'Risk Assessment (3)'!$C33),('Risk Assessment (4)'!J33*'Risk Assessment (4)'!$C33),('Additional Profiles'!H33*'Additional Profiles'!$C33))/$C33,0)</f>
        <v>0</v>
      </c>
      <c r="K33" s="796"/>
      <c r="L33" s="797"/>
      <c r="M33" s="804">
        <f>IF($C33&lt;&gt;0,SUM(('Risk Assessment (1)'!M33*'Risk Assessment (1)'!$C33),('Risk Assessment (2)'!M33*'Risk Assessment (2)'!$C33),('Risk Assessment (3)'!M33*'Risk Assessment (3)'!$C33),('Risk Assessment (4)'!M33*'Risk Assessment (4)'!$C33),('Additional Profiles'!J33*'Additional Profiles'!$C33))/$C33,0)</f>
        <v>0</v>
      </c>
      <c r="N33" s="796"/>
      <c r="O33" s="797"/>
      <c r="P33" s="804">
        <f>IF($C33&lt;&gt;0,SUM(('Risk Assessment (1)'!P33*'Risk Assessment (1)'!$C33),('Risk Assessment (2)'!P33*'Risk Assessment (2)'!$C33),('Risk Assessment (3)'!P33*'Risk Assessment (3)'!$C33),('Risk Assessment (4)'!P33*'Risk Assessment (4)'!$C33),('Additional Profiles'!L33*'Additional Profiles'!$C33))/$C33,0)</f>
        <v>0</v>
      </c>
      <c r="Q33" s="796"/>
      <c r="R33" s="797"/>
      <c r="S33" s="804">
        <f>IF($C33&lt;&gt;0,SUM(('Risk Assessment (1)'!S33*'Risk Assessment (1)'!$C33),('Risk Assessment (2)'!S33*'Risk Assessment (2)'!$C33),('Risk Assessment (3)'!S33*'Risk Assessment (3)'!$C33),('Risk Assessment (4)'!S33*'Risk Assessment (4)'!$C33),('Additional Profiles'!M33*'Additional Profiles'!$C33))/$C33,0)</f>
        <v>0</v>
      </c>
      <c r="T33" s="242"/>
      <c r="U33" s="242"/>
      <c r="V33" s="196">
        <f t="shared" ref="V33:V40" si="12">1+SUM(G33,J33,M33,P33,S33)</f>
        <v>1</v>
      </c>
      <c r="W33" s="191">
        <f t="shared" ref="W33:W40" si="13">C33*V33</f>
        <v>0</v>
      </c>
      <c r="X33" s="191">
        <f t="shared" ref="X33:X40" si="14">IF(C33,BETAINV(0.5,RA_alpha,RA_beta,C33,W33),0)</f>
        <v>0</v>
      </c>
      <c r="Y33" s="76">
        <f t="shared" ref="Y33:Y40" si="15">((RA_alpha/(RA_alpha+RA_beta))*(W33-C33))+C33</f>
        <v>0</v>
      </c>
      <c r="Z33" s="90"/>
      <c r="AA33" s="211"/>
      <c r="AB33" s="212"/>
      <c r="AC33" s="212"/>
      <c r="AD33" s="212"/>
      <c r="AE33" s="212"/>
      <c r="AF33" s="215"/>
    </row>
    <row r="34" spans="1:32">
      <c r="A34" s="513">
        <v>40.020000000000003</v>
      </c>
      <c r="B34" s="517" t="s">
        <v>34</v>
      </c>
      <c r="C34" s="78">
        <f>SUM('Risk Assessment (1):Risk Assessment (4)'!C34,'Additional Profiles'!C34)</f>
        <v>0</v>
      </c>
      <c r="D34" s="96"/>
      <c r="E34" s="796"/>
      <c r="F34" s="797"/>
      <c r="G34" s="808">
        <f>IF($C34&lt;&gt;0,SUM(('Risk Assessment (1)'!G34*'Risk Assessment (1)'!$C34),('Risk Assessment (2)'!G34*'Risk Assessment (2)'!$C34),('Risk Assessment (3)'!G34*'Risk Assessment (3)'!$C34),('Risk Assessment (4)'!G34*'Risk Assessment (4)'!$C34),('Additional Profiles'!F34*'Additional Profiles'!$C34))/$C34,0)</f>
        <v>0</v>
      </c>
      <c r="H34" s="796"/>
      <c r="I34" s="797"/>
      <c r="J34" s="808">
        <f>IF($C34&lt;&gt;0,SUM(('Risk Assessment (1)'!J34*'Risk Assessment (1)'!$C34),('Risk Assessment (2)'!J34*'Risk Assessment (2)'!$C34),('Risk Assessment (3)'!J34*'Risk Assessment (3)'!$C34),('Risk Assessment (4)'!J34*'Risk Assessment (4)'!$C34),('Additional Profiles'!H34*'Additional Profiles'!$C34))/$C34,0)</f>
        <v>0</v>
      </c>
      <c r="K34" s="796"/>
      <c r="L34" s="797"/>
      <c r="M34" s="808">
        <f>IF($C34&lt;&gt;0,SUM(('Risk Assessment (1)'!M34*'Risk Assessment (1)'!$C34),('Risk Assessment (2)'!M34*'Risk Assessment (2)'!$C34),('Risk Assessment (3)'!M34*'Risk Assessment (3)'!$C34),('Risk Assessment (4)'!M34*'Risk Assessment (4)'!$C34),('Additional Profiles'!J34*'Additional Profiles'!$C34))/$C34,0)</f>
        <v>0</v>
      </c>
      <c r="N34" s="796"/>
      <c r="O34" s="797"/>
      <c r="P34" s="808">
        <f>IF($C34&lt;&gt;0,SUM(('Risk Assessment (1)'!P34*'Risk Assessment (1)'!$C34),('Risk Assessment (2)'!P34*'Risk Assessment (2)'!$C34),('Risk Assessment (3)'!P34*'Risk Assessment (3)'!$C34),('Risk Assessment (4)'!P34*'Risk Assessment (4)'!$C34),('Additional Profiles'!L34*'Additional Profiles'!$C34))/$C34,0)</f>
        <v>0</v>
      </c>
      <c r="Q34" s="796"/>
      <c r="R34" s="797"/>
      <c r="S34" s="808">
        <f>IF($C34&lt;&gt;0,SUM(('Risk Assessment (1)'!S34*'Risk Assessment (1)'!$C34),('Risk Assessment (2)'!S34*'Risk Assessment (2)'!$C34),('Risk Assessment (3)'!S34*'Risk Assessment (3)'!$C34),('Risk Assessment (4)'!S34*'Risk Assessment (4)'!$C34),('Additional Profiles'!M34*'Additional Profiles'!$C34))/$C34,0)</f>
        <v>0</v>
      </c>
      <c r="T34" s="242"/>
      <c r="U34" s="242"/>
      <c r="V34" s="197">
        <f t="shared" si="12"/>
        <v>1</v>
      </c>
      <c r="W34" s="192">
        <f t="shared" si="13"/>
        <v>0</v>
      </c>
      <c r="X34" s="192">
        <f t="shared" si="14"/>
        <v>0</v>
      </c>
      <c r="Y34" s="78">
        <f t="shared" si="15"/>
        <v>0</v>
      </c>
      <c r="Z34" s="90"/>
      <c r="AA34" s="211"/>
      <c r="AB34" s="212"/>
      <c r="AC34" s="212"/>
      <c r="AD34" s="212"/>
      <c r="AE34" s="212"/>
      <c r="AF34" s="215"/>
    </row>
    <row r="35" spans="1:32">
      <c r="A35" s="513">
        <v>40.03</v>
      </c>
      <c r="B35" s="517" t="s">
        <v>35</v>
      </c>
      <c r="C35" s="78">
        <f>SUM('Risk Assessment (1):Risk Assessment (4)'!C35,'Additional Profiles'!C35)</f>
        <v>0</v>
      </c>
      <c r="D35" s="96"/>
      <c r="E35" s="796"/>
      <c r="F35" s="797"/>
      <c r="G35" s="808">
        <f>IF($C35&lt;&gt;0,SUM(('Risk Assessment (1)'!G35*'Risk Assessment (1)'!$C35),('Risk Assessment (2)'!G35*'Risk Assessment (2)'!$C35),('Risk Assessment (3)'!G35*'Risk Assessment (3)'!$C35),('Risk Assessment (4)'!G35*'Risk Assessment (4)'!$C35),('Additional Profiles'!F35*'Additional Profiles'!$C35))/$C35,0)</f>
        <v>0</v>
      </c>
      <c r="H35" s="796"/>
      <c r="I35" s="797"/>
      <c r="J35" s="808">
        <f>IF($C35&lt;&gt;0,SUM(('Risk Assessment (1)'!J35*'Risk Assessment (1)'!$C35),('Risk Assessment (2)'!J35*'Risk Assessment (2)'!$C35),('Risk Assessment (3)'!J35*'Risk Assessment (3)'!$C35),('Risk Assessment (4)'!J35*'Risk Assessment (4)'!$C35),('Additional Profiles'!H35*'Additional Profiles'!$C35))/$C35,0)</f>
        <v>0</v>
      </c>
      <c r="K35" s="796"/>
      <c r="L35" s="797"/>
      <c r="M35" s="808">
        <f>IF($C35&lt;&gt;0,SUM(('Risk Assessment (1)'!M35*'Risk Assessment (1)'!$C35),('Risk Assessment (2)'!M35*'Risk Assessment (2)'!$C35),('Risk Assessment (3)'!M35*'Risk Assessment (3)'!$C35),('Risk Assessment (4)'!M35*'Risk Assessment (4)'!$C35),('Additional Profiles'!J35*'Additional Profiles'!$C35))/$C35,0)</f>
        <v>0</v>
      </c>
      <c r="N35" s="796"/>
      <c r="O35" s="797"/>
      <c r="P35" s="808">
        <f>IF($C35&lt;&gt;0,SUM(('Risk Assessment (1)'!P35*'Risk Assessment (1)'!$C35),('Risk Assessment (2)'!P35*'Risk Assessment (2)'!$C35),('Risk Assessment (3)'!P35*'Risk Assessment (3)'!$C35),('Risk Assessment (4)'!P35*'Risk Assessment (4)'!$C35),('Additional Profiles'!L35*'Additional Profiles'!$C35))/$C35,0)</f>
        <v>0</v>
      </c>
      <c r="Q35" s="796"/>
      <c r="R35" s="797"/>
      <c r="S35" s="808">
        <f>IF($C35&lt;&gt;0,SUM(('Risk Assessment (1)'!S35*'Risk Assessment (1)'!$C35),('Risk Assessment (2)'!S35*'Risk Assessment (2)'!$C35),('Risk Assessment (3)'!S35*'Risk Assessment (3)'!$C35),('Risk Assessment (4)'!S35*'Risk Assessment (4)'!$C35),('Additional Profiles'!M35*'Additional Profiles'!$C35))/$C35,0)</f>
        <v>0</v>
      </c>
      <c r="T35" s="242"/>
      <c r="U35" s="242"/>
      <c r="V35" s="197">
        <f t="shared" si="12"/>
        <v>1</v>
      </c>
      <c r="W35" s="192">
        <f t="shared" si="13"/>
        <v>0</v>
      </c>
      <c r="X35" s="192">
        <f t="shared" si="14"/>
        <v>0</v>
      </c>
      <c r="Y35" s="78">
        <f t="shared" si="15"/>
        <v>0</v>
      </c>
      <c r="Z35" s="90"/>
      <c r="AA35" s="211"/>
      <c r="AB35" s="212"/>
      <c r="AC35" s="212"/>
      <c r="AD35" s="212"/>
      <c r="AE35" s="212"/>
      <c r="AF35" s="215"/>
    </row>
    <row r="36" spans="1:32">
      <c r="A36" s="513">
        <v>40.04</v>
      </c>
      <c r="B36" s="517" t="s">
        <v>36</v>
      </c>
      <c r="C36" s="78">
        <f>SUM('Risk Assessment (1):Risk Assessment (4)'!C36,'Additional Profiles'!C36)</f>
        <v>0</v>
      </c>
      <c r="D36" s="96"/>
      <c r="E36" s="796"/>
      <c r="F36" s="797"/>
      <c r="G36" s="808">
        <f>IF($C36&lt;&gt;0,SUM(('Risk Assessment (1)'!G36*'Risk Assessment (1)'!$C36),('Risk Assessment (2)'!G36*'Risk Assessment (2)'!$C36),('Risk Assessment (3)'!G36*'Risk Assessment (3)'!$C36),('Risk Assessment (4)'!G36*'Risk Assessment (4)'!$C36),('Additional Profiles'!F36*'Additional Profiles'!$C36))/$C36,0)</f>
        <v>0</v>
      </c>
      <c r="H36" s="796"/>
      <c r="I36" s="797"/>
      <c r="J36" s="808">
        <f>IF($C36&lt;&gt;0,SUM(('Risk Assessment (1)'!J36*'Risk Assessment (1)'!$C36),('Risk Assessment (2)'!J36*'Risk Assessment (2)'!$C36),('Risk Assessment (3)'!J36*'Risk Assessment (3)'!$C36),('Risk Assessment (4)'!J36*'Risk Assessment (4)'!$C36),('Additional Profiles'!H36*'Additional Profiles'!$C36))/$C36,0)</f>
        <v>0</v>
      </c>
      <c r="K36" s="796"/>
      <c r="L36" s="797"/>
      <c r="M36" s="808">
        <f>IF($C36&lt;&gt;0,SUM(('Risk Assessment (1)'!M36*'Risk Assessment (1)'!$C36),('Risk Assessment (2)'!M36*'Risk Assessment (2)'!$C36),('Risk Assessment (3)'!M36*'Risk Assessment (3)'!$C36),('Risk Assessment (4)'!M36*'Risk Assessment (4)'!$C36),('Additional Profiles'!J36*'Additional Profiles'!$C36))/$C36,0)</f>
        <v>0</v>
      </c>
      <c r="N36" s="796"/>
      <c r="O36" s="797"/>
      <c r="P36" s="808">
        <f>IF($C36&lt;&gt;0,SUM(('Risk Assessment (1)'!P36*'Risk Assessment (1)'!$C36),('Risk Assessment (2)'!P36*'Risk Assessment (2)'!$C36),('Risk Assessment (3)'!P36*'Risk Assessment (3)'!$C36),('Risk Assessment (4)'!P36*'Risk Assessment (4)'!$C36),('Additional Profiles'!L36*'Additional Profiles'!$C36))/$C36,0)</f>
        <v>0</v>
      </c>
      <c r="Q36" s="796"/>
      <c r="R36" s="797"/>
      <c r="S36" s="808">
        <f>IF($C36&lt;&gt;0,SUM(('Risk Assessment (1)'!S36*'Risk Assessment (1)'!$C36),('Risk Assessment (2)'!S36*'Risk Assessment (2)'!$C36),('Risk Assessment (3)'!S36*'Risk Assessment (3)'!$C36),('Risk Assessment (4)'!S36*'Risk Assessment (4)'!$C36),('Additional Profiles'!M36*'Additional Profiles'!$C36))/$C36,0)</f>
        <v>0</v>
      </c>
      <c r="T36" s="242"/>
      <c r="U36" s="242"/>
      <c r="V36" s="197">
        <f t="shared" si="12"/>
        <v>1</v>
      </c>
      <c r="W36" s="192">
        <f t="shared" si="13"/>
        <v>0</v>
      </c>
      <c r="X36" s="192">
        <f t="shared" si="14"/>
        <v>0</v>
      </c>
      <c r="Y36" s="78">
        <f t="shared" si="15"/>
        <v>0</v>
      </c>
      <c r="Z36" s="90"/>
      <c r="AA36" s="211"/>
      <c r="AB36" s="212"/>
      <c r="AC36" s="212"/>
      <c r="AD36" s="212"/>
      <c r="AE36" s="212"/>
      <c r="AF36" s="215"/>
    </row>
    <row r="37" spans="1:32">
      <c r="A37" s="513">
        <v>40.049999999999997</v>
      </c>
      <c r="B37" s="517" t="s">
        <v>37</v>
      </c>
      <c r="C37" s="78">
        <f>SUM('Risk Assessment (1):Risk Assessment (4)'!C37,'Additional Profiles'!C37)</f>
        <v>0</v>
      </c>
      <c r="D37" s="96"/>
      <c r="E37" s="796"/>
      <c r="F37" s="797"/>
      <c r="G37" s="808">
        <f>IF($C37&lt;&gt;0,SUM(('Risk Assessment (1)'!G37*'Risk Assessment (1)'!$C37),('Risk Assessment (2)'!G37*'Risk Assessment (2)'!$C37),('Risk Assessment (3)'!G37*'Risk Assessment (3)'!$C37),('Risk Assessment (4)'!G37*'Risk Assessment (4)'!$C37),('Additional Profiles'!F37*'Additional Profiles'!$C37))/$C37,0)</f>
        <v>0</v>
      </c>
      <c r="H37" s="796"/>
      <c r="I37" s="797"/>
      <c r="J37" s="808">
        <f>IF($C37&lt;&gt;0,SUM(('Risk Assessment (1)'!J37*'Risk Assessment (1)'!$C37),('Risk Assessment (2)'!J37*'Risk Assessment (2)'!$C37),('Risk Assessment (3)'!J37*'Risk Assessment (3)'!$C37),('Risk Assessment (4)'!J37*'Risk Assessment (4)'!$C37),('Additional Profiles'!H37*'Additional Profiles'!$C37))/$C37,0)</f>
        <v>0</v>
      </c>
      <c r="K37" s="796"/>
      <c r="L37" s="797"/>
      <c r="M37" s="808">
        <f>IF($C37&lt;&gt;0,SUM(('Risk Assessment (1)'!M37*'Risk Assessment (1)'!$C37),('Risk Assessment (2)'!M37*'Risk Assessment (2)'!$C37),('Risk Assessment (3)'!M37*'Risk Assessment (3)'!$C37),('Risk Assessment (4)'!M37*'Risk Assessment (4)'!$C37),('Additional Profiles'!J37*'Additional Profiles'!$C37))/$C37,0)</f>
        <v>0</v>
      </c>
      <c r="N37" s="796"/>
      <c r="O37" s="797"/>
      <c r="P37" s="808">
        <f>IF($C37&lt;&gt;0,SUM(('Risk Assessment (1)'!P37*'Risk Assessment (1)'!$C37),('Risk Assessment (2)'!P37*'Risk Assessment (2)'!$C37),('Risk Assessment (3)'!P37*'Risk Assessment (3)'!$C37),('Risk Assessment (4)'!P37*'Risk Assessment (4)'!$C37),('Additional Profiles'!L37*'Additional Profiles'!$C37))/$C37,0)</f>
        <v>0</v>
      </c>
      <c r="Q37" s="796"/>
      <c r="R37" s="797"/>
      <c r="S37" s="808">
        <f>IF($C37&lt;&gt;0,SUM(('Risk Assessment (1)'!S37*'Risk Assessment (1)'!$C37),('Risk Assessment (2)'!S37*'Risk Assessment (2)'!$C37),('Risk Assessment (3)'!S37*'Risk Assessment (3)'!$C37),('Risk Assessment (4)'!S37*'Risk Assessment (4)'!$C37),('Additional Profiles'!M37*'Additional Profiles'!$C37))/$C37,0)</f>
        <v>0</v>
      </c>
      <c r="T37" s="242"/>
      <c r="U37" s="242"/>
      <c r="V37" s="197">
        <f t="shared" si="12"/>
        <v>1</v>
      </c>
      <c r="W37" s="192">
        <f t="shared" si="13"/>
        <v>0</v>
      </c>
      <c r="X37" s="192">
        <f t="shared" si="14"/>
        <v>0</v>
      </c>
      <c r="Y37" s="78">
        <f t="shared" si="15"/>
        <v>0</v>
      </c>
      <c r="Z37" s="90"/>
      <c r="AA37" s="211"/>
      <c r="AB37" s="212"/>
      <c r="AC37" s="212"/>
      <c r="AD37" s="212"/>
      <c r="AE37" s="212"/>
      <c r="AF37" s="215"/>
    </row>
    <row r="38" spans="1:32">
      <c r="A38" s="513">
        <v>40.06</v>
      </c>
      <c r="B38" s="517" t="s">
        <v>38</v>
      </c>
      <c r="C38" s="78">
        <f>SUM('Risk Assessment (1):Risk Assessment (4)'!C38,'Additional Profiles'!C38)</f>
        <v>0</v>
      </c>
      <c r="D38" s="96"/>
      <c r="E38" s="796"/>
      <c r="F38" s="797"/>
      <c r="G38" s="808">
        <f>IF($C38&lt;&gt;0,SUM(('Risk Assessment (1)'!G38*'Risk Assessment (1)'!$C38),('Risk Assessment (2)'!G38*'Risk Assessment (2)'!$C38),('Risk Assessment (3)'!G38*'Risk Assessment (3)'!$C38),('Risk Assessment (4)'!G38*'Risk Assessment (4)'!$C38),('Additional Profiles'!F38*'Additional Profiles'!$C38))/$C38,0)</f>
        <v>0</v>
      </c>
      <c r="H38" s="796"/>
      <c r="I38" s="797"/>
      <c r="J38" s="808">
        <f>IF($C38&lt;&gt;0,SUM(('Risk Assessment (1)'!J38*'Risk Assessment (1)'!$C38),('Risk Assessment (2)'!J38*'Risk Assessment (2)'!$C38),('Risk Assessment (3)'!J38*'Risk Assessment (3)'!$C38),('Risk Assessment (4)'!J38*'Risk Assessment (4)'!$C38),('Additional Profiles'!H38*'Additional Profiles'!$C38))/$C38,0)</f>
        <v>0</v>
      </c>
      <c r="K38" s="796"/>
      <c r="L38" s="797"/>
      <c r="M38" s="808">
        <f>IF($C38&lt;&gt;0,SUM(('Risk Assessment (1)'!M38*'Risk Assessment (1)'!$C38),('Risk Assessment (2)'!M38*'Risk Assessment (2)'!$C38),('Risk Assessment (3)'!M38*'Risk Assessment (3)'!$C38),('Risk Assessment (4)'!M38*'Risk Assessment (4)'!$C38),('Additional Profiles'!J38*'Additional Profiles'!$C38))/$C38,0)</f>
        <v>0</v>
      </c>
      <c r="N38" s="796"/>
      <c r="O38" s="797"/>
      <c r="P38" s="808">
        <f>IF($C38&lt;&gt;0,SUM(('Risk Assessment (1)'!P38*'Risk Assessment (1)'!$C38),('Risk Assessment (2)'!P38*'Risk Assessment (2)'!$C38),('Risk Assessment (3)'!P38*'Risk Assessment (3)'!$C38),('Risk Assessment (4)'!P38*'Risk Assessment (4)'!$C38),('Additional Profiles'!L38*'Additional Profiles'!$C38))/$C38,0)</f>
        <v>0</v>
      </c>
      <c r="Q38" s="796"/>
      <c r="R38" s="797"/>
      <c r="S38" s="808">
        <f>IF($C38&lt;&gt;0,SUM(('Risk Assessment (1)'!S38*'Risk Assessment (1)'!$C38),('Risk Assessment (2)'!S38*'Risk Assessment (2)'!$C38),('Risk Assessment (3)'!S38*'Risk Assessment (3)'!$C38),('Risk Assessment (4)'!S38*'Risk Assessment (4)'!$C38),('Additional Profiles'!M38*'Additional Profiles'!$C38))/$C38,0)</f>
        <v>0</v>
      </c>
      <c r="T38" s="242"/>
      <c r="U38" s="242"/>
      <c r="V38" s="197">
        <f t="shared" si="12"/>
        <v>1</v>
      </c>
      <c r="W38" s="192">
        <f t="shared" si="13"/>
        <v>0</v>
      </c>
      <c r="X38" s="192">
        <f t="shared" si="14"/>
        <v>0</v>
      </c>
      <c r="Y38" s="78">
        <f t="shared" si="15"/>
        <v>0</v>
      </c>
      <c r="Z38" s="90"/>
      <c r="AA38" s="211"/>
      <c r="AB38" s="212"/>
      <c r="AC38" s="212"/>
      <c r="AD38" s="212"/>
      <c r="AE38" s="212"/>
      <c r="AF38" s="215"/>
    </row>
    <row r="39" spans="1:32">
      <c r="A39" s="513">
        <v>40.07</v>
      </c>
      <c r="B39" s="517" t="s">
        <v>39</v>
      </c>
      <c r="C39" s="78">
        <f>SUM('Risk Assessment (1):Risk Assessment (4)'!C39,'Additional Profiles'!C39)</f>
        <v>0</v>
      </c>
      <c r="D39" s="96"/>
      <c r="E39" s="796"/>
      <c r="F39" s="797"/>
      <c r="G39" s="808">
        <f>IF($C39&lt;&gt;0,SUM(('Risk Assessment (1)'!G39*'Risk Assessment (1)'!$C39),('Risk Assessment (2)'!G39*'Risk Assessment (2)'!$C39),('Risk Assessment (3)'!G39*'Risk Assessment (3)'!$C39),('Risk Assessment (4)'!G39*'Risk Assessment (4)'!$C39),('Additional Profiles'!F39*'Additional Profiles'!$C39))/$C39,0)</f>
        <v>0</v>
      </c>
      <c r="H39" s="796"/>
      <c r="I39" s="797"/>
      <c r="J39" s="808">
        <f>IF($C39&lt;&gt;0,SUM(('Risk Assessment (1)'!J39*'Risk Assessment (1)'!$C39),('Risk Assessment (2)'!J39*'Risk Assessment (2)'!$C39),('Risk Assessment (3)'!J39*'Risk Assessment (3)'!$C39),('Risk Assessment (4)'!J39*'Risk Assessment (4)'!$C39),('Additional Profiles'!H39*'Additional Profiles'!$C39))/$C39,0)</f>
        <v>0</v>
      </c>
      <c r="K39" s="796"/>
      <c r="L39" s="797"/>
      <c r="M39" s="808">
        <f>IF($C39&lt;&gt;0,SUM(('Risk Assessment (1)'!M39*'Risk Assessment (1)'!$C39),('Risk Assessment (2)'!M39*'Risk Assessment (2)'!$C39),('Risk Assessment (3)'!M39*'Risk Assessment (3)'!$C39),('Risk Assessment (4)'!M39*'Risk Assessment (4)'!$C39),('Additional Profiles'!J39*'Additional Profiles'!$C39))/$C39,0)</f>
        <v>0</v>
      </c>
      <c r="N39" s="796"/>
      <c r="O39" s="797"/>
      <c r="P39" s="808">
        <f>IF($C39&lt;&gt;0,SUM(('Risk Assessment (1)'!P39*'Risk Assessment (1)'!$C39),('Risk Assessment (2)'!P39*'Risk Assessment (2)'!$C39),('Risk Assessment (3)'!P39*'Risk Assessment (3)'!$C39),('Risk Assessment (4)'!P39*'Risk Assessment (4)'!$C39),('Additional Profiles'!L39*'Additional Profiles'!$C39))/$C39,0)</f>
        <v>0</v>
      </c>
      <c r="Q39" s="796"/>
      <c r="R39" s="797"/>
      <c r="S39" s="808">
        <f>IF($C39&lt;&gt;0,SUM(('Risk Assessment (1)'!S39*'Risk Assessment (1)'!$C39),('Risk Assessment (2)'!S39*'Risk Assessment (2)'!$C39),('Risk Assessment (3)'!S39*'Risk Assessment (3)'!$C39),('Risk Assessment (4)'!S39*'Risk Assessment (4)'!$C39),('Additional Profiles'!M39*'Additional Profiles'!$C39))/$C39,0)</f>
        <v>0</v>
      </c>
      <c r="T39" s="242"/>
      <c r="U39" s="242"/>
      <c r="V39" s="197">
        <f t="shared" si="12"/>
        <v>1</v>
      </c>
      <c r="W39" s="192">
        <f t="shared" si="13"/>
        <v>0</v>
      </c>
      <c r="X39" s="192">
        <f t="shared" si="14"/>
        <v>0</v>
      </c>
      <c r="Y39" s="78">
        <f t="shared" si="15"/>
        <v>0</v>
      </c>
      <c r="Z39" s="90"/>
      <c r="AA39" s="211"/>
      <c r="AB39" s="212"/>
      <c r="AC39" s="212"/>
      <c r="AD39" s="212"/>
      <c r="AE39" s="212"/>
      <c r="AF39" s="215"/>
    </row>
    <row r="40" spans="1:32">
      <c r="A40" s="513">
        <v>40.08</v>
      </c>
      <c r="B40" s="517" t="s">
        <v>40</v>
      </c>
      <c r="C40" s="199">
        <f>SUM('Risk Assessment (1):Risk Assessment (4)'!C40,'Additional Profiles'!C40)</f>
        <v>0</v>
      </c>
      <c r="D40" s="96"/>
      <c r="E40" s="796"/>
      <c r="F40" s="797"/>
      <c r="G40" s="806">
        <f>IF($C40&lt;&gt;0,SUM(('Risk Assessment (1)'!G40*'Risk Assessment (1)'!$C40),('Risk Assessment (2)'!G40*'Risk Assessment (2)'!$C40),('Risk Assessment (3)'!G40*'Risk Assessment (3)'!$C40),('Risk Assessment (4)'!G40*'Risk Assessment (4)'!$C40),('Additional Profiles'!F40*'Additional Profiles'!$C40))/$C40,0)</f>
        <v>0</v>
      </c>
      <c r="H40" s="796"/>
      <c r="I40" s="797"/>
      <c r="J40" s="806">
        <f>IF($C40&lt;&gt;0,SUM(('Risk Assessment (1)'!J40*'Risk Assessment (1)'!$C40),('Risk Assessment (2)'!J40*'Risk Assessment (2)'!$C40),('Risk Assessment (3)'!J40*'Risk Assessment (3)'!$C40),('Risk Assessment (4)'!J40*'Risk Assessment (4)'!$C40),('Additional Profiles'!H40*'Additional Profiles'!$C40))/$C40,0)</f>
        <v>0</v>
      </c>
      <c r="K40" s="796"/>
      <c r="L40" s="797"/>
      <c r="M40" s="806">
        <f>IF($C40&lt;&gt;0,SUM(('Risk Assessment (1)'!M40*'Risk Assessment (1)'!$C40),('Risk Assessment (2)'!M40*'Risk Assessment (2)'!$C40),('Risk Assessment (3)'!M40*'Risk Assessment (3)'!$C40),('Risk Assessment (4)'!M40*'Risk Assessment (4)'!$C40),('Additional Profiles'!J40*'Additional Profiles'!$C40))/$C40,0)</f>
        <v>0</v>
      </c>
      <c r="N40" s="796"/>
      <c r="O40" s="797"/>
      <c r="P40" s="806">
        <f>IF($C40&lt;&gt;0,SUM(('Risk Assessment (1)'!P40*'Risk Assessment (1)'!$C40),('Risk Assessment (2)'!P40*'Risk Assessment (2)'!$C40),('Risk Assessment (3)'!P40*'Risk Assessment (3)'!$C40),('Risk Assessment (4)'!P40*'Risk Assessment (4)'!$C40),('Additional Profiles'!L40*'Additional Profiles'!$C40))/$C40,0)</f>
        <v>0</v>
      </c>
      <c r="Q40" s="796"/>
      <c r="R40" s="797"/>
      <c r="S40" s="806">
        <f>IF($C40&lt;&gt;0,SUM(('Risk Assessment (1)'!S40*'Risk Assessment (1)'!$C40),('Risk Assessment (2)'!S40*'Risk Assessment (2)'!$C40),('Risk Assessment (3)'!S40*'Risk Assessment (3)'!$C40),('Risk Assessment (4)'!S40*'Risk Assessment (4)'!$C40),('Additional Profiles'!M40*'Additional Profiles'!$C40))/$C40,0)</f>
        <v>0</v>
      </c>
      <c r="T40" s="242"/>
      <c r="U40" s="242"/>
      <c r="V40" s="198">
        <f t="shared" si="12"/>
        <v>1</v>
      </c>
      <c r="W40" s="193">
        <f t="shared" si="13"/>
        <v>0</v>
      </c>
      <c r="X40" s="193">
        <f t="shared" si="14"/>
        <v>0</v>
      </c>
      <c r="Y40" s="199">
        <f t="shared" si="15"/>
        <v>0</v>
      </c>
      <c r="Z40" s="90"/>
      <c r="AA40" s="211"/>
      <c r="AB40" s="212"/>
      <c r="AC40" s="212"/>
      <c r="AD40" s="212"/>
      <c r="AE40" s="212"/>
      <c r="AF40" s="215"/>
    </row>
    <row r="41" spans="1:32">
      <c r="A41" s="513" t="s">
        <v>170</v>
      </c>
      <c r="B41" s="517"/>
      <c r="C41" s="52"/>
      <c r="D41" s="2"/>
      <c r="E41" s="796"/>
      <c r="F41" s="797"/>
      <c r="G41" s="798"/>
      <c r="H41" s="796"/>
      <c r="I41" s="797"/>
      <c r="J41" s="798"/>
      <c r="K41" s="796"/>
      <c r="L41" s="797"/>
      <c r="M41" s="798"/>
      <c r="N41" s="796"/>
      <c r="O41" s="797"/>
      <c r="P41" s="798"/>
      <c r="Q41" s="796"/>
      <c r="R41" s="797"/>
      <c r="S41" s="798"/>
      <c r="T41" s="242"/>
      <c r="U41" s="242"/>
      <c r="V41" s="177"/>
      <c r="W41" s="221"/>
      <c r="X41" s="221"/>
      <c r="Y41" s="222"/>
      <c r="Z41" s="90"/>
      <c r="AA41" s="211"/>
      <c r="AB41" s="212"/>
      <c r="AC41" s="212"/>
      <c r="AD41" s="212"/>
      <c r="AE41" s="212"/>
      <c r="AF41" s="215"/>
    </row>
    <row r="42" spans="1:32">
      <c r="A42" s="513">
        <v>50.01</v>
      </c>
      <c r="B42" s="517" t="s">
        <v>41</v>
      </c>
      <c r="C42" s="76">
        <f>SUM('Risk Assessment (1):Risk Assessment (4)'!C42,'Additional Profiles'!C42)</f>
        <v>0</v>
      </c>
      <c r="D42" s="96"/>
      <c r="E42" s="796"/>
      <c r="F42" s="797"/>
      <c r="G42" s="804">
        <f>IF($C42&lt;&gt;0,SUM(('Risk Assessment (1)'!G42*'Risk Assessment (1)'!$C42),('Risk Assessment (2)'!G42*'Risk Assessment (2)'!$C42),('Risk Assessment (3)'!G42*'Risk Assessment (3)'!$C42),('Risk Assessment (4)'!G42*'Risk Assessment (4)'!$C42),('Additional Profiles'!F42*'Additional Profiles'!$C42))/$C42,0)</f>
        <v>0</v>
      </c>
      <c r="H42" s="796"/>
      <c r="I42" s="797"/>
      <c r="J42" s="804">
        <f>IF($C42&lt;&gt;0,SUM(('Risk Assessment (1)'!J42*'Risk Assessment (1)'!$C42),('Risk Assessment (2)'!J42*'Risk Assessment (2)'!$C42),('Risk Assessment (3)'!J42*'Risk Assessment (3)'!$C42),('Risk Assessment (4)'!J42*'Risk Assessment (4)'!$C42),('Additional Profiles'!H42*'Additional Profiles'!$C42))/$C42,0)</f>
        <v>0</v>
      </c>
      <c r="K42" s="796"/>
      <c r="L42" s="797"/>
      <c r="M42" s="804">
        <f>IF($C42&lt;&gt;0,SUM(('Risk Assessment (1)'!M42*'Risk Assessment (1)'!$C42),('Risk Assessment (2)'!M42*'Risk Assessment (2)'!$C42),('Risk Assessment (3)'!M42*'Risk Assessment (3)'!$C42),('Risk Assessment (4)'!M42*'Risk Assessment (4)'!$C42),('Additional Profiles'!J42*'Additional Profiles'!$C42))/$C42,0)</f>
        <v>0</v>
      </c>
      <c r="N42" s="796"/>
      <c r="O42" s="797"/>
      <c r="P42" s="804">
        <f>IF($C42&lt;&gt;0,SUM(('Risk Assessment (1)'!P42*'Risk Assessment (1)'!$C42),('Risk Assessment (2)'!P42*'Risk Assessment (2)'!$C42),('Risk Assessment (3)'!P42*'Risk Assessment (3)'!$C42),('Risk Assessment (4)'!P42*'Risk Assessment (4)'!$C42),('Additional Profiles'!L42*'Additional Profiles'!$C42))/$C42,0)</f>
        <v>0</v>
      </c>
      <c r="Q42" s="796"/>
      <c r="R42" s="797"/>
      <c r="S42" s="804">
        <f>IF($C42&lt;&gt;0,SUM(('Risk Assessment (1)'!S42*'Risk Assessment (1)'!$C42),('Risk Assessment (2)'!S42*'Risk Assessment (2)'!$C42),('Risk Assessment (3)'!S42*'Risk Assessment (3)'!$C42),('Risk Assessment (4)'!S42*'Risk Assessment (4)'!$C42),('Additional Profiles'!M42*'Additional Profiles'!$C42))/$C42,0)</f>
        <v>0</v>
      </c>
      <c r="T42" s="242"/>
      <c r="U42" s="242"/>
      <c r="V42" s="196">
        <f t="shared" ref="V42:V48" si="16">1+SUM(G42,J42,M42,P42,S42)</f>
        <v>1</v>
      </c>
      <c r="W42" s="191">
        <f t="shared" ref="W42:W48" si="17">C42*V42</f>
        <v>0</v>
      </c>
      <c r="X42" s="191">
        <f t="shared" ref="X42:X48" si="18">IF(C42,BETAINV(0.5,RA_alpha,RA_beta,C42,W42),0)</f>
        <v>0</v>
      </c>
      <c r="Y42" s="76">
        <f t="shared" ref="Y42:Y48" si="19">((RA_alpha/(RA_alpha+RA_beta))*(W42-C42))+C42</f>
        <v>0</v>
      </c>
      <c r="Z42" s="90"/>
      <c r="AA42" s="211"/>
      <c r="AB42" s="212"/>
      <c r="AC42" s="212"/>
      <c r="AD42" s="212"/>
      <c r="AE42" s="212"/>
      <c r="AF42" s="215"/>
    </row>
    <row r="43" spans="1:32">
      <c r="A43" s="513">
        <v>50.02</v>
      </c>
      <c r="B43" s="517" t="s">
        <v>42</v>
      </c>
      <c r="C43" s="78">
        <f>SUM('Risk Assessment (1):Risk Assessment (4)'!C43,'Additional Profiles'!C43)</f>
        <v>0</v>
      </c>
      <c r="D43" s="96"/>
      <c r="E43" s="796"/>
      <c r="F43" s="797"/>
      <c r="G43" s="808">
        <f>IF($C43&lt;&gt;0,SUM(('Risk Assessment (1)'!G43*'Risk Assessment (1)'!$C43),('Risk Assessment (2)'!G43*'Risk Assessment (2)'!$C43),('Risk Assessment (3)'!G43*'Risk Assessment (3)'!$C43),('Risk Assessment (4)'!G43*'Risk Assessment (4)'!$C43),('Additional Profiles'!F43*'Additional Profiles'!$C43))/$C43,0)</f>
        <v>0</v>
      </c>
      <c r="H43" s="796"/>
      <c r="I43" s="797"/>
      <c r="J43" s="808">
        <f>IF($C43&lt;&gt;0,SUM(('Risk Assessment (1)'!J43*'Risk Assessment (1)'!$C43),('Risk Assessment (2)'!J43*'Risk Assessment (2)'!$C43),('Risk Assessment (3)'!J43*'Risk Assessment (3)'!$C43),('Risk Assessment (4)'!J43*'Risk Assessment (4)'!$C43),('Additional Profiles'!H43*'Additional Profiles'!$C43))/$C43,0)</f>
        <v>0</v>
      </c>
      <c r="K43" s="796"/>
      <c r="L43" s="797"/>
      <c r="M43" s="808">
        <f>IF($C43&lt;&gt;0,SUM(('Risk Assessment (1)'!M43*'Risk Assessment (1)'!$C43),('Risk Assessment (2)'!M43*'Risk Assessment (2)'!$C43),('Risk Assessment (3)'!M43*'Risk Assessment (3)'!$C43),('Risk Assessment (4)'!M43*'Risk Assessment (4)'!$C43),('Additional Profiles'!J43*'Additional Profiles'!$C43))/$C43,0)</f>
        <v>0</v>
      </c>
      <c r="N43" s="796"/>
      <c r="O43" s="797"/>
      <c r="P43" s="808">
        <f>IF($C43&lt;&gt;0,SUM(('Risk Assessment (1)'!P43*'Risk Assessment (1)'!$C43),('Risk Assessment (2)'!P43*'Risk Assessment (2)'!$C43),('Risk Assessment (3)'!P43*'Risk Assessment (3)'!$C43),('Risk Assessment (4)'!P43*'Risk Assessment (4)'!$C43),('Additional Profiles'!L43*'Additional Profiles'!$C43))/$C43,0)</f>
        <v>0</v>
      </c>
      <c r="Q43" s="796"/>
      <c r="R43" s="797"/>
      <c r="S43" s="808">
        <f>IF($C43&lt;&gt;0,SUM(('Risk Assessment (1)'!S43*'Risk Assessment (1)'!$C43),('Risk Assessment (2)'!S43*'Risk Assessment (2)'!$C43),('Risk Assessment (3)'!S43*'Risk Assessment (3)'!$C43),('Risk Assessment (4)'!S43*'Risk Assessment (4)'!$C43),('Additional Profiles'!M43*'Additional Profiles'!$C43))/$C43,0)</f>
        <v>0</v>
      </c>
      <c r="T43" s="242"/>
      <c r="U43" s="242"/>
      <c r="V43" s="197">
        <f t="shared" si="16"/>
        <v>1</v>
      </c>
      <c r="W43" s="192">
        <f t="shared" si="17"/>
        <v>0</v>
      </c>
      <c r="X43" s="192">
        <f t="shared" si="18"/>
        <v>0</v>
      </c>
      <c r="Y43" s="78">
        <f t="shared" si="19"/>
        <v>0</v>
      </c>
      <c r="Z43" s="90"/>
      <c r="AA43" s="211"/>
      <c r="AB43" s="212"/>
      <c r="AC43" s="212"/>
      <c r="AD43" s="212"/>
      <c r="AE43" s="212"/>
      <c r="AF43" s="215"/>
    </row>
    <row r="44" spans="1:32">
      <c r="A44" s="513">
        <v>50.03</v>
      </c>
      <c r="B44" s="517" t="s">
        <v>43</v>
      </c>
      <c r="C44" s="78">
        <f>SUM('Risk Assessment (1):Risk Assessment (4)'!C44,'Additional Profiles'!C44)</f>
        <v>0</v>
      </c>
      <c r="D44" s="96"/>
      <c r="E44" s="796"/>
      <c r="F44" s="797"/>
      <c r="G44" s="808">
        <f>IF($C44&lt;&gt;0,SUM(('Risk Assessment (1)'!G44*'Risk Assessment (1)'!$C44),('Risk Assessment (2)'!G44*'Risk Assessment (2)'!$C44),('Risk Assessment (3)'!G44*'Risk Assessment (3)'!$C44),('Risk Assessment (4)'!G44*'Risk Assessment (4)'!$C44),('Additional Profiles'!F44*'Additional Profiles'!$C44))/$C44,0)</f>
        <v>0</v>
      </c>
      <c r="H44" s="796"/>
      <c r="I44" s="797"/>
      <c r="J44" s="808">
        <f>IF($C44&lt;&gt;0,SUM(('Risk Assessment (1)'!J44*'Risk Assessment (1)'!$C44),('Risk Assessment (2)'!J44*'Risk Assessment (2)'!$C44),('Risk Assessment (3)'!J44*'Risk Assessment (3)'!$C44),('Risk Assessment (4)'!J44*'Risk Assessment (4)'!$C44),('Additional Profiles'!H44*'Additional Profiles'!$C44))/$C44,0)</f>
        <v>0</v>
      </c>
      <c r="K44" s="796"/>
      <c r="L44" s="797"/>
      <c r="M44" s="808">
        <f>IF($C44&lt;&gt;0,SUM(('Risk Assessment (1)'!M44*'Risk Assessment (1)'!$C44),('Risk Assessment (2)'!M44*'Risk Assessment (2)'!$C44),('Risk Assessment (3)'!M44*'Risk Assessment (3)'!$C44),('Risk Assessment (4)'!M44*'Risk Assessment (4)'!$C44),('Additional Profiles'!J44*'Additional Profiles'!$C44))/$C44,0)</f>
        <v>0</v>
      </c>
      <c r="N44" s="796"/>
      <c r="O44" s="797"/>
      <c r="P44" s="808">
        <f>IF($C44&lt;&gt;0,SUM(('Risk Assessment (1)'!P44*'Risk Assessment (1)'!$C44),('Risk Assessment (2)'!P44*'Risk Assessment (2)'!$C44),('Risk Assessment (3)'!P44*'Risk Assessment (3)'!$C44),('Risk Assessment (4)'!P44*'Risk Assessment (4)'!$C44),('Additional Profiles'!L44*'Additional Profiles'!$C44))/$C44,0)</f>
        <v>0</v>
      </c>
      <c r="Q44" s="796"/>
      <c r="R44" s="797"/>
      <c r="S44" s="808">
        <f>IF($C44&lt;&gt;0,SUM(('Risk Assessment (1)'!S44*'Risk Assessment (1)'!$C44),('Risk Assessment (2)'!S44*'Risk Assessment (2)'!$C44),('Risk Assessment (3)'!S44*'Risk Assessment (3)'!$C44),('Risk Assessment (4)'!S44*'Risk Assessment (4)'!$C44),('Additional Profiles'!M44*'Additional Profiles'!$C44))/$C44,0)</f>
        <v>0</v>
      </c>
      <c r="T44" s="242"/>
      <c r="U44" s="242"/>
      <c r="V44" s="197">
        <f t="shared" si="16"/>
        <v>1</v>
      </c>
      <c r="W44" s="192">
        <f t="shared" si="17"/>
        <v>0</v>
      </c>
      <c r="X44" s="192">
        <f t="shared" si="18"/>
        <v>0</v>
      </c>
      <c r="Y44" s="78">
        <f t="shared" si="19"/>
        <v>0</v>
      </c>
      <c r="Z44" s="90"/>
      <c r="AA44" s="211"/>
      <c r="AB44" s="212"/>
      <c r="AC44" s="212"/>
      <c r="AD44" s="212"/>
      <c r="AE44" s="212"/>
      <c r="AF44" s="215"/>
    </row>
    <row r="45" spans="1:32">
      <c r="A45" s="513">
        <v>50.04</v>
      </c>
      <c r="B45" s="517" t="s">
        <v>44</v>
      </c>
      <c r="C45" s="78">
        <f>SUM('Risk Assessment (1):Risk Assessment (4)'!C45,'Additional Profiles'!C45)</f>
        <v>0</v>
      </c>
      <c r="D45" s="96"/>
      <c r="E45" s="796"/>
      <c r="F45" s="797"/>
      <c r="G45" s="808">
        <f>IF($C45&lt;&gt;0,SUM(('Risk Assessment (1)'!G45*'Risk Assessment (1)'!$C45),('Risk Assessment (2)'!G45*'Risk Assessment (2)'!$C45),('Risk Assessment (3)'!G45*'Risk Assessment (3)'!$C45),('Risk Assessment (4)'!G45*'Risk Assessment (4)'!$C45),('Additional Profiles'!F45*'Additional Profiles'!$C45))/$C45,0)</f>
        <v>0</v>
      </c>
      <c r="H45" s="796"/>
      <c r="I45" s="797"/>
      <c r="J45" s="808">
        <f>IF($C45&lt;&gt;0,SUM(('Risk Assessment (1)'!J45*'Risk Assessment (1)'!$C45),('Risk Assessment (2)'!J45*'Risk Assessment (2)'!$C45),('Risk Assessment (3)'!J45*'Risk Assessment (3)'!$C45),('Risk Assessment (4)'!J45*'Risk Assessment (4)'!$C45),('Additional Profiles'!H45*'Additional Profiles'!$C45))/$C45,0)</f>
        <v>0</v>
      </c>
      <c r="K45" s="796"/>
      <c r="L45" s="797"/>
      <c r="M45" s="808">
        <f>IF($C45&lt;&gt;0,SUM(('Risk Assessment (1)'!M45*'Risk Assessment (1)'!$C45),('Risk Assessment (2)'!M45*'Risk Assessment (2)'!$C45),('Risk Assessment (3)'!M45*'Risk Assessment (3)'!$C45),('Risk Assessment (4)'!M45*'Risk Assessment (4)'!$C45),('Additional Profiles'!J45*'Additional Profiles'!$C45))/$C45,0)</f>
        <v>0</v>
      </c>
      <c r="N45" s="796"/>
      <c r="O45" s="797"/>
      <c r="P45" s="808">
        <f>IF($C45&lt;&gt;0,SUM(('Risk Assessment (1)'!P45*'Risk Assessment (1)'!$C45),('Risk Assessment (2)'!P45*'Risk Assessment (2)'!$C45),('Risk Assessment (3)'!P45*'Risk Assessment (3)'!$C45),('Risk Assessment (4)'!P45*'Risk Assessment (4)'!$C45),('Additional Profiles'!L45*'Additional Profiles'!$C45))/$C45,0)</f>
        <v>0</v>
      </c>
      <c r="Q45" s="796"/>
      <c r="R45" s="797"/>
      <c r="S45" s="808">
        <f>IF($C45&lt;&gt;0,SUM(('Risk Assessment (1)'!S45*'Risk Assessment (1)'!$C45),('Risk Assessment (2)'!S45*'Risk Assessment (2)'!$C45),('Risk Assessment (3)'!S45*'Risk Assessment (3)'!$C45),('Risk Assessment (4)'!S45*'Risk Assessment (4)'!$C45),('Additional Profiles'!M45*'Additional Profiles'!$C45))/$C45,0)</f>
        <v>0</v>
      </c>
      <c r="T45" s="242"/>
      <c r="U45" s="242"/>
      <c r="V45" s="197">
        <f t="shared" si="16"/>
        <v>1</v>
      </c>
      <c r="W45" s="192">
        <f t="shared" si="17"/>
        <v>0</v>
      </c>
      <c r="X45" s="192">
        <f t="shared" si="18"/>
        <v>0</v>
      </c>
      <c r="Y45" s="78">
        <f t="shared" si="19"/>
        <v>0</v>
      </c>
      <c r="Z45" s="90"/>
      <c r="AA45" s="211"/>
      <c r="AB45" s="212"/>
      <c r="AC45" s="212"/>
      <c r="AD45" s="212"/>
      <c r="AE45" s="212"/>
      <c r="AF45" s="215"/>
    </row>
    <row r="46" spans="1:32">
      <c r="A46" s="513">
        <v>50.05</v>
      </c>
      <c r="B46" s="517" t="s">
        <v>45</v>
      </c>
      <c r="C46" s="78">
        <f>SUM('Risk Assessment (1):Risk Assessment (4)'!C46,'Additional Profiles'!C46)</f>
        <v>0</v>
      </c>
      <c r="D46" s="96"/>
      <c r="E46" s="796"/>
      <c r="F46" s="797"/>
      <c r="G46" s="808">
        <f>IF($C46&lt;&gt;0,SUM(('Risk Assessment (1)'!G46*'Risk Assessment (1)'!$C46),('Risk Assessment (2)'!G46*'Risk Assessment (2)'!$C46),('Risk Assessment (3)'!G46*'Risk Assessment (3)'!$C46),('Risk Assessment (4)'!G46*'Risk Assessment (4)'!$C46),('Additional Profiles'!F46*'Additional Profiles'!$C46))/$C46,0)</f>
        <v>0</v>
      </c>
      <c r="H46" s="796"/>
      <c r="I46" s="797"/>
      <c r="J46" s="808">
        <f>IF($C46&lt;&gt;0,SUM(('Risk Assessment (1)'!J46*'Risk Assessment (1)'!$C46),('Risk Assessment (2)'!J46*'Risk Assessment (2)'!$C46),('Risk Assessment (3)'!J46*'Risk Assessment (3)'!$C46),('Risk Assessment (4)'!J46*'Risk Assessment (4)'!$C46),('Additional Profiles'!H46*'Additional Profiles'!$C46))/$C46,0)</f>
        <v>0</v>
      </c>
      <c r="K46" s="796"/>
      <c r="L46" s="797"/>
      <c r="M46" s="808">
        <f>IF($C46&lt;&gt;0,SUM(('Risk Assessment (1)'!M46*'Risk Assessment (1)'!$C46),('Risk Assessment (2)'!M46*'Risk Assessment (2)'!$C46),('Risk Assessment (3)'!M46*'Risk Assessment (3)'!$C46),('Risk Assessment (4)'!M46*'Risk Assessment (4)'!$C46),('Additional Profiles'!J46*'Additional Profiles'!$C46))/$C46,0)</f>
        <v>0</v>
      </c>
      <c r="N46" s="796"/>
      <c r="O46" s="797"/>
      <c r="P46" s="808">
        <f>IF($C46&lt;&gt;0,SUM(('Risk Assessment (1)'!P46*'Risk Assessment (1)'!$C46),('Risk Assessment (2)'!P46*'Risk Assessment (2)'!$C46),('Risk Assessment (3)'!P46*'Risk Assessment (3)'!$C46),('Risk Assessment (4)'!P46*'Risk Assessment (4)'!$C46),('Additional Profiles'!L46*'Additional Profiles'!$C46))/$C46,0)</f>
        <v>0</v>
      </c>
      <c r="Q46" s="796"/>
      <c r="R46" s="797"/>
      <c r="S46" s="808">
        <f>IF($C46&lt;&gt;0,SUM(('Risk Assessment (1)'!S46*'Risk Assessment (1)'!$C46),('Risk Assessment (2)'!S46*'Risk Assessment (2)'!$C46),('Risk Assessment (3)'!S46*'Risk Assessment (3)'!$C46),('Risk Assessment (4)'!S46*'Risk Assessment (4)'!$C46),('Additional Profiles'!M46*'Additional Profiles'!$C46))/$C46,0)</f>
        <v>0</v>
      </c>
      <c r="T46" s="242"/>
      <c r="U46" s="242"/>
      <c r="V46" s="197">
        <f t="shared" si="16"/>
        <v>1</v>
      </c>
      <c r="W46" s="192">
        <f t="shared" si="17"/>
        <v>0</v>
      </c>
      <c r="X46" s="192">
        <f t="shared" si="18"/>
        <v>0</v>
      </c>
      <c r="Y46" s="78">
        <f t="shared" si="19"/>
        <v>0</v>
      </c>
      <c r="Z46" s="90"/>
      <c r="AA46" s="211"/>
      <c r="AB46" s="212"/>
      <c r="AC46" s="212"/>
      <c r="AD46" s="212"/>
      <c r="AE46" s="212"/>
      <c r="AF46" s="215"/>
    </row>
    <row r="47" spans="1:32">
      <c r="A47" s="513">
        <v>50.06</v>
      </c>
      <c r="B47" s="517" t="s">
        <v>46</v>
      </c>
      <c r="C47" s="78">
        <f>SUM('Risk Assessment (1):Risk Assessment (4)'!C47,'Additional Profiles'!C47)</f>
        <v>0</v>
      </c>
      <c r="D47" s="96"/>
      <c r="E47" s="796"/>
      <c r="F47" s="797"/>
      <c r="G47" s="808">
        <f>IF($C47&lt;&gt;0,SUM(('Risk Assessment (1)'!G47*'Risk Assessment (1)'!$C47),('Risk Assessment (2)'!G47*'Risk Assessment (2)'!$C47),('Risk Assessment (3)'!G47*'Risk Assessment (3)'!$C47),('Risk Assessment (4)'!G47*'Risk Assessment (4)'!$C47),('Additional Profiles'!F47*'Additional Profiles'!$C47))/$C47,0)</f>
        <v>0</v>
      </c>
      <c r="H47" s="796"/>
      <c r="I47" s="797"/>
      <c r="J47" s="808">
        <f>IF($C47&lt;&gt;0,SUM(('Risk Assessment (1)'!J47*'Risk Assessment (1)'!$C47),('Risk Assessment (2)'!J47*'Risk Assessment (2)'!$C47),('Risk Assessment (3)'!J47*'Risk Assessment (3)'!$C47),('Risk Assessment (4)'!J47*'Risk Assessment (4)'!$C47),('Additional Profiles'!H47*'Additional Profiles'!$C47))/$C47,0)</f>
        <v>0</v>
      </c>
      <c r="K47" s="796"/>
      <c r="L47" s="797"/>
      <c r="M47" s="808">
        <f>IF($C47&lt;&gt;0,SUM(('Risk Assessment (1)'!M47*'Risk Assessment (1)'!$C47),('Risk Assessment (2)'!M47*'Risk Assessment (2)'!$C47),('Risk Assessment (3)'!M47*'Risk Assessment (3)'!$C47),('Risk Assessment (4)'!M47*'Risk Assessment (4)'!$C47),('Additional Profiles'!J47*'Additional Profiles'!$C47))/$C47,0)</f>
        <v>0</v>
      </c>
      <c r="N47" s="796"/>
      <c r="O47" s="797"/>
      <c r="P47" s="808">
        <f>IF($C47&lt;&gt;0,SUM(('Risk Assessment (1)'!P47*'Risk Assessment (1)'!$C47),('Risk Assessment (2)'!P47*'Risk Assessment (2)'!$C47),('Risk Assessment (3)'!P47*'Risk Assessment (3)'!$C47),('Risk Assessment (4)'!P47*'Risk Assessment (4)'!$C47),('Additional Profiles'!L47*'Additional Profiles'!$C47))/$C47,0)</f>
        <v>0</v>
      </c>
      <c r="Q47" s="796"/>
      <c r="R47" s="797"/>
      <c r="S47" s="808">
        <f>IF($C47&lt;&gt;0,SUM(('Risk Assessment (1)'!S47*'Risk Assessment (1)'!$C47),('Risk Assessment (2)'!S47*'Risk Assessment (2)'!$C47),('Risk Assessment (3)'!S47*'Risk Assessment (3)'!$C47),('Risk Assessment (4)'!S47*'Risk Assessment (4)'!$C47),('Additional Profiles'!M47*'Additional Profiles'!$C47))/$C47,0)</f>
        <v>0</v>
      </c>
      <c r="T47" s="242"/>
      <c r="U47" s="242"/>
      <c r="V47" s="197">
        <f t="shared" si="16"/>
        <v>1</v>
      </c>
      <c r="W47" s="192">
        <f t="shared" si="17"/>
        <v>0</v>
      </c>
      <c r="X47" s="192">
        <f t="shared" si="18"/>
        <v>0</v>
      </c>
      <c r="Y47" s="78">
        <f t="shared" si="19"/>
        <v>0</v>
      </c>
      <c r="Z47" s="90"/>
      <c r="AA47" s="211"/>
      <c r="AB47" s="212"/>
      <c r="AC47" s="212"/>
      <c r="AD47" s="212"/>
      <c r="AE47" s="212"/>
      <c r="AF47" s="215"/>
    </row>
    <row r="48" spans="1:32" ht="13.5" thickBot="1">
      <c r="A48" s="513">
        <v>50.07</v>
      </c>
      <c r="B48" s="517" t="s">
        <v>47</v>
      </c>
      <c r="C48" s="199">
        <f>SUM('Risk Assessment (1):Risk Assessment (4)'!C48,'Additional Profiles'!C48)</f>
        <v>0</v>
      </c>
      <c r="D48" s="96"/>
      <c r="E48" s="796"/>
      <c r="F48" s="797"/>
      <c r="G48" s="808">
        <f>IF($C48&lt;&gt;0,SUM(('Risk Assessment (1)'!G48*'Risk Assessment (1)'!$C48),('Risk Assessment (2)'!G48*'Risk Assessment (2)'!$C48),('Risk Assessment (3)'!G48*'Risk Assessment (3)'!$C48),('Risk Assessment (4)'!G48*'Risk Assessment (4)'!$C48),('Additional Profiles'!F48*'Additional Profiles'!$C48))/$C48,0)</f>
        <v>0</v>
      </c>
      <c r="H48" s="796"/>
      <c r="I48" s="797"/>
      <c r="J48" s="808">
        <f>IF($C48&lt;&gt;0,SUM(('Risk Assessment (1)'!J48*'Risk Assessment (1)'!$C48),('Risk Assessment (2)'!J48*'Risk Assessment (2)'!$C48),('Risk Assessment (3)'!J48*'Risk Assessment (3)'!$C48),('Risk Assessment (4)'!J48*'Risk Assessment (4)'!$C48),('Additional Profiles'!H48*'Additional Profiles'!$C48))/$C48,0)</f>
        <v>0</v>
      </c>
      <c r="K48" s="796"/>
      <c r="L48" s="797"/>
      <c r="M48" s="808">
        <f>IF($C48&lt;&gt;0,SUM(('Risk Assessment (1)'!M48*'Risk Assessment (1)'!$C48),('Risk Assessment (2)'!M48*'Risk Assessment (2)'!$C48),('Risk Assessment (3)'!M48*'Risk Assessment (3)'!$C48),('Risk Assessment (4)'!M48*'Risk Assessment (4)'!$C48),('Additional Profiles'!J48*'Additional Profiles'!$C48))/$C48,0)</f>
        <v>0</v>
      </c>
      <c r="N48" s="796"/>
      <c r="O48" s="797"/>
      <c r="P48" s="808">
        <f>IF($C48&lt;&gt;0,SUM(('Risk Assessment (1)'!P48*'Risk Assessment (1)'!$C48),('Risk Assessment (2)'!P48*'Risk Assessment (2)'!$C48),('Risk Assessment (3)'!P48*'Risk Assessment (3)'!$C48),('Risk Assessment (4)'!P48*'Risk Assessment (4)'!$C48),('Additional Profiles'!L48*'Additional Profiles'!$C48))/$C48,0)</f>
        <v>0</v>
      </c>
      <c r="Q48" s="796"/>
      <c r="R48" s="797"/>
      <c r="S48" s="808">
        <f>IF($C48&lt;&gt;0,SUM(('Risk Assessment (1)'!S48*'Risk Assessment (1)'!$C48),('Risk Assessment (2)'!S48*'Risk Assessment (2)'!$C48),('Risk Assessment (3)'!S48*'Risk Assessment (3)'!$C48),('Risk Assessment (4)'!S48*'Risk Assessment (4)'!$C48),('Additional Profiles'!M48*'Additional Profiles'!$C48))/$C48,0)</f>
        <v>0</v>
      </c>
      <c r="T48" s="242"/>
      <c r="U48" s="242"/>
      <c r="V48" s="198">
        <f t="shared" si="16"/>
        <v>1</v>
      </c>
      <c r="W48" s="193">
        <f t="shared" si="17"/>
        <v>0</v>
      </c>
      <c r="X48" s="193">
        <f t="shared" si="18"/>
        <v>0</v>
      </c>
      <c r="Y48" s="199">
        <f t="shared" si="19"/>
        <v>0</v>
      </c>
      <c r="Z48" s="90"/>
      <c r="AA48" s="211"/>
      <c r="AB48" s="212"/>
      <c r="AC48" s="212"/>
      <c r="AD48" s="212"/>
      <c r="AE48" s="212"/>
      <c r="AF48" s="215"/>
    </row>
    <row r="49" spans="1:32" ht="15">
      <c r="A49" s="513"/>
      <c r="B49" s="517"/>
      <c r="C49" s="52"/>
      <c r="D49" s="2"/>
      <c r="E49" s="1114" t="s">
        <v>543</v>
      </c>
      <c r="F49" s="1115"/>
      <c r="G49" s="1115"/>
      <c r="H49" s="1115"/>
      <c r="I49" s="1115"/>
      <c r="J49" s="1115"/>
      <c r="K49" s="1115"/>
      <c r="L49" s="1115"/>
      <c r="M49" s="1115"/>
      <c r="N49" s="1115"/>
      <c r="O49" s="1115"/>
      <c r="P49" s="1115"/>
      <c r="Q49" s="1115"/>
      <c r="R49" s="1115"/>
      <c r="S49" s="1116"/>
      <c r="T49" s="242"/>
      <c r="U49" s="242"/>
      <c r="V49" s="177"/>
      <c r="W49" s="221"/>
      <c r="X49" s="221"/>
      <c r="Y49" s="222"/>
      <c r="Z49" s="90"/>
      <c r="AA49" s="211"/>
      <c r="AB49" s="212"/>
      <c r="AC49" s="212"/>
      <c r="AD49" s="212"/>
      <c r="AE49" s="212"/>
      <c r="AF49" s="215"/>
    </row>
    <row r="50" spans="1:32" ht="13.5" thickBot="1">
      <c r="A50" s="513" t="s">
        <v>172</v>
      </c>
      <c r="B50" s="517"/>
      <c r="C50" s="52"/>
      <c r="D50" s="2"/>
      <c r="E50" s="1119" t="s">
        <v>544</v>
      </c>
      <c r="F50" s="1097"/>
      <c r="G50" s="1097"/>
      <c r="H50" s="1097"/>
      <c r="I50" s="1097"/>
      <c r="J50" s="1097"/>
      <c r="K50" s="1097"/>
      <c r="L50" s="1097"/>
      <c r="M50" s="1097"/>
      <c r="N50" s="1097"/>
      <c r="O50" s="1097"/>
      <c r="P50" s="1097"/>
      <c r="Q50" s="1097"/>
      <c r="R50" s="1097"/>
      <c r="S50" s="1098"/>
      <c r="T50" s="242"/>
      <c r="U50" s="242"/>
      <c r="V50" s="64"/>
      <c r="W50" s="52"/>
      <c r="X50" s="52"/>
      <c r="Y50" s="52"/>
      <c r="Z50" s="90"/>
      <c r="AA50" s="211"/>
      <c r="AB50" s="212"/>
      <c r="AC50" s="212"/>
      <c r="AD50" s="212"/>
      <c r="AE50" s="212"/>
      <c r="AF50" s="215"/>
    </row>
    <row r="51" spans="1:32">
      <c r="A51" s="513">
        <v>60.01</v>
      </c>
      <c r="B51" s="517" t="s">
        <v>48</v>
      </c>
      <c r="C51" s="76">
        <f>SUM('Risk Assessment (1):Risk Assessment (4)'!C51,'Additional Profiles'!C51)</f>
        <v>0</v>
      </c>
      <c r="D51" s="96"/>
      <c r="E51" s="796"/>
      <c r="F51" s="797"/>
      <c r="G51" s="808">
        <f>IF($C51&lt;&gt;0,SUM(('Risk Assessment (1)'!G51*'Risk Assessment (1)'!$C51),('Risk Assessment (2)'!G51*'Risk Assessment (2)'!$C51),('Risk Assessment (3)'!G51*'Risk Assessment (3)'!$C51),('Risk Assessment (4)'!G51*'Risk Assessment (4)'!$C51),('Additional Profiles'!F51*'Additional Profiles'!$C51))/$C51,0)</f>
        <v>0</v>
      </c>
      <c r="H51" s="796"/>
      <c r="I51" s="797"/>
      <c r="J51" s="808">
        <f>IF($C51&lt;&gt;0,SUM(('Risk Assessment (1)'!J51*'Risk Assessment (1)'!$C51),('Risk Assessment (2)'!J51*'Risk Assessment (2)'!$C51),('Risk Assessment (3)'!J51*'Risk Assessment (3)'!$C51),('Risk Assessment (4)'!J51*'Risk Assessment (4)'!$C51),('Additional Profiles'!H51*'Additional Profiles'!$C51))/$C51,0)</f>
        <v>0</v>
      </c>
      <c r="K51" s="796"/>
      <c r="L51" s="797"/>
      <c r="M51" s="808">
        <f>IF($C51&lt;&gt;0,SUM(('Risk Assessment (1)'!M51*'Risk Assessment (1)'!$C51),('Risk Assessment (2)'!M51*'Risk Assessment (2)'!$C51),('Risk Assessment (3)'!M51*'Risk Assessment (3)'!$C51),('Risk Assessment (4)'!M51*'Risk Assessment (4)'!$C51),('Additional Profiles'!J51*'Additional Profiles'!$C51))/$C51,0)</f>
        <v>0</v>
      </c>
      <c r="N51" s="796"/>
      <c r="O51" s="797"/>
      <c r="P51" s="808">
        <f>IF($C51&lt;&gt;0,SUM(('Risk Assessment (1)'!P51*'Risk Assessment (1)'!$C51),('Risk Assessment (2)'!P51*'Risk Assessment (2)'!$C51),('Risk Assessment (3)'!P51*'Risk Assessment (3)'!$C51),('Risk Assessment (4)'!P51*'Risk Assessment (4)'!$C51),('Additional Profiles'!L51*'Additional Profiles'!$C51))/$C51,0)</f>
        <v>0</v>
      </c>
      <c r="Q51" s="796"/>
      <c r="R51" s="797"/>
      <c r="S51" s="808">
        <f>IF($C51&lt;&gt;0,SUM(('Risk Assessment (1)'!S51*'Risk Assessment (1)'!$C51),('Risk Assessment (2)'!S51*'Risk Assessment (2)'!$C51),('Risk Assessment (3)'!S51*'Risk Assessment (3)'!$C51),('Risk Assessment (4)'!S51*'Risk Assessment (4)'!$C51),('Additional Profiles'!M51*'Additional Profiles'!$C51))/$C51,0)</f>
        <v>0</v>
      </c>
      <c r="T51" s="242"/>
      <c r="U51" s="242"/>
      <c r="V51" s="196">
        <f t="shared" ref="V51:V52" si="20">1+SUM(G51,J51,M51,P51,S51)</f>
        <v>1</v>
      </c>
      <c r="W51" s="191">
        <f>C51*V51</f>
        <v>0</v>
      </c>
      <c r="X51" s="191">
        <f>IF(C51,BETAINV(0.5,RA_alpha,RA_beta,C51,W51),0)</f>
        <v>0</v>
      </c>
      <c r="Y51" s="76">
        <f>((RA_alpha/(RA_alpha+RA_beta))*(W51-C51))+C51</f>
        <v>0</v>
      </c>
      <c r="Z51" s="90"/>
      <c r="AA51" s="211"/>
      <c r="AB51" s="212"/>
      <c r="AC51" s="212"/>
      <c r="AD51" s="212"/>
      <c r="AE51" s="212"/>
      <c r="AF51" s="215"/>
    </row>
    <row r="52" spans="1:32">
      <c r="A52" s="513">
        <v>60.02</v>
      </c>
      <c r="B52" s="517" t="s">
        <v>49</v>
      </c>
      <c r="C52" s="199">
        <f>SUM('Risk Assessment (1):Risk Assessment (4)'!C52,'Additional Profiles'!C52)</f>
        <v>0</v>
      </c>
      <c r="D52" s="96"/>
      <c r="E52" s="796"/>
      <c r="F52" s="797"/>
      <c r="G52" s="806">
        <f>IF($C52&lt;&gt;0,SUM(('Risk Assessment (1)'!G52*'Risk Assessment (1)'!$C52),('Risk Assessment (2)'!G52*'Risk Assessment (2)'!$C52),('Risk Assessment (3)'!G52*'Risk Assessment (3)'!$C52),('Risk Assessment (4)'!G52*'Risk Assessment (4)'!$C52),('Additional Profiles'!F52*'Additional Profiles'!$C52))/$C52,0)</f>
        <v>0</v>
      </c>
      <c r="H52" s="796"/>
      <c r="I52" s="797"/>
      <c r="J52" s="806">
        <f>IF($C52&lt;&gt;0,SUM(('Risk Assessment (1)'!J52*'Risk Assessment (1)'!$C52),('Risk Assessment (2)'!J52*'Risk Assessment (2)'!$C52),('Risk Assessment (3)'!J52*'Risk Assessment (3)'!$C52),('Risk Assessment (4)'!J52*'Risk Assessment (4)'!$C52),('Additional Profiles'!H52*'Additional Profiles'!$C52))/$C52,0)</f>
        <v>0</v>
      </c>
      <c r="K52" s="796"/>
      <c r="L52" s="797"/>
      <c r="M52" s="806">
        <f>IF($C52&lt;&gt;0,SUM(('Risk Assessment (1)'!M52*'Risk Assessment (1)'!$C52),('Risk Assessment (2)'!M52*'Risk Assessment (2)'!$C52),('Risk Assessment (3)'!M52*'Risk Assessment (3)'!$C52),('Risk Assessment (4)'!M52*'Risk Assessment (4)'!$C52),('Additional Profiles'!J52*'Additional Profiles'!$C52))/$C52,0)</f>
        <v>0</v>
      </c>
      <c r="N52" s="796"/>
      <c r="O52" s="797"/>
      <c r="P52" s="806">
        <f>IF($C52&lt;&gt;0,SUM(('Risk Assessment (1)'!P52*'Risk Assessment (1)'!$C52),('Risk Assessment (2)'!P52*'Risk Assessment (2)'!$C52),('Risk Assessment (3)'!P52*'Risk Assessment (3)'!$C52),('Risk Assessment (4)'!P52*'Risk Assessment (4)'!$C52),('Additional Profiles'!L52*'Additional Profiles'!$C52))/$C52,0)</f>
        <v>0</v>
      </c>
      <c r="Q52" s="796"/>
      <c r="R52" s="797"/>
      <c r="S52" s="806">
        <f>IF($C52&lt;&gt;0,SUM(('Risk Assessment (1)'!S52*'Risk Assessment (1)'!$C52),('Risk Assessment (2)'!S52*'Risk Assessment (2)'!$C52),('Risk Assessment (3)'!S52*'Risk Assessment (3)'!$C52),('Risk Assessment (4)'!S52*'Risk Assessment (4)'!$C52),('Additional Profiles'!M52*'Additional Profiles'!$C52))/$C52,0)</f>
        <v>0</v>
      </c>
      <c r="T52" s="242"/>
      <c r="U52" s="242"/>
      <c r="V52" s="198">
        <f t="shared" si="20"/>
        <v>1</v>
      </c>
      <c r="W52" s="193">
        <f>C52*V52</f>
        <v>0</v>
      </c>
      <c r="X52" s="193">
        <f>IF(C52,BETAINV(0.5,RA_alpha,RA_beta,C52,W52),0)</f>
        <v>0</v>
      </c>
      <c r="Y52" s="199">
        <f>((RA_alpha/(RA_alpha+RA_beta))*(W52-C52))+C52</f>
        <v>0</v>
      </c>
      <c r="Z52" s="90"/>
      <c r="AA52" s="211"/>
      <c r="AB52" s="212"/>
      <c r="AC52" s="212"/>
      <c r="AD52" s="212"/>
      <c r="AE52" s="212"/>
      <c r="AF52" s="215"/>
    </row>
    <row r="53" spans="1:32">
      <c r="A53" s="513" t="s">
        <v>173</v>
      </c>
      <c r="B53" s="517"/>
      <c r="C53" s="52"/>
      <c r="D53" s="2"/>
      <c r="E53" s="796"/>
      <c r="F53" s="797"/>
      <c r="G53" s="798"/>
      <c r="H53" s="796"/>
      <c r="I53" s="797"/>
      <c r="J53" s="798"/>
      <c r="K53" s="796"/>
      <c r="L53" s="797"/>
      <c r="M53" s="798"/>
      <c r="N53" s="796"/>
      <c r="O53" s="797"/>
      <c r="P53" s="798"/>
      <c r="Q53" s="796"/>
      <c r="R53" s="797"/>
      <c r="S53" s="798"/>
      <c r="T53" s="242"/>
      <c r="U53" s="242"/>
      <c r="V53" s="177"/>
      <c r="W53" s="221"/>
      <c r="X53" s="221"/>
      <c r="Y53" s="222"/>
      <c r="Z53" s="90"/>
      <c r="AA53" s="211"/>
      <c r="AB53" s="212"/>
      <c r="AC53" s="212"/>
      <c r="AD53" s="212"/>
      <c r="AE53" s="212"/>
      <c r="AF53" s="215"/>
    </row>
    <row r="54" spans="1:32">
      <c r="A54" s="513">
        <v>70.010000000000005</v>
      </c>
      <c r="B54" s="517" t="s">
        <v>50</v>
      </c>
      <c r="C54" s="76">
        <f>SUM('Risk Assessment (1):Risk Assessment (4)'!C54,'Additional Profiles'!C54)</f>
        <v>0</v>
      </c>
      <c r="D54" s="96"/>
      <c r="E54" s="796"/>
      <c r="F54" s="797"/>
      <c r="G54" s="804">
        <f>IF($C54&lt;&gt;0,SUM(('Risk Assessment (1)'!G54*'Risk Assessment (1)'!$C54),('Risk Assessment (2)'!G54*'Risk Assessment (2)'!$C54),('Risk Assessment (3)'!G54*'Risk Assessment (3)'!$C54),('Risk Assessment (4)'!G54*'Risk Assessment (4)'!$C54),('Additional Profiles'!F54*'Additional Profiles'!$C54))/$C54,0)</f>
        <v>0</v>
      </c>
      <c r="H54" s="796"/>
      <c r="I54" s="797"/>
      <c r="J54" s="804">
        <f>IF($C54&lt;&gt;0,SUM(('Risk Assessment (1)'!J54*'Risk Assessment (1)'!$C54),('Risk Assessment (2)'!J54*'Risk Assessment (2)'!$C54),('Risk Assessment (3)'!J54*'Risk Assessment (3)'!$C54),('Risk Assessment (4)'!J54*'Risk Assessment (4)'!$C54),('Additional Profiles'!H54*'Additional Profiles'!$C54))/$C54,0)</f>
        <v>0</v>
      </c>
      <c r="K54" s="796"/>
      <c r="L54" s="797"/>
      <c r="M54" s="804">
        <f>IF($C54&lt;&gt;0,SUM(('Risk Assessment (1)'!M54*'Risk Assessment (1)'!$C54),('Risk Assessment (2)'!M54*'Risk Assessment (2)'!$C54),('Risk Assessment (3)'!M54*'Risk Assessment (3)'!$C54),('Risk Assessment (4)'!M54*'Risk Assessment (4)'!$C54),('Additional Profiles'!J54*'Additional Profiles'!$C54))/$C54,0)</f>
        <v>0</v>
      </c>
      <c r="N54" s="796"/>
      <c r="O54" s="797"/>
      <c r="P54" s="804">
        <f>IF($C54&lt;&gt;0,SUM(('Risk Assessment (1)'!P54*'Risk Assessment (1)'!$C54),('Risk Assessment (2)'!P54*'Risk Assessment (2)'!$C54),('Risk Assessment (3)'!P54*'Risk Assessment (3)'!$C54),('Risk Assessment (4)'!P54*'Risk Assessment (4)'!$C54),('Additional Profiles'!L54*'Additional Profiles'!$C54))/$C54,0)</f>
        <v>0</v>
      </c>
      <c r="Q54" s="796"/>
      <c r="R54" s="797"/>
      <c r="S54" s="804">
        <f>IF($C54&lt;&gt;0,SUM(('Risk Assessment (1)'!S54*'Risk Assessment (1)'!$C54),('Risk Assessment (2)'!S54*'Risk Assessment (2)'!$C54),('Risk Assessment (3)'!S54*'Risk Assessment (3)'!$C54),('Risk Assessment (4)'!S54*'Risk Assessment (4)'!$C54),('Additional Profiles'!M54*'Additional Profiles'!$C54))/$C54,0)</f>
        <v>0</v>
      </c>
      <c r="T54" s="242"/>
      <c r="U54" s="242"/>
      <c r="V54" s="196">
        <f t="shared" ref="V54:V60" si="21">1+SUM(G54,J54,M54,P54,S54)</f>
        <v>1</v>
      </c>
      <c r="W54" s="191">
        <f t="shared" ref="W54:W60" si="22">C54*V54</f>
        <v>0</v>
      </c>
      <c r="X54" s="191">
        <f t="shared" ref="X54:X60" si="23">IF(C54,BETAINV(0.5,RA_alpha,RA_beta,C54,W54),0)</f>
        <v>0</v>
      </c>
      <c r="Y54" s="76">
        <f t="shared" ref="Y54:Y60" si="24">((RA_alpha/(RA_alpha+RA_beta))*(W54-C54))+C54</f>
        <v>0</v>
      </c>
      <c r="Z54" s="90"/>
      <c r="AA54" s="211"/>
      <c r="AB54" s="212"/>
      <c r="AC54" s="212"/>
      <c r="AD54" s="212"/>
      <c r="AE54" s="212"/>
      <c r="AF54" s="215"/>
    </row>
    <row r="55" spans="1:32">
      <c r="A55" s="513">
        <v>70.02</v>
      </c>
      <c r="B55" s="517" t="s">
        <v>51</v>
      </c>
      <c r="C55" s="78">
        <f>SUM('Risk Assessment (1):Risk Assessment (4)'!C55,'Additional Profiles'!C55)</f>
        <v>0</v>
      </c>
      <c r="D55" s="96"/>
      <c r="E55" s="796"/>
      <c r="F55" s="797"/>
      <c r="G55" s="808">
        <f>IF($C55&lt;&gt;0,SUM(('Risk Assessment (1)'!G55*'Risk Assessment (1)'!$C55),('Risk Assessment (2)'!G55*'Risk Assessment (2)'!$C55),('Risk Assessment (3)'!G55*'Risk Assessment (3)'!$C55),('Risk Assessment (4)'!G55*'Risk Assessment (4)'!$C55),('Additional Profiles'!F55*'Additional Profiles'!$C55))/$C55,0)</f>
        <v>0</v>
      </c>
      <c r="H55" s="796"/>
      <c r="I55" s="797"/>
      <c r="J55" s="808">
        <f>IF($C55&lt;&gt;0,SUM(('Risk Assessment (1)'!J55*'Risk Assessment (1)'!$C55),('Risk Assessment (2)'!J55*'Risk Assessment (2)'!$C55),('Risk Assessment (3)'!J55*'Risk Assessment (3)'!$C55),('Risk Assessment (4)'!J55*'Risk Assessment (4)'!$C55),('Additional Profiles'!H55*'Additional Profiles'!$C55))/$C55,0)</f>
        <v>0</v>
      </c>
      <c r="K55" s="796"/>
      <c r="L55" s="797"/>
      <c r="M55" s="808">
        <f>IF($C55&lt;&gt;0,SUM(('Risk Assessment (1)'!M55*'Risk Assessment (1)'!$C55),('Risk Assessment (2)'!M55*'Risk Assessment (2)'!$C55),('Risk Assessment (3)'!M55*'Risk Assessment (3)'!$C55),('Risk Assessment (4)'!M55*'Risk Assessment (4)'!$C55),('Additional Profiles'!J55*'Additional Profiles'!$C55))/$C55,0)</f>
        <v>0</v>
      </c>
      <c r="N55" s="796"/>
      <c r="O55" s="797"/>
      <c r="P55" s="808">
        <f>IF($C55&lt;&gt;0,SUM(('Risk Assessment (1)'!P55*'Risk Assessment (1)'!$C55),('Risk Assessment (2)'!P55*'Risk Assessment (2)'!$C55),('Risk Assessment (3)'!P55*'Risk Assessment (3)'!$C55),('Risk Assessment (4)'!P55*'Risk Assessment (4)'!$C55),('Additional Profiles'!L55*'Additional Profiles'!$C55))/$C55,0)</f>
        <v>0</v>
      </c>
      <c r="Q55" s="796"/>
      <c r="R55" s="797"/>
      <c r="S55" s="808">
        <f>IF($C55&lt;&gt;0,SUM(('Risk Assessment (1)'!S55*'Risk Assessment (1)'!$C55),('Risk Assessment (2)'!S55*'Risk Assessment (2)'!$C55),('Risk Assessment (3)'!S55*'Risk Assessment (3)'!$C55),('Risk Assessment (4)'!S55*'Risk Assessment (4)'!$C55),('Additional Profiles'!M55*'Additional Profiles'!$C55))/$C55,0)</f>
        <v>0</v>
      </c>
      <c r="T55" s="242"/>
      <c r="U55" s="242"/>
      <c r="V55" s="197">
        <f t="shared" si="21"/>
        <v>1</v>
      </c>
      <c r="W55" s="192">
        <f t="shared" si="22"/>
        <v>0</v>
      </c>
      <c r="X55" s="192">
        <f t="shared" si="23"/>
        <v>0</v>
      </c>
      <c r="Y55" s="78">
        <f t="shared" si="24"/>
        <v>0</v>
      </c>
      <c r="Z55" s="90"/>
      <c r="AA55" s="211"/>
      <c r="AB55" s="212"/>
      <c r="AC55" s="212"/>
      <c r="AD55" s="212"/>
      <c r="AE55" s="212"/>
      <c r="AF55" s="215"/>
    </row>
    <row r="56" spans="1:32">
      <c r="A56" s="513">
        <v>70.03</v>
      </c>
      <c r="B56" s="517" t="s">
        <v>52</v>
      </c>
      <c r="C56" s="78">
        <f>SUM('Risk Assessment (1):Risk Assessment (4)'!C56,'Additional Profiles'!C56)</f>
        <v>0</v>
      </c>
      <c r="D56" s="96"/>
      <c r="E56" s="796"/>
      <c r="F56" s="797"/>
      <c r="G56" s="808">
        <f>IF($C56&lt;&gt;0,SUM(('Risk Assessment (1)'!G56*'Risk Assessment (1)'!$C56),('Risk Assessment (2)'!G56*'Risk Assessment (2)'!$C56),('Risk Assessment (3)'!G56*'Risk Assessment (3)'!$C56),('Risk Assessment (4)'!G56*'Risk Assessment (4)'!$C56),('Additional Profiles'!F56*'Additional Profiles'!$C56))/$C56,0)</f>
        <v>0</v>
      </c>
      <c r="H56" s="796"/>
      <c r="I56" s="797"/>
      <c r="J56" s="808">
        <f>IF($C56&lt;&gt;0,SUM(('Risk Assessment (1)'!J56*'Risk Assessment (1)'!$C56),('Risk Assessment (2)'!J56*'Risk Assessment (2)'!$C56),('Risk Assessment (3)'!J56*'Risk Assessment (3)'!$C56),('Risk Assessment (4)'!J56*'Risk Assessment (4)'!$C56),('Additional Profiles'!H56*'Additional Profiles'!$C56))/$C56,0)</f>
        <v>0</v>
      </c>
      <c r="K56" s="796"/>
      <c r="L56" s="797"/>
      <c r="M56" s="808">
        <f>IF($C56&lt;&gt;0,SUM(('Risk Assessment (1)'!M56*'Risk Assessment (1)'!$C56),('Risk Assessment (2)'!M56*'Risk Assessment (2)'!$C56),('Risk Assessment (3)'!M56*'Risk Assessment (3)'!$C56),('Risk Assessment (4)'!M56*'Risk Assessment (4)'!$C56),('Additional Profiles'!J56*'Additional Profiles'!$C56))/$C56,0)</f>
        <v>0</v>
      </c>
      <c r="N56" s="796"/>
      <c r="O56" s="797"/>
      <c r="P56" s="808">
        <f>IF($C56&lt;&gt;0,SUM(('Risk Assessment (1)'!P56*'Risk Assessment (1)'!$C56),('Risk Assessment (2)'!P56*'Risk Assessment (2)'!$C56),('Risk Assessment (3)'!P56*'Risk Assessment (3)'!$C56),('Risk Assessment (4)'!P56*'Risk Assessment (4)'!$C56),('Additional Profiles'!L56*'Additional Profiles'!$C56))/$C56,0)</f>
        <v>0</v>
      </c>
      <c r="Q56" s="796"/>
      <c r="R56" s="797"/>
      <c r="S56" s="808">
        <f>IF($C56&lt;&gt;0,SUM(('Risk Assessment (1)'!S56*'Risk Assessment (1)'!$C56),('Risk Assessment (2)'!S56*'Risk Assessment (2)'!$C56),('Risk Assessment (3)'!S56*'Risk Assessment (3)'!$C56),('Risk Assessment (4)'!S56*'Risk Assessment (4)'!$C56),('Additional Profiles'!M56*'Additional Profiles'!$C56))/$C56,0)</f>
        <v>0</v>
      </c>
      <c r="T56" s="242"/>
      <c r="U56" s="242"/>
      <c r="V56" s="197">
        <f t="shared" si="21"/>
        <v>1</v>
      </c>
      <c r="W56" s="192">
        <f t="shared" si="22"/>
        <v>0</v>
      </c>
      <c r="X56" s="192">
        <f t="shared" si="23"/>
        <v>0</v>
      </c>
      <c r="Y56" s="78">
        <f t="shared" si="24"/>
        <v>0</v>
      </c>
      <c r="Z56" s="90"/>
      <c r="AA56" s="211"/>
      <c r="AB56" s="212"/>
      <c r="AC56" s="212"/>
      <c r="AD56" s="212"/>
      <c r="AE56" s="212"/>
      <c r="AF56" s="215"/>
    </row>
    <row r="57" spans="1:32">
      <c r="A57" s="513">
        <v>70.040000000000006</v>
      </c>
      <c r="B57" s="517" t="s">
        <v>53</v>
      </c>
      <c r="C57" s="78">
        <f>SUM('Risk Assessment (1):Risk Assessment (4)'!C57,'Additional Profiles'!C57)</f>
        <v>0</v>
      </c>
      <c r="D57" s="96"/>
      <c r="E57" s="796"/>
      <c r="F57" s="797"/>
      <c r="G57" s="808">
        <f>IF($C57&lt;&gt;0,SUM(('Risk Assessment (1)'!G57*'Risk Assessment (1)'!$C57),('Risk Assessment (2)'!G57*'Risk Assessment (2)'!$C57),('Risk Assessment (3)'!G57*'Risk Assessment (3)'!$C57),('Risk Assessment (4)'!G57*'Risk Assessment (4)'!$C57),('Additional Profiles'!F57*'Additional Profiles'!$C57))/$C57,0)</f>
        <v>0</v>
      </c>
      <c r="H57" s="796"/>
      <c r="I57" s="797"/>
      <c r="J57" s="808">
        <f>IF($C57&lt;&gt;0,SUM(('Risk Assessment (1)'!J57*'Risk Assessment (1)'!$C57),('Risk Assessment (2)'!J57*'Risk Assessment (2)'!$C57),('Risk Assessment (3)'!J57*'Risk Assessment (3)'!$C57),('Risk Assessment (4)'!J57*'Risk Assessment (4)'!$C57),('Additional Profiles'!H57*'Additional Profiles'!$C57))/$C57,0)</f>
        <v>0</v>
      </c>
      <c r="K57" s="796"/>
      <c r="L57" s="797"/>
      <c r="M57" s="808">
        <f>IF($C57&lt;&gt;0,SUM(('Risk Assessment (1)'!M57*'Risk Assessment (1)'!$C57),('Risk Assessment (2)'!M57*'Risk Assessment (2)'!$C57),('Risk Assessment (3)'!M57*'Risk Assessment (3)'!$C57),('Risk Assessment (4)'!M57*'Risk Assessment (4)'!$C57),('Additional Profiles'!J57*'Additional Profiles'!$C57))/$C57,0)</f>
        <v>0</v>
      </c>
      <c r="N57" s="796"/>
      <c r="O57" s="797"/>
      <c r="P57" s="808">
        <f>IF($C57&lt;&gt;0,SUM(('Risk Assessment (1)'!P57*'Risk Assessment (1)'!$C57),('Risk Assessment (2)'!P57*'Risk Assessment (2)'!$C57),('Risk Assessment (3)'!P57*'Risk Assessment (3)'!$C57),('Risk Assessment (4)'!P57*'Risk Assessment (4)'!$C57),('Additional Profiles'!L57*'Additional Profiles'!$C57))/$C57,0)</f>
        <v>0</v>
      </c>
      <c r="Q57" s="796"/>
      <c r="R57" s="797"/>
      <c r="S57" s="808">
        <f>IF($C57&lt;&gt;0,SUM(('Risk Assessment (1)'!S57*'Risk Assessment (1)'!$C57),('Risk Assessment (2)'!S57*'Risk Assessment (2)'!$C57),('Risk Assessment (3)'!S57*'Risk Assessment (3)'!$C57),('Risk Assessment (4)'!S57*'Risk Assessment (4)'!$C57),('Additional Profiles'!M57*'Additional Profiles'!$C57))/$C57,0)</f>
        <v>0</v>
      </c>
      <c r="T57" s="242"/>
      <c r="U57" s="242"/>
      <c r="V57" s="197">
        <f t="shared" si="21"/>
        <v>1</v>
      </c>
      <c r="W57" s="192">
        <f t="shared" si="22"/>
        <v>0</v>
      </c>
      <c r="X57" s="192">
        <f t="shared" si="23"/>
        <v>0</v>
      </c>
      <c r="Y57" s="78">
        <f t="shared" si="24"/>
        <v>0</v>
      </c>
      <c r="Z57" s="90"/>
      <c r="AA57" s="211"/>
      <c r="AB57" s="212"/>
      <c r="AC57" s="212"/>
      <c r="AD57" s="212"/>
      <c r="AE57" s="212"/>
      <c r="AF57" s="215"/>
    </row>
    <row r="58" spans="1:32">
      <c r="A58" s="513">
        <v>70.05</v>
      </c>
      <c r="B58" s="517" t="s">
        <v>54</v>
      </c>
      <c r="C58" s="78">
        <f>SUM('Risk Assessment (1):Risk Assessment (4)'!C58,'Additional Profiles'!C58)</f>
        <v>0</v>
      </c>
      <c r="D58" s="96"/>
      <c r="E58" s="796"/>
      <c r="F58" s="797"/>
      <c r="G58" s="808">
        <f>IF($C58&lt;&gt;0,SUM(('Risk Assessment (1)'!G58*'Risk Assessment (1)'!$C58),('Risk Assessment (2)'!G58*'Risk Assessment (2)'!$C58),('Risk Assessment (3)'!G58*'Risk Assessment (3)'!$C58),('Risk Assessment (4)'!G58*'Risk Assessment (4)'!$C58),('Additional Profiles'!F58*'Additional Profiles'!$C58))/$C58,0)</f>
        <v>0</v>
      </c>
      <c r="H58" s="796"/>
      <c r="I58" s="797"/>
      <c r="J58" s="808">
        <f>IF($C58&lt;&gt;0,SUM(('Risk Assessment (1)'!J58*'Risk Assessment (1)'!$C58),('Risk Assessment (2)'!J58*'Risk Assessment (2)'!$C58),('Risk Assessment (3)'!J58*'Risk Assessment (3)'!$C58),('Risk Assessment (4)'!J58*'Risk Assessment (4)'!$C58),('Additional Profiles'!H58*'Additional Profiles'!$C58))/$C58,0)</f>
        <v>0</v>
      </c>
      <c r="K58" s="796"/>
      <c r="L58" s="797"/>
      <c r="M58" s="808">
        <f>IF($C58&lt;&gt;0,SUM(('Risk Assessment (1)'!M58*'Risk Assessment (1)'!$C58),('Risk Assessment (2)'!M58*'Risk Assessment (2)'!$C58),('Risk Assessment (3)'!M58*'Risk Assessment (3)'!$C58),('Risk Assessment (4)'!M58*'Risk Assessment (4)'!$C58),('Additional Profiles'!J58*'Additional Profiles'!$C58))/$C58,0)</f>
        <v>0</v>
      </c>
      <c r="N58" s="796"/>
      <c r="O58" s="797"/>
      <c r="P58" s="808">
        <f>IF($C58&lt;&gt;0,SUM(('Risk Assessment (1)'!P58*'Risk Assessment (1)'!$C58),('Risk Assessment (2)'!P58*'Risk Assessment (2)'!$C58),('Risk Assessment (3)'!P58*'Risk Assessment (3)'!$C58),('Risk Assessment (4)'!P58*'Risk Assessment (4)'!$C58),('Additional Profiles'!L58*'Additional Profiles'!$C58))/$C58,0)</f>
        <v>0</v>
      </c>
      <c r="Q58" s="796"/>
      <c r="R58" s="797"/>
      <c r="S58" s="808">
        <f>IF($C58&lt;&gt;0,SUM(('Risk Assessment (1)'!S58*'Risk Assessment (1)'!$C58),('Risk Assessment (2)'!S58*'Risk Assessment (2)'!$C58),('Risk Assessment (3)'!S58*'Risk Assessment (3)'!$C58),('Risk Assessment (4)'!S58*'Risk Assessment (4)'!$C58),('Additional Profiles'!M58*'Additional Profiles'!$C58))/$C58,0)</f>
        <v>0</v>
      </c>
      <c r="T58" s="242"/>
      <c r="U58" s="242"/>
      <c r="V58" s="197">
        <f t="shared" si="21"/>
        <v>1</v>
      </c>
      <c r="W58" s="192">
        <f t="shared" si="22"/>
        <v>0</v>
      </c>
      <c r="X58" s="192">
        <f t="shared" si="23"/>
        <v>0</v>
      </c>
      <c r="Y58" s="78">
        <f t="shared" si="24"/>
        <v>0</v>
      </c>
      <c r="Z58" s="90"/>
      <c r="AA58" s="211"/>
      <c r="AB58" s="212"/>
      <c r="AC58" s="212"/>
      <c r="AD58" s="212"/>
      <c r="AE58" s="212"/>
      <c r="AF58" s="215"/>
    </row>
    <row r="59" spans="1:32">
      <c r="A59" s="513">
        <v>70.06</v>
      </c>
      <c r="B59" s="517" t="s">
        <v>55</v>
      </c>
      <c r="C59" s="78">
        <f>SUM('Risk Assessment (1):Risk Assessment (4)'!C59,'Additional Profiles'!C59)</f>
        <v>0</v>
      </c>
      <c r="D59" s="96"/>
      <c r="E59" s="796"/>
      <c r="F59" s="797"/>
      <c r="G59" s="808">
        <f>IF($C59&lt;&gt;0,SUM(('Risk Assessment (1)'!G59*'Risk Assessment (1)'!$C59),('Risk Assessment (2)'!G59*'Risk Assessment (2)'!$C59),('Risk Assessment (3)'!G59*'Risk Assessment (3)'!$C59),('Risk Assessment (4)'!G59*'Risk Assessment (4)'!$C59),('Additional Profiles'!F59*'Additional Profiles'!$C59))/$C59,0)</f>
        <v>0</v>
      </c>
      <c r="H59" s="796"/>
      <c r="I59" s="797"/>
      <c r="J59" s="808">
        <f>IF($C59&lt;&gt;0,SUM(('Risk Assessment (1)'!J59*'Risk Assessment (1)'!$C59),('Risk Assessment (2)'!J59*'Risk Assessment (2)'!$C59),('Risk Assessment (3)'!J59*'Risk Assessment (3)'!$C59),('Risk Assessment (4)'!J59*'Risk Assessment (4)'!$C59),('Additional Profiles'!H59*'Additional Profiles'!$C59))/$C59,0)</f>
        <v>0</v>
      </c>
      <c r="K59" s="796"/>
      <c r="L59" s="797"/>
      <c r="M59" s="808">
        <f>IF($C59&lt;&gt;0,SUM(('Risk Assessment (1)'!M59*'Risk Assessment (1)'!$C59),('Risk Assessment (2)'!M59*'Risk Assessment (2)'!$C59),('Risk Assessment (3)'!M59*'Risk Assessment (3)'!$C59),('Risk Assessment (4)'!M59*'Risk Assessment (4)'!$C59),('Additional Profiles'!J59*'Additional Profiles'!$C59))/$C59,0)</f>
        <v>0</v>
      </c>
      <c r="N59" s="796"/>
      <c r="O59" s="797"/>
      <c r="P59" s="808">
        <f>IF($C59&lt;&gt;0,SUM(('Risk Assessment (1)'!P59*'Risk Assessment (1)'!$C59),('Risk Assessment (2)'!P59*'Risk Assessment (2)'!$C59),('Risk Assessment (3)'!P59*'Risk Assessment (3)'!$C59),('Risk Assessment (4)'!P59*'Risk Assessment (4)'!$C59),('Additional Profiles'!L59*'Additional Profiles'!$C59))/$C59,0)</f>
        <v>0</v>
      </c>
      <c r="Q59" s="796"/>
      <c r="R59" s="797"/>
      <c r="S59" s="808">
        <f>IF($C59&lt;&gt;0,SUM(('Risk Assessment (1)'!S59*'Risk Assessment (1)'!$C59),('Risk Assessment (2)'!S59*'Risk Assessment (2)'!$C59),('Risk Assessment (3)'!S59*'Risk Assessment (3)'!$C59),('Risk Assessment (4)'!S59*'Risk Assessment (4)'!$C59),('Additional Profiles'!M59*'Additional Profiles'!$C59))/$C59,0)</f>
        <v>0</v>
      </c>
      <c r="T59" s="242"/>
      <c r="U59" s="242"/>
      <c r="V59" s="197">
        <f t="shared" si="21"/>
        <v>1</v>
      </c>
      <c r="W59" s="192">
        <f t="shared" si="22"/>
        <v>0</v>
      </c>
      <c r="X59" s="192">
        <f t="shared" si="23"/>
        <v>0</v>
      </c>
      <c r="Y59" s="78">
        <f t="shared" si="24"/>
        <v>0</v>
      </c>
      <c r="Z59" s="90"/>
      <c r="AA59" s="211"/>
      <c r="AB59" s="212"/>
      <c r="AC59" s="212"/>
      <c r="AD59" s="212"/>
      <c r="AE59" s="212"/>
      <c r="AF59" s="215"/>
    </row>
    <row r="60" spans="1:32">
      <c r="A60" s="513">
        <v>70.069999999999993</v>
      </c>
      <c r="B60" s="517" t="s">
        <v>56</v>
      </c>
      <c r="C60" s="199">
        <f>SUM('Risk Assessment (1):Risk Assessment (4)'!C60,'Additional Profiles'!C60)</f>
        <v>0</v>
      </c>
      <c r="D60" s="96"/>
      <c r="E60" s="796"/>
      <c r="F60" s="797"/>
      <c r="G60" s="806">
        <f>IF($C60&lt;&gt;0,SUM(('Risk Assessment (1)'!G60*'Risk Assessment (1)'!$C60),('Risk Assessment (2)'!G60*'Risk Assessment (2)'!$C60),('Risk Assessment (3)'!G60*'Risk Assessment (3)'!$C60),('Risk Assessment (4)'!G60*'Risk Assessment (4)'!$C60),('Additional Profiles'!F60*'Additional Profiles'!$C60))/$C60,0)</f>
        <v>0</v>
      </c>
      <c r="H60" s="796"/>
      <c r="I60" s="797"/>
      <c r="J60" s="806">
        <f>IF($C60&lt;&gt;0,SUM(('Risk Assessment (1)'!J60*'Risk Assessment (1)'!$C60),('Risk Assessment (2)'!J60*'Risk Assessment (2)'!$C60),('Risk Assessment (3)'!J60*'Risk Assessment (3)'!$C60),('Risk Assessment (4)'!J60*'Risk Assessment (4)'!$C60),('Additional Profiles'!H60*'Additional Profiles'!$C60))/$C60,0)</f>
        <v>0</v>
      </c>
      <c r="K60" s="796"/>
      <c r="L60" s="797"/>
      <c r="M60" s="806">
        <f>IF($C60&lt;&gt;0,SUM(('Risk Assessment (1)'!M60*'Risk Assessment (1)'!$C60),('Risk Assessment (2)'!M60*'Risk Assessment (2)'!$C60),('Risk Assessment (3)'!M60*'Risk Assessment (3)'!$C60),('Risk Assessment (4)'!M60*'Risk Assessment (4)'!$C60),('Additional Profiles'!J60*'Additional Profiles'!$C60))/$C60,0)</f>
        <v>0</v>
      </c>
      <c r="N60" s="796"/>
      <c r="O60" s="797"/>
      <c r="P60" s="806">
        <f>IF($C60&lt;&gt;0,SUM(('Risk Assessment (1)'!P60*'Risk Assessment (1)'!$C60),('Risk Assessment (2)'!P60*'Risk Assessment (2)'!$C60),('Risk Assessment (3)'!P60*'Risk Assessment (3)'!$C60),('Risk Assessment (4)'!P60*'Risk Assessment (4)'!$C60),('Additional Profiles'!L60*'Additional Profiles'!$C60))/$C60,0)</f>
        <v>0</v>
      </c>
      <c r="Q60" s="796"/>
      <c r="R60" s="797"/>
      <c r="S60" s="806">
        <f>IF($C60&lt;&gt;0,SUM(('Risk Assessment (1)'!S60*'Risk Assessment (1)'!$C60),('Risk Assessment (2)'!S60*'Risk Assessment (2)'!$C60),('Risk Assessment (3)'!S60*'Risk Assessment (3)'!$C60),('Risk Assessment (4)'!S60*'Risk Assessment (4)'!$C60),('Additional Profiles'!M60*'Additional Profiles'!$C60))/$C60,0)</f>
        <v>0</v>
      </c>
      <c r="T60" s="242"/>
      <c r="U60" s="242"/>
      <c r="V60" s="198">
        <f t="shared" si="21"/>
        <v>1</v>
      </c>
      <c r="W60" s="193">
        <f t="shared" si="22"/>
        <v>0</v>
      </c>
      <c r="X60" s="193">
        <f t="shared" si="23"/>
        <v>0</v>
      </c>
      <c r="Y60" s="199">
        <f t="shared" si="24"/>
        <v>0</v>
      </c>
      <c r="Z60" s="90"/>
      <c r="AA60" s="211"/>
      <c r="AB60" s="212"/>
      <c r="AC60" s="212"/>
      <c r="AD60" s="212"/>
      <c r="AE60" s="212"/>
      <c r="AF60" s="215"/>
    </row>
    <row r="61" spans="1:32" ht="13.5" thickBot="1">
      <c r="A61" s="513" t="s">
        <v>174</v>
      </c>
      <c r="B61" s="517"/>
      <c r="C61" s="52"/>
      <c r="D61" s="2"/>
      <c r="E61" s="796"/>
      <c r="F61" s="797"/>
      <c r="G61" s="798"/>
      <c r="H61" s="796"/>
      <c r="I61" s="797"/>
      <c r="J61" s="798"/>
      <c r="K61" s="796"/>
      <c r="L61" s="797"/>
      <c r="M61" s="798"/>
      <c r="N61" s="796"/>
      <c r="O61" s="797"/>
      <c r="P61" s="798"/>
      <c r="Q61" s="796"/>
      <c r="R61" s="797"/>
      <c r="S61" s="798"/>
      <c r="T61" s="242"/>
      <c r="U61" s="242"/>
      <c r="V61" s="177"/>
      <c r="W61" s="221"/>
      <c r="X61" s="221"/>
      <c r="Y61" s="222"/>
      <c r="Z61" s="90"/>
      <c r="AA61" s="213"/>
      <c r="AB61" s="214"/>
      <c r="AC61" s="214"/>
      <c r="AD61" s="214"/>
      <c r="AE61" s="214"/>
      <c r="AF61" s="216"/>
    </row>
    <row r="62" spans="1:32">
      <c r="A62" s="513">
        <v>80.010000000000005</v>
      </c>
      <c r="B62" s="517" t="s">
        <v>143</v>
      </c>
      <c r="C62" s="76">
        <f>SUM('Risk Assessment (1):Risk Assessment (4)'!C62,'Additional Profiles'!C62)</f>
        <v>0</v>
      </c>
      <c r="D62" s="96"/>
      <c r="E62" s="796"/>
      <c r="F62" s="797"/>
      <c r="G62" s="804">
        <f>IF($C62&lt;&gt;0,SUM(('Risk Assessment (1)'!G62*'Risk Assessment (1)'!$C62),('Risk Assessment (2)'!G62*'Risk Assessment (2)'!$C62),('Risk Assessment (3)'!G62*'Risk Assessment (3)'!$C62),('Risk Assessment (4)'!G62*'Risk Assessment (4)'!$C62),('Additional Profiles'!F62*'Additional Profiles'!$C62))/$C62,0)</f>
        <v>0</v>
      </c>
      <c r="H62" s="796"/>
      <c r="I62" s="797"/>
      <c r="J62" s="804">
        <f>IF($C62&lt;&gt;0,SUM(('Risk Assessment (1)'!J62*'Risk Assessment (1)'!$C62),('Risk Assessment (2)'!J62*'Risk Assessment (2)'!$C62),('Risk Assessment (3)'!J62*'Risk Assessment (3)'!$C62),('Risk Assessment (4)'!J62*'Risk Assessment (4)'!$C62),('Additional Profiles'!H62*'Additional Profiles'!$C62))/$C62,0)</f>
        <v>0</v>
      </c>
      <c r="K62" s="796"/>
      <c r="L62" s="797"/>
      <c r="M62" s="804">
        <f>IF($C62&lt;&gt;0,SUM(('Risk Assessment (1)'!M62*'Risk Assessment (1)'!$C62),('Risk Assessment (2)'!M62*'Risk Assessment (2)'!$C62),('Risk Assessment (3)'!M62*'Risk Assessment (3)'!$C62),('Risk Assessment (4)'!M62*'Risk Assessment (4)'!$C62),('Additional Profiles'!J62*'Additional Profiles'!$C62))/$C62,0)</f>
        <v>0</v>
      </c>
      <c r="N62" s="796"/>
      <c r="O62" s="797"/>
      <c r="P62" s="804">
        <f>IF($C62&lt;&gt;0,SUM(('Risk Assessment (1)'!P62*'Risk Assessment (1)'!$C62),('Risk Assessment (2)'!P62*'Risk Assessment (2)'!$C62),('Risk Assessment (3)'!P62*'Risk Assessment (3)'!$C62),('Risk Assessment (4)'!P62*'Risk Assessment (4)'!$C62),('Additional Profiles'!L62*'Additional Profiles'!$C62))/$C62,0)</f>
        <v>0</v>
      </c>
      <c r="Q62" s="796"/>
      <c r="R62" s="797"/>
      <c r="S62" s="804">
        <f>IF($C62&lt;&gt;0,SUM(('Risk Assessment (1)'!S62*'Risk Assessment (1)'!$C62),('Risk Assessment (2)'!S62*'Risk Assessment (2)'!$C62),('Risk Assessment (3)'!S62*'Risk Assessment (3)'!$C62),('Risk Assessment (4)'!S62*'Risk Assessment (4)'!$C62),('Additional Profiles'!M62*'Additional Profiles'!$C62))/$C62,0)</f>
        <v>0</v>
      </c>
      <c r="T62" s="242"/>
      <c r="U62" s="242"/>
      <c r="V62" s="196">
        <f t="shared" ref="V62:V69" si="25">1+SUM(G62,J62,M62,P62,S62)</f>
        <v>1</v>
      </c>
      <c r="W62" s="191">
        <f t="shared" ref="W62:W69" si="26">C62*V62</f>
        <v>0</v>
      </c>
      <c r="X62" s="191">
        <f t="shared" ref="X62:X69" si="27">IF(C62,BETAINV(0.5,RA_alpha,RA_beta,C62,W62),0)</f>
        <v>0</v>
      </c>
      <c r="Y62" s="76">
        <f t="shared" ref="Y62:Y69" si="28">((RA_alpha/(RA_alpha+RA_beta))*(W62-C62))+C62</f>
        <v>0</v>
      </c>
      <c r="Z62" s="90"/>
    </row>
    <row r="63" spans="1:32">
      <c r="A63" s="513">
        <v>80.02</v>
      </c>
      <c r="B63" s="517" t="s">
        <v>175</v>
      </c>
      <c r="C63" s="78">
        <f>SUM('Risk Assessment (1):Risk Assessment (4)'!C63,'Additional Profiles'!C63)</f>
        <v>0</v>
      </c>
      <c r="D63" s="96"/>
      <c r="E63" s="796"/>
      <c r="F63" s="797"/>
      <c r="G63" s="808">
        <f>IF($C63&lt;&gt;0,SUM(('Risk Assessment (1)'!G63*'Risk Assessment (1)'!$C63),('Risk Assessment (2)'!G63*'Risk Assessment (2)'!$C63),('Risk Assessment (3)'!G63*'Risk Assessment (3)'!$C63),('Risk Assessment (4)'!G63*'Risk Assessment (4)'!$C63),('Additional Profiles'!F63*'Additional Profiles'!$C63))/$C63,0)</f>
        <v>0</v>
      </c>
      <c r="H63" s="796"/>
      <c r="I63" s="797"/>
      <c r="J63" s="808">
        <f>IF($C63&lt;&gt;0,SUM(('Risk Assessment (1)'!J63*'Risk Assessment (1)'!$C63),('Risk Assessment (2)'!J63*'Risk Assessment (2)'!$C63),('Risk Assessment (3)'!J63*'Risk Assessment (3)'!$C63),('Risk Assessment (4)'!J63*'Risk Assessment (4)'!$C63),('Additional Profiles'!H63*'Additional Profiles'!$C63))/$C63,0)</f>
        <v>0</v>
      </c>
      <c r="K63" s="796"/>
      <c r="L63" s="797"/>
      <c r="M63" s="808">
        <f>IF($C63&lt;&gt;0,SUM(('Risk Assessment (1)'!M63*'Risk Assessment (1)'!$C63),('Risk Assessment (2)'!M63*'Risk Assessment (2)'!$C63),('Risk Assessment (3)'!M63*'Risk Assessment (3)'!$C63),('Risk Assessment (4)'!M63*'Risk Assessment (4)'!$C63),('Additional Profiles'!J63*'Additional Profiles'!$C63))/$C63,0)</f>
        <v>0</v>
      </c>
      <c r="N63" s="796"/>
      <c r="O63" s="797"/>
      <c r="P63" s="808">
        <f>IF($C63&lt;&gt;0,SUM(('Risk Assessment (1)'!P63*'Risk Assessment (1)'!$C63),('Risk Assessment (2)'!P63*'Risk Assessment (2)'!$C63),('Risk Assessment (3)'!P63*'Risk Assessment (3)'!$C63),('Risk Assessment (4)'!P63*'Risk Assessment (4)'!$C63),('Additional Profiles'!L63*'Additional Profiles'!$C63))/$C63,0)</f>
        <v>0</v>
      </c>
      <c r="Q63" s="796"/>
      <c r="R63" s="797"/>
      <c r="S63" s="808">
        <f>IF($C63&lt;&gt;0,SUM(('Risk Assessment (1)'!S63*'Risk Assessment (1)'!$C63),('Risk Assessment (2)'!S63*'Risk Assessment (2)'!$C63),('Risk Assessment (3)'!S63*'Risk Assessment (3)'!$C63),('Risk Assessment (4)'!S63*'Risk Assessment (4)'!$C63),('Additional Profiles'!M63*'Additional Profiles'!$C63))/$C63,0)</f>
        <v>0</v>
      </c>
      <c r="T63" s="242"/>
      <c r="U63" s="242"/>
      <c r="V63" s="197">
        <f t="shared" si="25"/>
        <v>1</v>
      </c>
      <c r="W63" s="192">
        <f t="shared" si="26"/>
        <v>0</v>
      </c>
      <c r="X63" s="192">
        <f t="shared" si="27"/>
        <v>0</v>
      </c>
      <c r="Y63" s="78">
        <f t="shared" si="28"/>
        <v>0</v>
      </c>
      <c r="Z63" s="90"/>
    </row>
    <row r="64" spans="1:32">
      <c r="A64" s="513">
        <v>80.03</v>
      </c>
      <c r="B64" s="517" t="s">
        <v>57</v>
      </c>
      <c r="C64" s="78">
        <f>SUM('Risk Assessment (1):Risk Assessment (4)'!C64,'Additional Profiles'!C64)</f>
        <v>0</v>
      </c>
      <c r="D64" s="96"/>
      <c r="E64" s="796"/>
      <c r="F64" s="797"/>
      <c r="G64" s="808">
        <f>IF($C64&lt;&gt;0,SUM(('Risk Assessment (1)'!G64*'Risk Assessment (1)'!$C64),('Risk Assessment (2)'!G64*'Risk Assessment (2)'!$C64),('Risk Assessment (3)'!G64*'Risk Assessment (3)'!$C64),('Risk Assessment (4)'!G64*'Risk Assessment (4)'!$C64),('Additional Profiles'!F64*'Additional Profiles'!$C64))/$C64,0)</f>
        <v>0</v>
      </c>
      <c r="H64" s="796"/>
      <c r="I64" s="797"/>
      <c r="J64" s="808">
        <f>IF($C64&lt;&gt;0,SUM(('Risk Assessment (1)'!J64*'Risk Assessment (1)'!$C64),('Risk Assessment (2)'!J64*'Risk Assessment (2)'!$C64),('Risk Assessment (3)'!J64*'Risk Assessment (3)'!$C64),('Risk Assessment (4)'!J64*'Risk Assessment (4)'!$C64),('Additional Profiles'!H64*'Additional Profiles'!$C64))/$C64,0)</f>
        <v>0</v>
      </c>
      <c r="K64" s="796"/>
      <c r="L64" s="797"/>
      <c r="M64" s="808">
        <f>IF($C64&lt;&gt;0,SUM(('Risk Assessment (1)'!M64*'Risk Assessment (1)'!$C64),('Risk Assessment (2)'!M64*'Risk Assessment (2)'!$C64),('Risk Assessment (3)'!M64*'Risk Assessment (3)'!$C64),('Risk Assessment (4)'!M64*'Risk Assessment (4)'!$C64),('Additional Profiles'!J64*'Additional Profiles'!$C64))/$C64,0)</f>
        <v>0</v>
      </c>
      <c r="N64" s="796"/>
      <c r="O64" s="797"/>
      <c r="P64" s="808">
        <f>IF($C64&lt;&gt;0,SUM(('Risk Assessment (1)'!P64*'Risk Assessment (1)'!$C64),('Risk Assessment (2)'!P64*'Risk Assessment (2)'!$C64),('Risk Assessment (3)'!P64*'Risk Assessment (3)'!$C64),('Risk Assessment (4)'!P64*'Risk Assessment (4)'!$C64),('Additional Profiles'!L64*'Additional Profiles'!$C64))/$C64,0)</f>
        <v>0</v>
      </c>
      <c r="Q64" s="796"/>
      <c r="R64" s="797"/>
      <c r="S64" s="808">
        <f>IF($C64&lt;&gt;0,SUM(('Risk Assessment (1)'!S64*'Risk Assessment (1)'!$C64),('Risk Assessment (2)'!S64*'Risk Assessment (2)'!$C64),('Risk Assessment (3)'!S64*'Risk Assessment (3)'!$C64),('Risk Assessment (4)'!S64*'Risk Assessment (4)'!$C64),('Additional Profiles'!M64*'Additional Profiles'!$C64))/$C64,0)</f>
        <v>0</v>
      </c>
      <c r="T64" s="242"/>
      <c r="U64" s="242"/>
      <c r="V64" s="197">
        <f t="shared" si="25"/>
        <v>1</v>
      </c>
      <c r="W64" s="192">
        <f t="shared" si="26"/>
        <v>0</v>
      </c>
      <c r="X64" s="192">
        <f t="shared" si="27"/>
        <v>0</v>
      </c>
      <c r="Y64" s="78">
        <f t="shared" si="28"/>
        <v>0</v>
      </c>
      <c r="Z64" s="90"/>
    </row>
    <row r="65" spans="1:26">
      <c r="A65" s="513">
        <v>80.040000000000006</v>
      </c>
      <c r="B65" s="517" t="s">
        <v>58</v>
      </c>
      <c r="C65" s="78">
        <f>SUM('Risk Assessment (1):Risk Assessment (4)'!C65,'Additional Profiles'!C65)</f>
        <v>0</v>
      </c>
      <c r="D65" s="96"/>
      <c r="E65" s="796"/>
      <c r="F65" s="797"/>
      <c r="G65" s="808">
        <f>IF($C65&lt;&gt;0,SUM(('Risk Assessment (1)'!G65*'Risk Assessment (1)'!$C65),('Risk Assessment (2)'!G65*'Risk Assessment (2)'!$C65),('Risk Assessment (3)'!G65*'Risk Assessment (3)'!$C65),('Risk Assessment (4)'!G65*'Risk Assessment (4)'!$C65),('Additional Profiles'!F65*'Additional Profiles'!$C65))/$C65,0)</f>
        <v>0</v>
      </c>
      <c r="H65" s="796"/>
      <c r="I65" s="797"/>
      <c r="J65" s="808">
        <f>IF($C65&lt;&gt;0,SUM(('Risk Assessment (1)'!J65*'Risk Assessment (1)'!$C65),('Risk Assessment (2)'!J65*'Risk Assessment (2)'!$C65),('Risk Assessment (3)'!J65*'Risk Assessment (3)'!$C65),('Risk Assessment (4)'!J65*'Risk Assessment (4)'!$C65),('Additional Profiles'!H65*'Additional Profiles'!$C65))/$C65,0)</f>
        <v>0</v>
      </c>
      <c r="K65" s="796"/>
      <c r="L65" s="797"/>
      <c r="M65" s="808">
        <f>IF($C65&lt;&gt;0,SUM(('Risk Assessment (1)'!M65*'Risk Assessment (1)'!$C65),('Risk Assessment (2)'!M65*'Risk Assessment (2)'!$C65),('Risk Assessment (3)'!M65*'Risk Assessment (3)'!$C65),('Risk Assessment (4)'!M65*'Risk Assessment (4)'!$C65),('Additional Profiles'!J65*'Additional Profiles'!$C65))/$C65,0)</f>
        <v>0</v>
      </c>
      <c r="N65" s="796"/>
      <c r="O65" s="797"/>
      <c r="P65" s="808">
        <f>IF($C65&lt;&gt;0,SUM(('Risk Assessment (1)'!P65*'Risk Assessment (1)'!$C65),('Risk Assessment (2)'!P65*'Risk Assessment (2)'!$C65),('Risk Assessment (3)'!P65*'Risk Assessment (3)'!$C65),('Risk Assessment (4)'!P65*'Risk Assessment (4)'!$C65),('Additional Profiles'!L65*'Additional Profiles'!$C65))/$C65,0)</f>
        <v>0</v>
      </c>
      <c r="Q65" s="796"/>
      <c r="R65" s="797"/>
      <c r="S65" s="808">
        <f>IF($C65&lt;&gt;0,SUM(('Risk Assessment (1)'!S65*'Risk Assessment (1)'!$C65),('Risk Assessment (2)'!S65*'Risk Assessment (2)'!$C65),('Risk Assessment (3)'!S65*'Risk Assessment (3)'!$C65),('Risk Assessment (4)'!S65*'Risk Assessment (4)'!$C65),('Additional Profiles'!M65*'Additional Profiles'!$C65))/$C65,0)</f>
        <v>0</v>
      </c>
      <c r="T65" s="242"/>
      <c r="U65" s="242"/>
      <c r="V65" s="197">
        <f t="shared" si="25"/>
        <v>1</v>
      </c>
      <c r="W65" s="192">
        <f t="shared" si="26"/>
        <v>0</v>
      </c>
      <c r="X65" s="192">
        <f t="shared" si="27"/>
        <v>0</v>
      </c>
      <c r="Y65" s="78">
        <f t="shared" si="28"/>
        <v>0</v>
      </c>
      <c r="Z65" s="90"/>
    </row>
    <row r="66" spans="1:26">
      <c r="A66" s="513">
        <v>80.05</v>
      </c>
      <c r="B66" s="517" t="s">
        <v>59</v>
      </c>
      <c r="C66" s="78">
        <f>SUM('Risk Assessment (1):Risk Assessment (4)'!C66,'Additional Profiles'!C66)</f>
        <v>0</v>
      </c>
      <c r="D66" s="96"/>
      <c r="E66" s="796"/>
      <c r="F66" s="797"/>
      <c r="G66" s="808">
        <f>IF($C66&lt;&gt;0,SUM(('Risk Assessment (1)'!G66*'Risk Assessment (1)'!$C66),('Risk Assessment (2)'!G66*'Risk Assessment (2)'!$C66),('Risk Assessment (3)'!G66*'Risk Assessment (3)'!$C66),('Risk Assessment (4)'!G66*'Risk Assessment (4)'!$C66),('Additional Profiles'!F66*'Additional Profiles'!$C66))/$C66,0)</f>
        <v>0</v>
      </c>
      <c r="H66" s="796"/>
      <c r="I66" s="797"/>
      <c r="J66" s="808">
        <f>IF($C66&lt;&gt;0,SUM(('Risk Assessment (1)'!J66*'Risk Assessment (1)'!$C66),('Risk Assessment (2)'!J66*'Risk Assessment (2)'!$C66),('Risk Assessment (3)'!J66*'Risk Assessment (3)'!$C66),('Risk Assessment (4)'!J66*'Risk Assessment (4)'!$C66),('Additional Profiles'!H66*'Additional Profiles'!$C66))/$C66,0)</f>
        <v>0</v>
      </c>
      <c r="K66" s="796"/>
      <c r="L66" s="797"/>
      <c r="M66" s="808">
        <f>IF($C66&lt;&gt;0,SUM(('Risk Assessment (1)'!M66*'Risk Assessment (1)'!$C66),('Risk Assessment (2)'!M66*'Risk Assessment (2)'!$C66),('Risk Assessment (3)'!M66*'Risk Assessment (3)'!$C66),('Risk Assessment (4)'!M66*'Risk Assessment (4)'!$C66),('Additional Profiles'!J66*'Additional Profiles'!$C66))/$C66,0)</f>
        <v>0</v>
      </c>
      <c r="N66" s="796"/>
      <c r="O66" s="797"/>
      <c r="P66" s="808">
        <f>IF($C66&lt;&gt;0,SUM(('Risk Assessment (1)'!P66*'Risk Assessment (1)'!$C66),('Risk Assessment (2)'!P66*'Risk Assessment (2)'!$C66),('Risk Assessment (3)'!P66*'Risk Assessment (3)'!$C66),('Risk Assessment (4)'!P66*'Risk Assessment (4)'!$C66),('Additional Profiles'!L66*'Additional Profiles'!$C66))/$C66,0)</f>
        <v>0</v>
      </c>
      <c r="Q66" s="796"/>
      <c r="R66" s="797"/>
      <c r="S66" s="808">
        <f>IF($C66&lt;&gt;0,SUM(('Risk Assessment (1)'!S66*'Risk Assessment (1)'!$C66),('Risk Assessment (2)'!S66*'Risk Assessment (2)'!$C66),('Risk Assessment (3)'!S66*'Risk Assessment (3)'!$C66),('Risk Assessment (4)'!S66*'Risk Assessment (4)'!$C66),('Additional Profiles'!M66*'Additional Profiles'!$C66))/$C66,0)</f>
        <v>0</v>
      </c>
      <c r="T66" s="242"/>
      <c r="U66" s="242"/>
      <c r="V66" s="197">
        <f t="shared" si="25"/>
        <v>1</v>
      </c>
      <c r="W66" s="192">
        <f t="shared" si="26"/>
        <v>0</v>
      </c>
      <c r="X66" s="192">
        <f t="shared" si="27"/>
        <v>0</v>
      </c>
      <c r="Y66" s="78">
        <f t="shared" si="28"/>
        <v>0</v>
      </c>
      <c r="Z66" s="90"/>
    </row>
    <row r="67" spans="1:26">
      <c r="A67" s="513">
        <v>80.06</v>
      </c>
      <c r="B67" s="517" t="s">
        <v>60</v>
      </c>
      <c r="C67" s="78">
        <f>SUM('Risk Assessment (1):Risk Assessment (4)'!C67,'Additional Profiles'!C67)</f>
        <v>0</v>
      </c>
      <c r="D67" s="96"/>
      <c r="E67" s="796"/>
      <c r="F67" s="797"/>
      <c r="G67" s="808">
        <f>IF($C67&lt;&gt;0,SUM(('Risk Assessment (1)'!G67*'Risk Assessment (1)'!$C67),('Risk Assessment (2)'!G67*'Risk Assessment (2)'!$C67),('Risk Assessment (3)'!G67*'Risk Assessment (3)'!$C67),('Risk Assessment (4)'!G67*'Risk Assessment (4)'!$C67),('Additional Profiles'!F67*'Additional Profiles'!$C67))/$C67,0)</f>
        <v>0</v>
      </c>
      <c r="H67" s="796"/>
      <c r="I67" s="797"/>
      <c r="J67" s="808">
        <f>IF($C67&lt;&gt;0,SUM(('Risk Assessment (1)'!J67*'Risk Assessment (1)'!$C67),('Risk Assessment (2)'!J67*'Risk Assessment (2)'!$C67),('Risk Assessment (3)'!J67*'Risk Assessment (3)'!$C67),('Risk Assessment (4)'!J67*'Risk Assessment (4)'!$C67),('Additional Profiles'!H67*'Additional Profiles'!$C67))/$C67,0)</f>
        <v>0</v>
      </c>
      <c r="K67" s="796"/>
      <c r="L67" s="797"/>
      <c r="M67" s="808">
        <f>IF($C67&lt;&gt;0,SUM(('Risk Assessment (1)'!M67*'Risk Assessment (1)'!$C67),('Risk Assessment (2)'!M67*'Risk Assessment (2)'!$C67),('Risk Assessment (3)'!M67*'Risk Assessment (3)'!$C67),('Risk Assessment (4)'!M67*'Risk Assessment (4)'!$C67),('Additional Profiles'!J67*'Additional Profiles'!$C67))/$C67,0)</f>
        <v>0</v>
      </c>
      <c r="N67" s="796"/>
      <c r="O67" s="797"/>
      <c r="P67" s="808">
        <f>IF($C67&lt;&gt;0,SUM(('Risk Assessment (1)'!P67*'Risk Assessment (1)'!$C67),('Risk Assessment (2)'!P67*'Risk Assessment (2)'!$C67),('Risk Assessment (3)'!P67*'Risk Assessment (3)'!$C67),('Risk Assessment (4)'!P67*'Risk Assessment (4)'!$C67),('Additional Profiles'!L67*'Additional Profiles'!$C67))/$C67,0)</f>
        <v>0</v>
      </c>
      <c r="Q67" s="796"/>
      <c r="R67" s="797"/>
      <c r="S67" s="808">
        <f>IF($C67&lt;&gt;0,SUM(('Risk Assessment (1)'!S67*'Risk Assessment (1)'!$C67),('Risk Assessment (2)'!S67*'Risk Assessment (2)'!$C67),('Risk Assessment (3)'!S67*'Risk Assessment (3)'!$C67),('Risk Assessment (4)'!S67*'Risk Assessment (4)'!$C67),('Additional Profiles'!M67*'Additional Profiles'!$C67))/$C67,0)</f>
        <v>0</v>
      </c>
      <c r="T67" s="242"/>
      <c r="U67" s="242"/>
      <c r="V67" s="197">
        <f t="shared" si="25"/>
        <v>1</v>
      </c>
      <c r="W67" s="192">
        <f t="shared" si="26"/>
        <v>0</v>
      </c>
      <c r="X67" s="192">
        <f t="shared" si="27"/>
        <v>0</v>
      </c>
      <c r="Y67" s="78">
        <f t="shared" si="28"/>
        <v>0</v>
      </c>
      <c r="Z67" s="90"/>
    </row>
    <row r="68" spans="1:26">
      <c r="A68" s="513">
        <v>80.069999999999993</v>
      </c>
      <c r="B68" s="517" t="s">
        <v>61</v>
      </c>
      <c r="C68" s="78">
        <f>SUM('Risk Assessment (1):Risk Assessment (4)'!C68,'Additional Profiles'!C68)</f>
        <v>0</v>
      </c>
      <c r="D68" s="96"/>
      <c r="E68" s="796"/>
      <c r="F68" s="797"/>
      <c r="G68" s="808">
        <f>IF($C68&lt;&gt;0,SUM(('Risk Assessment (1)'!G68*'Risk Assessment (1)'!$C68),('Risk Assessment (2)'!G68*'Risk Assessment (2)'!$C68),('Risk Assessment (3)'!G68*'Risk Assessment (3)'!$C68),('Risk Assessment (4)'!G68*'Risk Assessment (4)'!$C68),('Additional Profiles'!F68*'Additional Profiles'!$C68))/$C68,0)</f>
        <v>0</v>
      </c>
      <c r="H68" s="796"/>
      <c r="I68" s="797"/>
      <c r="J68" s="808">
        <f>IF($C68&lt;&gt;0,SUM(('Risk Assessment (1)'!J68*'Risk Assessment (1)'!$C68),('Risk Assessment (2)'!J68*'Risk Assessment (2)'!$C68),('Risk Assessment (3)'!J68*'Risk Assessment (3)'!$C68),('Risk Assessment (4)'!J68*'Risk Assessment (4)'!$C68),('Additional Profiles'!H68*'Additional Profiles'!$C68))/$C68,0)</f>
        <v>0</v>
      </c>
      <c r="K68" s="796"/>
      <c r="L68" s="797"/>
      <c r="M68" s="808">
        <f>IF($C68&lt;&gt;0,SUM(('Risk Assessment (1)'!M68*'Risk Assessment (1)'!$C68),('Risk Assessment (2)'!M68*'Risk Assessment (2)'!$C68),('Risk Assessment (3)'!M68*'Risk Assessment (3)'!$C68),('Risk Assessment (4)'!M68*'Risk Assessment (4)'!$C68),('Additional Profiles'!J68*'Additional Profiles'!$C68))/$C68,0)</f>
        <v>0</v>
      </c>
      <c r="N68" s="796"/>
      <c r="O68" s="797"/>
      <c r="P68" s="808">
        <f>IF($C68&lt;&gt;0,SUM(('Risk Assessment (1)'!P68*'Risk Assessment (1)'!$C68),('Risk Assessment (2)'!P68*'Risk Assessment (2)'!$C68),('Risk Assessment (3)'!P68*'Risk Assessment (3)'!$C68),('Risk Assessment (4)'!P68*'Risk Assessment (4)'!$C68),('Additional Profiles'!L68*'Additional Profiles'!$C68))/$C68,0)</f>
        <v>0</v>
      </c>
      <c r="Q68" s="796"/>
      <c r="R68" s="797"/>
      <c r="S68" s="808">
        <f>IF($C68&lt;&gt;0,SUM(('Risk Assessment (1)'!S68*'Risk Assessment (1)'!$C68),('Risk Assessment (2)'!S68*'Risk Assessment (2)'!$C68),('Risk Assessment (3)'!S68*'Risk Assessment (3)'!$C68),('Risk Assessment (4)'!S68*'Risk Assessment (4)'!$C68),('Additional Profiles'!M68*'Additional Profiles'!$C68))/$C68,0)</f>
        <v>0</v>
      </c>
      <c r="T68" s="242"/>
      <c r="U68" s="242"/>
      <c r="V68" s="197">
        <f t="shared" si="25"/>
        <v>1</v>
      </c>
      <c r="W68" s="192">
        <f t="shared" si="26"/>
        <v>0</v>
      </c>
      <c r="X68" s="192">
        <f t="shared" si="27"/>
        <v>0</v>
      </c>
      <c r="Y68" s="78">
        <f t="shared" si="28"/>
        <v>0</v>
      </c>
      <c r="Z68" s="90"/>
    </row>
    <row r="69" spans="1:26" ht="13.5" thickBot="1">
      <c r="A69" s="513">
        <v>80.08</v>
      </c>
      <c r="B69" s="517" t="s">
        <v>62</v>
      </c>
      <c r="C69" s="78">
        <f>SUM('Risk Assessment (1):Risk Assessment (4)'!C69,'Additional Profiles'!C69)</f>
        <v>0</v>
      </c>
      <c r="D69" s="96"/>
      <c r="E69" s="823"/>
      <c r="F69" s="824"/>
      <c r="G69" s="811">
        <f>IF($C69&lt;&gt;0,SUM(('Risk Assessment (1)'!G69*'Risk Assessment (1)'!$C69),('Risk Assessment (2)'!G69*'Risk Assessment (2)'!$C69),('Risk Assessment (3)'!G69*'Risk Assessment (3)'!$C69),('Risk Assessment (4)'!G69*'Risk Assessment (4)'!$C69),('Additional Profiles'!F69*'Additional Profiles'!$C69))/$C69,0)</f>
        <v>0</v>
      </c>
      <c r="H69" s="823"/>
      <c r="I69" s="824"/>
      <c r="J69" s="811">
        <f>IF($C69&lt;&gt;0,SUM(('Risk Assessment (1)'!J69*'Risk Assessment (1)'!$C69),('Risk Assessment (2)'!J69*'Risk Assessment (2)'!$C69),('Risk Assessment (3)'!J69*'Risk Assessment (3)'!$C69),('Risk Assessment (4)'!J69*'Risk Assessment (4)'!$C69),('Additional Profiles'!H69*'Additional Profiles'!$C69))/$C69,0)</f>
        <v>0</v>
      </c>
      <c r="K69" s="823"/>
      <c r="L69" s="824"/>
      <c r="M69" s="811">
        <f>IF($C69&lt;&gt;0,SUM(('Risk Assessment (1)'!M69*'Risk Assessment (1)'!$C69),('Risk Assessment (2)'!M69*'Risk Assessment (2)'!$C69),('Risk Assessment (3)'!M69*'Risk Assessment (3)'!$C69),('Risk Assessment (4)'!M69*'Risk Assessment (4)'!$C69),('Additional Profiles'!J69*'Additional Profiles'!$C69))/$C69,0)</f>
        <v>0</v>
      </c>
      <c r="N69" s="823"/>
      <c r="O69" s="824"/>
      <c r="P69" s="811">
        <f>IF($C69&lt;&gt;0,SUM(('Risk Assessment (1)'!P69*'Risk Assessment (1)'!$C69),('Risk Assessment (2)'!P69*'Risk Assessment (2)'!$C69),('Risk Assessment (3)'!P69*'Risk Assessment (3)'!$C69),('Risk Assessment (4)'!P69*'Risk Assessment (4)'!$C69),('Additional Profiles'!L69*'Additional Profiles'!$C69))/$C69,0)</f>
        <v>0</v>
      </c>
      <c r="Q69" s="823"/>
      <c r="R69" s="824"/>
      <c r="S69" s="811">
        <f>IF($C69&lt;&gt;0,SUM(('Risk Assessment (1)'!S69*'Risk Assessment (1)'!$C69),('Risk Assessment (2)'!S69*'Risk Assessment (2)'!$C69),('Risk Assessment (3)'!S69*'Risk Assessment (3)'!$C69),('Risk Assessment (4)'!S69*'Risk Assessment (4)'!$C69),('Additional Profiles'!M69*'Additional Profiles'!$C69))/$C69,0)</f>
        <v>0</v>
      </c>
      <c r="T69" s="242"/>
      <c r="U69" s="242"/>
      <c r="V69" s="197">
        <f t="shared" si="25"/>
        <v>1</v>
      </c>
      <c r="W69" s="192">
        <f t="shared" si="26"/>
        <v>0</v>
      </c>
      <c r="X69" s="192">
        <f t="shared" si="27"/>
        <v>0</v>
      </c>
      <c r="Y69" s="78">
        <f t="shared" si="28"/>
        <v>0</v>
      </c>
      <c r="Z69" s="90"/>
    </row>
    <row r="70" spans="1:26">
      <c r="A70" s="306"/>
      <c r="B70" s="509" t="s">
        <v>80</v>
      </c>
      <c r="C70" s="226">
        <f>SUM(C4:C69)</f>
        <v>0</v>
      </c>
      <c r="D70" s="96"/>
      <c r="E70" s="361"/>
      <c r="F70" s="361"/>
      <c r="G70" s="361"/>
      <c r="H70" s="361"/>
      <c r="I70" s="361"/>
      <c r="J70" s="361"/>
      <c r="K70" s="361"/>
      <c r="L70" s="361"/>
      <c r="M70" s="361"/>
      <c r="N70" s="361"/>
      <c r="O70" s="361"/>
      <c r="P70" s="361"/>
      <c r="Q70" s="361"/>
      <c r="R70" s="361"/>
      <c r="S70" s="361"/>
      <c r="T70" s="242"/>
      <c r="U70" s="242"/>
      <c r="V70" s="225">
        <f>IF(RA_lwrbnd,RA_uprbnd/RA_lwrbnd,0)</f>
        <v>0</v>
      </c>
      <c r="W70" s="194">
        <f>SUM(W4:W69)</f>
        <v>0</v>
      </c>
      <c r="X70" s="194">
        <f>SUM(X4:X69)</f>
        <v>0</v>
      </c>
      <c r="Y70" s="226">
        <f>SUM(Y4:Y69)</f>
        <v>0</v>
      </c>
      <c r="Z70" s="90"/>
    </row>
    <row r="71" spans="1:26" ht="13.5" thickBot="1">
      <c r="A71" s="359"/>
      <c r="B71" s="510"/>
      <c r="C71" s="63" t="s">
        <v>75</v>
      </c>
      <c r="D71" s="97"/>
      <c r="E71" s="367"/>
      <c r="F71" s="367"/>
      <c r="G71" s="367"/>
      <c r="H71" s="367"/>
      <c r="I71" s="367"/>
      <c r="J71" s="367"/>
      <c r="K71" s="367"/>
      <c r="L71" s="367"/>
      <c r="M71" s="367"/>
      <c r="N71" s="367"/>
      <c r="O71" s="367"/>
      <c r="P71" s="367"/>
      <c r="Q71" s="367"/>
      <c r="R71" s="367"/>
      <c r="S71" s="367"/>
      <c r="T71" s="242"/>
      <c r="U71" s="242"/>
      <c r="V71" s="223" t="s">
        <v>92</v>
      </c>
      <c r="W71" s="224" t="s">
        <v>76</v>
      </c>
      <c r="X71" s="224" t="s">
        <v>81</v>
      </c>
      <c r="Y71" s="63" t="s">
        <v>82</v>
      </c>
      <c r="Z71" s="90"/>
    </row>
    <row r="72" spans="1:26">
      <c r="A72" s="98"/>
      <c r="B72" s="91"/>
      <c r="C72" s="97"/>
      <c r="D72" s="97"/>
      <c r="E72" s="91"/>
      <c r="F72" s="91"/>
      <c r="G72" s="91"/>
      <c r="H72" s="91"/>
      <c r="I72" s="91"/>
      <c r="J72" s="91"/>
      <c r="K72" s="91"/>
      <c r="L72" s="91"/>
      <c r="M72" s="91"/>
      <c r="N72" s="91"/>
      <c r="O72" s="91"/>
      <c r="P72" s="91"/>
      <c r="Q72" s="91"/>
      <c r="R72" s="91"/>
      <c r="S72" s="91"/>
      <c r="V72" s="195"/>
      <c r="W72" s="62"/>
      <c r="X72" s="62"/>
      <c r="Y72" s="62"/>
      <c r="Z72" s="90"/>
    </row>
    <row r="73" spans="1:26">
      <c r="A73" s="98"/>
      <c r="B73" s="91"/>
      <c r="C73" s="97"/>
      <c r="D73" s="97"/>
      <c r="E73" s="91"/>
      <c r="F73" s="91"/>
      <c r="G73" s="91"/>
      <c r="H73" s="91"/>
      <c r="I73" s="91"/>
      <c r="J73" s="91"/>
      <c r="K73" s="91"/>
      <c r="L73" s="91"/>
      <c r="M73" s="91"/>
      <c r="N73" s="91"/>
      <c r="O73" s="91"/>
      <c r="P73" s="91"/>
      <c r="Q73" s="91"/>
      <c r="R73" s="91"/>
      <c r="S73" s="91"/>
      <c r="V73" s="3"/>
      <c r="W73" s="3"/>
      <c r="X73" s="3"/>
      <c r="Y73" s="62"/>
      <c r="Z73" s="90"/>
    </row>
    <row r="74" spans="1:26" ht="16.5" thickBot="1">
      <c r="A74" s="98"/>
      <c r="B74" s="820" t="s">
        <v>312</v>
      </c>
      <c r="C74" s="97"/>
      <c r="D74" s="97"/>
      <c r="E74" s="91"/>
      <c r="F74" s="91"/>
      <c r="G74" s="91"/>
      <c r="H74" s="91"/>
      <c r="I74" s="91"/>
      <c r="J74" s="91"/>
      <c r="K74" s="91"/>
      <c r="L74" s="91"/>
      <c r="M74" s="91"/>
      <c r="N74" s="91"/>
      <c r="O74" s="91"/>
      <c r="P74" s="91"/>
      <c r="Q74" s="91"/>
      <c r="R74" s="91"/>
      <c r="V74" s="91"/>
      <c r="W74" s="91"/>
      <c r="X74" s="91"/>
      <c r="Y74" s="91"/>
      <c r="Z74" s="90"/>
    </row>
    <row r="75" spans="1:26">
      <c r="A75" s="98"/>
      <c r="B75" s="758" t="s">
        <v>88</v>
      </c>
      <c r="C75" s="759"/>
      <c r="D75" s="759"/>
      <c r="E75" s="759"/>
      <c r="F75" s="759"/>
      <c r="G75" s="821" t="s">
        <v>98</v>
      </c>
      <c r="H75" s="761"/>
      <c r="I75" s="761"/>
      <c r="J75" s="761"/>
      <c r="K75" s="761"/>
      <c r="L75" s="761"/>
      <c r="M75" s="761"/>
      <c r="N75" s="761"/>
      <c r="O75" s="761"/>
      <c r="P75" s="762"/>
      <c r="Q75" s="91"/>
      <c r="R75" s="91"/>
      <c r="V75" s="91"/>
      <c r="W75" s="91"/>
      <c r="X75" s="91"/>
      <c r="Y75" s="91"/>
      <c r="Z75" s="90"/>
    </row>
    <row r="76" spans="1:26">
      <c r="A76" s="98"/>
      <c r="B76" s="754" t="s">
        <v>89</v>
      </c>
      <c r="C76" s="755"/>
      <c r="D76" s="755"/>
      <c r="E76" s="755"/>
      <c r="F76" s="755"/>
      <c r="G76" s="755"/>
      <c r="H76" s="755"/>
      <c r="I76" s="755"/>
      <c r="J76" s="775" t="s">
        <v>98</v>
      </c>
      <c r="K76" s="755"/>
      <c r="L76" s="755"/>
      <c r="M76" s="755"/>
      <c r="N76" s="755"/>
      <c r="O76" s="755"/>
      <c r="P76" s="760"/>
      <c r="Q76" s="91"/>
      <c r="R76" s="91"/>
      <c r="V76" s="91"/>
      <c r="W76" s="91"/>
      <c r="X76" s="91"/>
      <c r="Y76" s="91"/>
      <c r="Z76" s="90"/>
    </row>
    <row r="77" spans="1:26">
      <c r="A77" s="98"/>
      <c r="B77" s="754" t="s">
        <v>90</v>
      </c>
      <c r="C77" s="755"/>
      <c r="D77" s="755"/>
      <c r="E77" s="755"/>
      <c r="F77" s="755"/>
      <c r="G77" s="755"/>
      <c r="H77" s="755"/>
      <c r="I77" s="755"/>
      <c r="J77" s="755"/>
      <c r="K77" s="755"/>
      <c r="L77" s="755"/>
      <c r="M77" s="775" t="s">
        <v>98</v>
      </c>
      <c r="N77" s="755"/>
      <c r="O77" s="755"/>
      <c r="P77" s="760"/>
      <c r="Q77" s="91"/>
      <c r="R77" s="91"/>
      <c r="V77" s="91"/>
      <c r="W77" s="91"/>
      <c r="X77" s="91"/>
      <c r="Y77" s="91"/>
      <c r="Z77" s="90"/>
    </row>
    <row r="78" spans="1:26" ht="13.5" thickBot="1">
      <c r="A78" s="98"/>
      <c r="B78" s="756" t="s">
        <v>91</v>
      </c>
      <c r="C78" s="757"/>
      <c r="D78" s="757"/>
      <c r="E78" s="757"/>
      <c r="F78" s="757"/>
      <c r="G78" s="757"/>
      <c r="H78" s="757"/>
      <c r="I78" s="757"/>
      <c r="J78" s="757"/>
      <c r="K78" s="757"/>
      <c r="L78" s="757"/>
      <c r="M78" s="757"/>
      <c r="N78" s="757"/>
      <c r="O78" s="757"/>
      <c r="P78" s="822" t="s">
        <v>98</v>
      </c>
      <c r="Q78" s="91"/>
      <c r="R78" s="91"/>
      <c r="V78" s="91"/>
      <c r="W78" s="91"/>
      <c r="X78" s="91"/>
      <c r="Y78" s="91"/>
      <c r="Z78" s="90"/>
    </row>
    <row r="89" ht="12.75" customHeight="1"/>
    <row r="90" ht="13.5" customHeight="1"/>
  </sheetData>
  <sheetProtection algorithmName="SHA-512" hashValue="IiAllYHjnvnC3f9xax72AZyvpSNOfeUSGoGsh2qdrT9ku/1HsQtoNP5Is0KpdwkTFgyhbsoWXIfSBcPvBXwtbg==" saltValue="AKuCmabEnBlwxyTW5ACJgA==" spinCount="100000" sheet="1" formatCells="0" formatColumns="0" formatRows="0" insertColumns="0" insertRows="0"/>
  <mergeCells count="14">
    <mergeCell ref="A1:C1"/>
    <mergeCell ref="E49:S49"/>
    <mergeCell ref="E50:S50"/>
    <mergeCell ref="H2:J2"/>
    <mergeCell ref="K2:M2"/>
    <mergeCell ref="N2:P2"/>
    <mergeCell ref="Q2:S2"/>
    <mergeCell ref="AC24:AF24"/>
    <mergeCell ref="A2:C2"/>
    <mergeCell ref="E2:G2"/>
    <mergeCell ref="AC18:AF18"/>
    <mergeCell ref="AC19:AF19"/>
    <mergeCell ref="AC20:AF20"/>
    <mergeCell ref="AC22:AF22"/>
  </mergeCells>
  <pageMargins left="0.75" right="0.75" top="1" bottom="1" header="0.5" footer="0.5"/>
  <pageSetup orientation="portrait" horizontalDpi="4294967293" verticalDpi="429496729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5">
    <tabColor rgb="FF00B050"/>
  </sheetPr>
  <dimension ref="A1:J24"/>
  <sheetViews>
    <sheetView zoomScaleNormal="100" workbookViewId="0">
      <selection activeCell="J19" sqref="J19"/>
    </sheetView>
  </sheetViews>
  <sheetFormatPr defaultColWidth="11.42578125" defaultRowHeight="12.75"/>
  <cols>
    <col min="1" max="1" width="2.42578125" style="508" customWidth="1"/>
    <col min="8" max="8" width="26.42578125" customWidth="1"/>
    <col min="9" max="9" width="35.5703125" customWidth="1"/>
    <col min="10" max="10" width="13.42578125" customWidth="1"/>
  </cols>
  <sheetData>
    <row r="1" s="508" customFormat="1"/>
    <row r="17" spans="9:10" ht="13.5" thickBot="1"/>
    <row r="18" spans="9:10">
      <c r="I18" s="1152" t="s">
        <v>226</v>
      </c>
      <c r="J18" s="1153"/>
    </row>
    <row r="19" spans="9:10" ht="13.5" thickBot="1">
      <c r="I19" s="100" t="s">
        <v>227</v>
      </c>
      <c r="J19" s="376">
        <v>0.65</v>
      </c>
    </row>
    <row r="20" spans="9:10" ht="13.5" thickTop="1">
      <c r="I20" s="99" t="s">
        <v>134</v>
      </c>
      <c r="J20" s="377">
        <v>0.4</v>
      </c>
    </row>
    <row r="21" spans="9:10">
      <c r="I21" s="101" t="s">
        <v>289</v>
      </c>
      <c r="J21" s="377">
        <v>0.5</v>
      </c>
    </row>
    <row r="22" spans="9:10">
      <c r="I22" s="101" t="s">
        <v>290</v>
      </c>
      <c r="J22" s="377">
        <v>0.65</v>
      </c>
    </row>
    <row r="23" spans="9:10">
      <c r="I23" s="102" t="s">
        <v>135</v>
      </c>
      <c r="J23" s="377">
        <v>0.8</v>
      </c>
    </row>
    <row r="24" spans="9:10" ht="13.5" thickBot="1">
      <c r="I24" s="1154" t="s">
        <v>138</v>
      </c>
      <c r="J24" s="1155"/>
    </row>
  </sheetData>
  <sheetProtection algorithmName="SHA-512" hashValue="iBgupV1cYTbtm2BBz0uByJa6WivuDJYlukiXeUG5WKpQQNiBprquN5X8Xke3qtY63sDEmgxvHaVQrO5JCg6NIA==" saltValue="VEsdDQPZnZOqit7cCMXPHQ==" spinCount="100000" sheet="1" scenarios="1" formatCells="0" formatColumns="0" formatRows="0"/>
  <mergeCells count="2">
    <mergeCell ref="I18:J18"/>
    <mergeCell ref="I24:J24"/>
  </mergeCells>
  <pageMargins left="0.75" right="0.75" top="1" bottom="1" header="0.5" footer="0.5"/>
  <pageSetup paperSize="0" orientation="portrait" horizontalDpi="4294967292" verticalDpi="4294967292"/>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tabColor rgb="FF00B050"/>
    <pageSetUpPr fitToPage="1"/>
  </sheetPr>
  <dimension ref="A1:J56"/>
  <sheetViews>
    <sheetView zoomScale="85" zoomScaleNormal="85" workbookViewId="0">
      <selection activeCell="C1" sqref="C1:F1"/>
    </sheetView>
  </sheetViews>
  <sheetFormatPr defaultColWidth="8.85546875" defaultRowHeight="12.75"/>
  <cols>
    <col min="1" max="1" width="39.140625" style="235" customWidth="1"/>
    <col min="2" max="2" width="24.5703125" style="235" customWidth="1"/>
    <col min="3" max="6" width="16.140625" style="235" customWidth="1"/>
    <col min="7" max="7" width="15.85546875" style="235" customWidth="1"/>
    <col min="8" max="8" width="3.140625" style="235" customWidth="1"/>
    <col min="9" max="9" width="25.85546875" style="235" customWidth="1"/>
    <col min="10" max="10" width="13.42578125" style="235" customWidth="1"/>
    <col min="11" max="11" width="10.42578125" style="235" bestFit="1" customWidth="1"/>
    <col min="12" max="16384" width="8.85546875" style="235"/>
  </cols>
  <sheetData>
    <row r="1" spans="1:10" ht="38.1" customHeight="1" thickBot="1">
      <c r="A1" s="1159" t="s">
        <v>523</v>
      </c>
      <c r="B1" s="1160"/>
      <c r="C1" s="1161" t="s">
        <v>519</v>
      </c>
      <c r="D1" s="1162"/>
      <c r="E1" s="1162"/>
      <c r="F1" s="1162"/>
      <c r="G1" s="967" t="s">
        <v>521</v>
      </c>
      <c r="H1" s="925"/>
      <c r="I1" s="827"/>
      <c r="J1" s="827"/>
    </row>
    <row r="2" spans="1:10" ht="12.95" customHeight="1">
      <c r="A2" s="845" t="s">
        <v>128</v>
      </c>
      <c r="B2" s="846" t="str">
        <f>PMSpProjName</f>
        <v>Project Name</v>
      </c>
      <c r="G2" s="242"/>
      <c r="H2" s="242"/>
    </row>
    <row r="3" spans="1:10" ht="12.95" customHeight="1">
      <c r="A3" s="828" t="s">
        <v>129</v>
      </c>
      <c r="B3" s="829" t="str">
        <f>'PMOC Project Background'!C8</f>
        <v>Milestone</v>
      </c>
      <c r="G3" s="242"/>
      <c r="H3" s="242"/>
    </row>
    <row r="4" spans="1:10" ht="14.1" customHeight="1">
      <c r="A4" s="828" t="s">
        <v>147</v>
      </c>
      <c r="B4" s="829" t="str">
        <f>PMSpName</f>
        <v>Sponsor name</v>
      </c>
      <c r="G4" s="242"/>
      <c r="H4" s="242"/>
    </row>
    <row r="5" spans="1:10">
      <c r="A5" s="828" t="s">
        <v>130</v>
      </c>
      <c r="B5" s="829" t="str">
        <f t="shared" ref="B5" si="0">PMRvwDate</f>
        <v>ReviewDate</v>
      </c>
      <c r="G5" s="242"/>
      <c r="H5" s="242"/>
    </row>
    <row r="6" spans="1:10" ht="13.5" thickBot="1">
      <c r="A6" s="830" t="str">
        <f>"Version "&amp;Version&amp;" Workbook:  "</f>
        <v xml:space="preserve">Version 5.16b Workbook:  </v>
      </c>
      <c r="B6" s="831" t="str">
        <f>PMWrkBkType</f>
        <v>Primary Workbook</v>
      </c>
      <c r="G6" s="242"/>
      <c r="H6" s="242"/>
    </row>
    <row r="7" spans="1:10" ht="13.5" thickBot="1">
      <c r="A7" s="1173" t="s">
        <v>292</v>
      </c>
      <c r="B7" s="1174"/>
      <c r="G7" s="242"/>
      <c r="H7" s="242"/>
    </row>
    <row r="8" spans="1:10">
      <c r="A8" s="1172" t="s">
        <v>94</v>
      </c>
      <c r="B8" s="1170" t="s">
        <v>131</v>
      </c>
      <c r="G8" s="242"/>
      <c r="H8" s="242"/>
    </row>
    <row r="9" spans="1:10" ht="13.5" thickBot="1">
      <c r="A9" s="1171"/>
      <c r="B9" s="1171"/>
      <c r="G9" s="242"/>
      <c r="H9" s="242"/>
    </row>
    <row r="10" spans="1:10" ht="13.5" thickBot="1">
      <c r="A10" s="1167" t="s">
        <v>97</v>
      </c>
      <c r="B10" s="1168"/>
      <c r="G10" s="242"/>
      <c r="H10" s="242"/>
    </row>
    <row r="11" spans="1:10" ht="13.5" thickBot="1">
      <c r="A11" s="832" t="s">
        <v>148</v>
      </c>
      <c r="B11" s="833">
        <f>B29</f>
        <v>0</v>
      </c>
      <c r="G11" s="242"/>
      <c r="H11" s="242"/>
    </row>
    <row r="12" spans="1:10" ht="15.95" customHeight="1">
      <c r="A12" s="834" t="s">
        <v>264</v>
      </c>
      <c r="B12" s="835">
        <f>B11-B14</f>
        <v>0</v>
      </c>
      <c r="G12" s="1178" t="s">
        <v>522</v>
      </c>
      <c r="H12" s="242"/>
    </row>
    <row r="13" spans="1:10">
      <c r="A13" s="834" t="s">
        <v>260</v>
      </c>
      <c r="B13" s="836" t="e">
        <f>B12/B14</f>
        <v>#DIV/0!</v>
      </c>
      <c r="G13" s="1179"/>
      <c r="H13" s="242"/>
    </row>
    <row r="14" spans="1:10" ht="15" customHeight="1">
      <c r="A14" s="837" t="s">
        <v>149</v>
      </c>
      <c r="B14" s="838">
        <f>B30</f>
        <v>0</v>
      </c>
      <c r="G14" s="1179"/>
      <c r="H14" s="242"/>
    </row>
    <row r="15" spans="1:10" ht="12.95" customHeight="1">
      <c r="A15" s="834" t="s">
        <v>555</v>
      </c>
      <c r="B15" s="911">
        <f>B32</f>
        <v>0</v>
      </c>
      <c r="G15" s="1179"/>
      <c r="H15" s="242"/>
    </row>
    <row r="16" spans="1:10" ht="12.95" customHeight="1">
      <c r="A16" s="834" t="s">
        <v>261</v>
      </c>
      <c r="B16" s="839">
        <f>B33</f>
        <v>0</v>
      </c>
      <c r="G16" s="1179"/>
      <c r="H16" s="242"/>
    </row>
    <row r="17" spans="1:9" ht="12.95" customHeight="1">
      <c r="A17" s="834" t="s">
        <v>262</v>
      </c>
      <c r="B17" s="839">
        <f t="shared" ref="B17:B18" si="1">B34</f>
        <v>0</v>
      </c>
      <c r="G17" s="1179"/>
      <c r="H17" s="242"/>
    </row>
    <row r="18" spans="1:9" ht="12.95" customHeight="1">
      <c r="A18" s="834" t="s">
        <v>524</v>
      </c>
      <c r="B18" s="839">
        <f t="shared" si="1"/>
        <v>0</v>
      </c>
      <c r="G18" s="1179"/>
      <c r="H18" s="242"/>
    </row>
    <row r="19" spans="1:9" ht="14.1" customHeight="1" thickBot="1">
      <c r="A19" s="837" t="s">
        <v>263</v>
      </c>
      <c r="B19" s="840">
        <f>B36</f>
        <v>0</v>
      </c>
      <c r="G19" s="1179"/>
      <c r="H19" s="242"/>
    </row>
    <row r="20" spans="1:9" ht="14.1" customHeight="1" thickBot="1">
      <c r="A20" s="1167" t="s">
        <v>282</v>
      </c>
      <c r="B20" s="1169"/>
      <c r="G20" s="1179"/>
      <c r="H20" s="242"/>
    </row>
    <row r="21" spans="1:9" ht="14.1" customHeight="1" thickBot="1">
      <c r="A21" s="841" t="s">
        <v>265</v>
      </c>
      <c r="B21" s="842">
        <f>B11-B19</f>
        <v>0</v>
      </c>
      <c r="G21" s="1179"/>
      <c r="H21" s="242"/>
    </row>
    <row r="22" spans="1:9" ht="14.1" customHeight="1" thickBot="1">
      <c r="A22" s="843" t="s">
        <v>266</v>
      </c>
      <c r="B22" s="844" t="e">
        <f>B21/B19</f>
        <v>#DIV/0!</v>
      </c>
      <c r="G22" s="1179"/>
      <c r="H22" s="242"/>
    </row>
    <row r="23" spans="1:9" ht="14.1" customHeight="1" thickBot="1">
      <c r="A23" s="242"/>
      <c r="B23" s="242"/>
      <c r="G23" s="1180"/>
      <c r="H23" s="242"/>
    </row>
    <row r="24" spans="1:9" ht="13.5" thickBot="1">
      <c r="A24" s="847" t="s">
        <v>474</v>
      </c>
      <c r="B24" s="847"/>
      <c r="C24" s="847"/>
      <c r="D24" s="847"/>
      <c r="E24" s="847"/>
      <c r="F24" s="847"/>
      <c r="G24" s="847"/>
      <c r="H24" s="847"/>
    </row>
    <row r="25" spans="1:9">
      <c r="A25" s="1163" t="s">
        <v>283</v>
      </c>
      <c r="B25" s="1164"/>
      <c r="C25" s="1175" t="s">
        <v>285</v>
      </c>
      <c r="D25" s="1175" t="s">
        <v>286</v>
      </c>
      <c r="E25" s="1175" t="s">
        <v>287</v>
      </c>
      <c r="F25" s="1175" t="s">
        <v>288</v>
      </c>
      <c r="G25" s="1156" t="s">
        <v>516</v>
      </c>
      <c r="H25" s="847"/>
      <c r="I25" s="241"/>
    </row>
    <row r="26" spans="1:9">
      <c r="A26" s="1181" t="str">
        <f>"Model Version "&amp;Version</f>
        <v>Model Version 5.16b</v>
      </c>
      <c r="B26" s="1182"/>
      <c r="C26" s="1176"/>
      <c r="D26" s="1176"/>
      <c r="E26" s="1176"/>
      <c r="F26" s="1176"/>
      <c r="G26" s="1157"/>
      <c r="H26" s="847"/>
      <c r="I26" s="241"/>
    </row>
    <row r="27" spans="1:9" ht="13.5" thickBot="1">
      <c r="A27" s="1165" t="s">
        <v>192</v>
      </c>
      <c r="B27" s="1166"/>
      <c r="C27" s="1176"/>
      <c r="D27" s="1176"/>
      <c r="E27" s="1176"/>
      <c r="F27" s="1176"/>
      <c r="G27" s="1157"/>
      <c r="H27" s="847"/>
    </row>
    <row r="28" spans="1:9" ht="20.100000000000001" customHeight="1" thickBot="1">
      <c r="A28" s="848" t="s">
        <v>150</v>
      </c>
      <c r="B28" s="849" t="s">
        <v>284</v>
      </c>
      <c r="C28" s="1177"/>
      <c r="D28" s="1177"/>
      <c r="E28" s="1177"/>
      <c r="F28" s="1177"/>
      <c r="G28" s="1158"/>
      <c r="H28" s="847"/>
    </row>
    <row r="29" spans="1:9" ht="66" customHeight="1" thickBot="1">
      <c r="A29" s="850" t="str">
        <f>"Sponsor total estimate (SCC 10-90)"&amp;" ("&amp;TEXT('Risk Assessment Total'!AA22,"#0%")&amp;"ile)"</f>
        <v>Sponsor total estimate (SCC 10-90) (0%ile)</v>
      </c>
      <c r="B29" s="851">
        <f>SpBYEst</f>
        <v>0</v>
      </c>
      <c r="C29" s="852" t="str">
        <f>PMRP1ShrtName</f>
        <v>Transit project</v>
      </c>
      <c r="D29" s="853" t="str">
        <f>PMRP2ShrtName</f>
        <v>Not Used</v>
      </c>
      <c r="E29" s="853" t="str">
        <f>PMRP3ShrtName</f>
        <v>Not Used</v>
      </c>
      <c r="F29" s="854" t="str">
        <f>PMRP4ShrtName</f>
        <v>Not used</v>
      </c>
      <c r="G29" s="854" t="s">
        <v>516</v>
      </c>
      <c r="H29" s="847"/>
    </row>
    <row r="30" spans="1:9" ht="13.5" thickBot="1">
      <c r="A30" s="855" t="s">
        <v>151</v>
      </c>
      <c r="B30" s="840">
        <f>SUM(C30:G30)</f>
        <v>0</v>
      </c>
      <c r="C30" s="856">
        <f>'PMOC BY Risk Profile Values'!O70</f>
        <v>0</v>
      </c>
      <c r="D30" s="857">
        <f>'PMOC BY Risk Profile Values'!P70</f>
        <v>0</v>
      </c>
      <c r="E30" s="857">
        <f>'PMOC BY Risk Profile Values'!Q70</f>
        <v>0</v>
      </c>
      <c r="F30" s="858">
        <f>'PMOC BY Risk Profile Values'!R70</f>
        <v>0</v>
      </c>
      <c r="G30" s="915">
        <v>0</v>
      </c>
      <c r="H30" s="847"/>
    </row>
    <row r="31" spans="1:9">
      <c r="A31" s="848" t="s">
        <v>96</v>
      </c>
      <c r="B31" s="859"/>
      <c r="C31" s="860"/>
      <c r="D31" s="861"/>
      <c r="E31" s="861"/>
      <c r="F31" s="862"/>
      <c r="G31" s="862"/>
      <c r="H31" s="847"/>
    </row>
    <row r="32" spans="1:9">
      <c r="A32" s="834" t="s">
        <v>556</v>
      </c>
      <c r="B32" s="839">
        <f>SUM(C32:G32)</f>
        <v>0</v>
      </c>
      <c r="C32" s="912">
        <f>C36-SUM(C30,C33:C35)</f>
        <v>0</v>
      </c>
      <c r="D32" s="913">
        <f>D36-SUM(D30,D33:D35)</f>
        <v>0</v>
      </c>
      <c r="E32" s="913">
        <f>E36-SUM(E30,E33:E35)</f>
        <v>0</v>
      </c>
      <c r="F32" s="914">
        <f>F36-SUM(F30,F33:F35)</f>
        <v>0</v>
      </c>
      <c r="G32" s="916">
        <v>0</v>
      </c>
      <c r="H32" s="847"/>
    </row>
    <row r="33" spans="1:8">
      <c r="A33" s="834" t="s">
        <v>268</v>
      </c>
      <c r="B33" s="839">
        <f t="shared" ref="B33:B38" si="2">SUM(C33:G33)</f>
        <v>0</v>
      </c>
      <c r="C33" s="863">
        <f>'PMOC Profl Infl Adj'!G70</f>
        <v>0</v>
      </c>
      <c r="D33" s="864">
        <f>'PMOC Profl Infl Adj'!O70</f>
        <v>0</v>
      </c>
      <c r="E33" s="864">
        <f>'PMOC Profl Infl Adj'!W70</f>
        <v>0</v>
      </c>
      <c r="F33" s="865">
        <f>'PMOC Profl Infl Adj'!AE70</f>
        <v>0</v>
      </c>
      <c r="G33" s="917">
        <v>0</v>
      </c>
      <c r="H33" s="847"/>
    </row>
    <row r="34" spans="1:8">
      <c r="A34" s="834" t="s">
        <v>269</v>
      </c>
      <c r="B34" s="839">
        <f t="shared" si="2"/>
        <v>0</v>
      </c>
      <c r="C34" s="863">
        <f>'PMOC Profl Infl Adj'!H70</f>
        <v>0</v>
      </c>
      <c r="D34" s="864">
        <f>'PMOC Profl Infl Adj'!P70</f>
        <v>0</v>
      </c>
      <c r="E34" s="864">
        <f>'PMOC Profl Infl Adj'!X70</f>
        <v>0</v>
      </c>
      <c r="F34" s="865">
        <f>'PMOC Profl Infl Adj'!AF70</f>
        <v>0</v>
      </c>
      <c r="G34" s="917">
        <v>0</v>
      </c>
      <c r="H34" s="847"/>
    </row>
    <row r="35" spans="1:8">
      <c r="A35" s="834" t="s">
        <v>525</v>
      </c>
      <c r="B35" s="839">
        <f t="shared" si="2"/>
        <v>0</v>
      </c>
      <c r="C35" s="863">
        <f>'PMOC Profl Infl Adj'!I70</f>
        <v>0</v>
      </c>
      <c r="D35" s="864">
        <f>'PMOC Profl Infl Adj'!Q70</f>
        <v>0</v>
      </c>
      <c r="E35" s="864">
        <f>'PMOC Profl Infl Adj'!Y70</f>
        <v>0</v>
      </c>
      <c r="F35" s="865">
        <f>'PMOC Profl Infl Adj'!AG70</f>
        <v>0</v>
      </c>
      <c r="G35" s="917">
        <v>0</v>
      </c>
      <c r="H35" s="847"/>
    </row>
    <row r="36" spans="1:8" ht="13.5" thickBot="1">
      <c r="A36" s="855" t="s">
        <v>267</v>
      </c>
      <c r="B36" s="838">
        <f t="shared" si="2"/>
        <v>0</v>
      </c>
      <c r="C36" s="866">
        <f>'Risk Assessment (1)'!RA_lwrbnd</f>
        <v>0</v>
      </c>
      <c r="D36" s="867">
        <f>'Risk Assessment (2)'!RA_lwrbnd</f>
        <v>0</v>
      </c>
      <c r="E36" s="867">
        <f>'Risk Assessment (3)'!RA_lwrbnd</f>
        <v>0</v>
      </c>
      <c r="F36" s="868">
        <f>'Risk Assessment (4)'!RA_lwrbnd</f>
        <v>0</v>
      </c>
      <c r="G36" s="918">
        <v>0</v>
      </c>
      <c r="H36" s="847"/>
    </row>
    <row r="37" spans="1:8">
      <c r="A37" s="869" t="str">
        <f>TEXT('5 - Project Risk Analysis Instr'!I19,)&amp;" ("&amp;TEXT(RA_contingency_percent,"##%")&amp;"ile)"</f>
        <v>FTA target (65%ile)</v>
      </c>
      <c r="B37" s="870">
        <f t="shared" si="2"/>
        <v>0</v>
      </c>
      <c r="C37" s="871">
        <f>'Risk Assessment (1)'!RA_conting_trgt_YOE</f>
        <v>0</v>
      </c>
      <c r="D37" s="872">
        <f>'Risk Assessment (2)'!RA_conting_trgt_YOE</f>
        <v>0</v>
      </c>
      <c r="E37" s="872">
        <f>'Risk Assessment (3)'!RA_conting_trgt_YOE</f>
        <v>0</v>
      </c>
      <c r="F37" s="873">
        <f>'Risk Assessment (4)'!RA_conting_trgt_YOE</f>
        <v>0</v>
      </c>
      <c r="G37" s="919">
        <v>0</v>
      </c>
      <c r="H37" s="847"/>
    </row>
    <row r="38" spans="1:8">
      <c r="A38" s="874" t="s">
        <v>275</v>
      </c>
      <c r="B38" s="875">
        <f t="shared" si="2"/>
        <v>0</v>
      </c>
      <c r="C38" s="876">
        <f t="shared" ref="C38:F38" si="3">C37-C41</f>
        <v>0</v>
      </c>
      <c r="D38" s="877">
        <f t="shared" si="3"/>
        <v>0</v>
      </c>
      <c r="E38" s="877">
        <f t="shared" si="3"/>
        <v>0</v>
      </c>
      <c r="F38" s="878">
        <f t="shared" si="3"/>
        <v>0</v>
      </c>
      <c r="G38" s="917">
        <v>0</v>
      </c>
      <c r="H38" s="847"/>
    </row>
    <row r="39" spans="1:8" ht="13.5" thickBot="1">
      <c r="A39" s="879" t="s">
        <v>276</v>
      </c>
      <c r="B39" s="844">
        <f t="shared" ref="B39" si="4">IF(B36&lt;&gt;0,B38/B36,0)</f>
        <v>0</v>
      </c>
      <c r="C39" s="880">
        <f>IF(C36&lt;&gt;0,C38/C36,0)</f>
        <v>0</v>
      </c>
      <c r="D39" s="881">
        <f t="shared" ref="D39:F39" si="5">IF(D36&lt;&gt;0,D38/D36,0)</f>
        <v>0</v>
      </c>
      <c r="E39" s="881">
        <f t="shared" si="5"/>
        <v>0</v>
      </c>
      <c r="F39" s="882">
        <f t="shared" si="5"/>
        <v>0</v>
      </c>
      <c r="G39" s="882">
        <f t="shared" ref="G39" si="6">IF(G36&lt;&gt;0,G38/G36,0)</f>
        <v>0</v>
      </c>
      <c r="H39" s="847"/>
    </row>
    <row r="40" spans="1:8" ht="13.5" thickBot="1">
      <c r="A40" s="883" t="s">
        <v>93</v>
      </c>
      <c r="B40" s="884"/>
      <c r="C40" s="885"/>
      <c r="D40" s="886"/>
      <c r="E40" s="886"/>
      <c r="F40" s="887"/>
      <c r="G40" s="887"/>
      <c r="H40" s="847"/>
    </row>
    <row r="41" spans="1:8" ht="13.5" thickBot="1">
      <c r="A41" s="888" t="s">
        <v>72</v>
      </c>
      <c r="B41" s="889">
        <f t="shared" ref="B41:B46" si="7">SUM(C41:G41)</f>
        <v>0</v>
      </c>
      <c r="C41" s="890">
        <f>'Risk Assessment (1)'!RA_lwrbnd</f>
        <v>0</v>
      </c>
      <c r="D41" s="891">
        <f>'Risk Assessment (2)'!RA_lwrbnd</f>
        <v>0</v>
      </c>
      <c r="E41" s="891">
        <f>'Risk Assessment (3)'!RA_lwrbnd</f>
        <v>0</v>
      </c>
      <c r="F41" s="892">
        <f>'Risk Assessment (4)'!RA_lwrbnd</f>
        <v>0</v>
      </c>
      <c r="G41" s="920">
        <v>0</v>
      </c>
      <c r="H41" s="847"/>
    </row>
    <row r="42" spans="1:8">
      <c r="A42" s="893" t="str">
        <f>TEXT('5 - Project Risk Analysis Instr'!I20,)&amp;" ("&amp;TEXT(RA_lwrrange,"##%")&amp;"ile)"</f>
        <v>Lower report range value= (40%ile)</v>
      </c>
      <c r="B42" s="894">
        <f t="shared" si="7"/>
        <v>0</v>
      </c>
      <c r="C42" s="895">
        <f>'Risk Assessment (1)'!AB18</f>
        <v>0</v>
      </c>
      <c r="D42" s="896">
        <f>'Risk Assessment (2)'!AB18</f>
        <v>0</v>
      </c>
      <c r="E42" s="896">
        <f>'Risk Assessment (3)'!AB18</f>
        <v>0</v>
      </c>
      <c r="F42" s="897">
        <f>'Risk Assessment (4)'!AB18</f>
        <v>0</v>
      </c>
      <c r="G42" s="921">
        <v>0</v>
      </c>
      <c r="H42" s="847"/>
    </row>
    <row r="43" spans="1:8">
      <c r="A43" s="893" t="str">
        <f>TEXT('5 - Project Risk Analysis Instr'!I21,)&amp;" ("&amp;TEXT(RA_median,"##%")&amp;"ile)"</f>
        <v>Median report range value= (50%ile)</v>
      </c>
      <c r="B43" s="875">
        <f t="shared" si="7"/>
        <v>0</v>
      </c>
      <c r="C43" s="898">
        <f>'Risk Assessment (1)'!AB9</f>
        <v>0</v>
      </c>
      <c r="D43" s="899">
        <f>'Risk Assessment (2)'!AB9</f>
        <v>0</v>
      </c>
      <c r="E43" s="899">
        <f>'Risk Assessment (3)'!AB9</f>
        <v>0</v>
      </c>
      <c r="F43" s="900">
        <f>'Risk Assessment (4)'!AB9</f>
        <v>0</v>
      </c>
      <c r="G43" s="922">
        <v>0</v>
      </c>
      <c r="H43" s="847"/>
    </row>
    <row r="44" spans="1:8">
      <c r="A44" s="893" t="str">
        <f>TEXT('5 - Project Risk Analysis Instr'!I22,)&amp;" ("&amp;TEXT(RA_uprmid,"##%")&amp;"ile)"</f>
        <v>Upper mid report range value= (65%ile)</v>
      </c>
      <c r="B44" s="875">
        <f t="shared" si="7"/>
        <v>0</v>
      </c>
      <c r="C44" s="898">
        <f>'Risk Assessment (1)'!AB11</f>
        <v>0</v>
      </c>
      <c r="D44" s="899">
        <f>'Risk Assessment (2)'!AB11</f>
        <v>0</v>
      </c>
      <c r="E44" s="899">
        <f>'Risk Assessment (3)'!AB11</f>
        <v>0</v>
      </c>
      <c r="F44" s="900">
        <f>'Risk Assessment (4)'!AB11</f>
        <v>0</v>
      </c>
      <c r="G44" s="922">
        <v>0</v>
      </c>
      <c r="H44" s="847"/>
    </row>
    <row r="45" spans="1:8" ht="13.5" thickBot="1">
      <c r="A45" s="901" t="str">
        <f>"Upper range reporting amount ("&amp;TEXT(RA_uprrange,"##%")&amp;"ile)"</f>
        <v>Upper range reporting amount (80%ile)</v>
      </c>
      <c r="B45" s="902">
        <f t="shared" si="7"/>
        <v>0</v>
      </c>
      <c r="C45" s="903">
        <f>'Risk Assessment (1)'!AB13</f>
        <v>0</v>
      </c>
      <c r="D45" s="904">
        <f>'Risk Assessment (2)'!AB13</f>
        <v>0</v>
      </c>
      <c r="E45" s="904">
        <f>'Risk Assessment (3)'!AB13</f>
        <v>0</v>
      </c>
      <c r="F45" s="905">
        <f>'Risk Assessment (4)'!AB13</f>
        <v>0</v>
      </c>
      <c r="G45" s="923">
        <v>0</v>
      </c>
      <c r="H45" s="847"/>
    </row>
    <row r="46" spans="1:8" ht="13.5" thickBot="1">
      <c r="A46" s="906" t="s">
        <v>71</v>
      </c>
      <c r="B46" s="907">
        <f t="shared" si="7"/>
        <v>0</v>
      </c>
      <c r="C46" s="908">
        <f>'Risk Assessment (1)'!RA_uprbnd</f>
        <v>0</v>
      </c>
      <c r="D46" s="909">
        <f>'Risk Assessment (2)'!RA_uprbnd</f>
        <v>0</v>
      </c>
      <c r="E46" s="909">
        <f>'Risk Assessment (3)'!RA_uprbnd</f>
        <v>0</v>
      </c>
      <c r="F46" s="910">
        <f>'Risk Assessment (4)'!RA_uprbnd</f>
        <v>0</v>
      </c>
      <c r="G46" s="924">
        <v>0</v>
      </c>
      <c r="H46" s="847"/>
    </row>
    <row r="47" spans="1:8">
      <c r="A47" s="847"/>
      <c r="B47" s="847"/>
      <c r="C47" s="847"/>
      <c r="D47" s="847"/>
      <c r="E47" s="847"/>
      <c r="F47" s="847"/>
      <c r="G47" s="847"/>
      <c r="H47" s="847"/>
    </row>
    <row r="56" spans="6:6">
      <c r="F56" s="241" t="s">
        <v>270</v>
      </c>
    </row>
  </sheetData>
  <sheetProtection algorithmName="SHA-512" hashValue="E/LE/aipqVSNT5McV7fp0e9oLs2MMvYyeQ1AbWcbP2ZKEmkX5Pv0VbizKiZZBvC3K+H0fGTNnLS4rAwYKWRIrg==" saltValue="CA96JfN32GmpPwdHNiMG/w==" spinCount="100000" sheet="1" formatCells="0" formatColumns="0" formatRows="0" insertColumns="0" insertRows="0"/>
  <mergeCells count="16">
    <mergeCell ref="G25:G28"/>
    <mergeCell ref="A1:B1"/>
    <mergeCell ref="C1:F1"/>
    <mergeCell ref="A25:B25"/>
    <mergeCell ref="A27:B27"/>
    <mergeCell ref="A10:B10"/>
    <mergeCell ref="A20:B20"/>
    <mergeCell ref="B8:B9"/>
    <mergeCell ref="A8:A9"/>
    <mergeCell ref="A7:B7"/>
    <mergeCell ref="C25:C28"/>
    <mergeCell ref="D25:D28"/>
    <mergeCell ref="E25:E28"/>
    <mergeCell ref="F25:F28"/>
    <mergeCell ref="G12:G23"/>
    <mergeCell ref="A26:B26"/>
  </mergeCells>
  <phoneticPr fontId="5" type="noConversion"/>
  <pageMargins left="0.75" right="0.75" top="1" bottom="1" header="0.5" footer="0.5"/>
  <pageSetup scale="56" orientation="portrait"/>
  <headerFooter alignWithMargins="0"/>
  <ignoredErrors>
    <ignoredError sqref="C29 D29:F29"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7885-C0D0-114A-9064-845A008CA97A}">
  <sheetPr codeName="Sheet27">
    <tabColor rgb="FF00B050"/>
  </sheetPr>
  <dimension ref="A1:K40"/>
  <sheetViews>
    <sheetView zoomScale="85" zoomScaleNormal="85" workbookViewId="0">
      <selection sqref="A1:K1"/>
    </sheetView>
  </sheetViews>
  <sheetFormatPr defaultColWidth="11.42578125" defaultRowHeight="12.75"/>
  <cols>
    <col min="1" max="1" width="5.42578125" customWidth="1"/>
    <col min="4" max="5" width="15.42578125" customWidth="1"/>
  </cols>
  <sheetData>
    <row r="1" spans="1:11" s="104" customFormat="1" ht="117.95" customHeight="1" thickBot="1">
      <c r="A1" s="1072" t="s">
        <v>586</v>
      </c>
      <c r="B1" s="1073"/>
      <c r="C1" s="1073"/>
      <c r="D1" s="1073"/>
      <c r="E1" s="1073"/>
      <c r="F1" s="1073"/>
      <c r="G1" s="1073"/>
      <c r="H1" s="1073"/>
      <c r="I1" s="1073"/>
      <c r="J1" s="1073"/>
      <c r="K1" s="1189"/>
    </row>
    <row r="2" spans="1:11">
      <c r="B2" s="606"/>
      <c r="C2" s="606"/>
      <c r="D2" s="606"/>
      <c r="E2" s="606"/>
      <c r="F2" s="606"/>
      <c r="G2" s="606"/>
      <c r="H2" s="606"/>
      <c r="I2" s="606"/>
      <c r="J2" s="606"/>
      <c r="K2" s="606"/>
    </row>
    <row r="3" spans="1:11">
      <c r="B3" s="606"/>
      <c r="C3" s="606"/>
      <c r="D3" s="606"/>
      <c r="E3" s="606"/>
      <c r="F3" s="606"/>
      <c r="G3" s="606"/>
      <c r="H3" s="606"/>
      <c r="I3" s="606"/>
      <c r="J3" s="606"/>
      <c r="K3" s="606"/>
    </row>
    <row r="4" spans="1:11">
      <c r="B4" s="606"/>
      <c r="C4" s="606"/>
      <c r="D4" s="606"/>
      <c r="E4" s="606"/>
      <c r="F4" s="606"/>
      <c r="G4" s="606"/>
      <c r="H4" s="606"/>
      <c r="I4" s="606"/>
      <c r="J4" s="606"/>
      <c r="K4" s="606"/>
    </row>
    <row r="5" spans="1:11">
      <c r="B5" s="606"/>
      <c r="C5" s="606"/>
      <c r="D5" s="606"/>
      <c r="E5" s="606"/>
      <c r="F5" s="606"/>
      <c r="G5" s="606"/>
      <c r="H5" s="606"/>
      <c r="I5" s="606"/>
      <c r="J5" s="606"/>
      <c r="K5" s="606"/>
    </row>
    <row r="6" spans="1:11">
      <c r="B6" s="606"/>
      <c r="C6" s="606"/>
      <c r="D6" s="606"/>
      <c r="E6" s="606"/>
      <c r="F6" s="606"/>
      <c r="G6" s="606"/>
      <c r="H6" s="606"/>
      <c r="I6" s="606"/>
      <c r="J6" s="606"/>
      <c r="K6" s="606"/>
    </row>
    <row r="7" spans="1:11">
      <c r="B7" s="606"/>
      <c r="C7" s="606"/>
      <c r="D7" s="606"/>
      <c r="E7" s="606"/>
      <c r="F7" s="606"/>
      <c r="G7" s="606"/>
      <c r="H7" s="606"/>
      <c r="I7" s="606"/>
      <c r="J7" s="606"/>
      <c r="K7" s="606"/>
    </row>
    <row r="8" spans="1:11">
      <c r="B8" s="606"/>
      <c r="C8" s="606"/>
      <c r="D8" s="606"/>
      <c r="E8" s="606"/>
      <c r="F8" s="606"/>
      <c r="G8" s="606"/>
      <c r="H8" s="606"/>
      <c r="I8" s="606"/>
      <c r="J8" s="606"/>
      <c r="K8" s="606"/>
    </row>
    <row r="9" spans="1:11">
      <c r="B9" s="606"/>
      <c r="C9" s="606"/>
      <c r="D9" s="606"/>
      <c r="E9" s="606"/>
      <c r="F9" s="606"/>
      <c r="G9" s="606"/>
      <c r="H9" s="606"/>
      <c r="I9" s="606"/>
      <c r="J9" s="606"/>
      <c r="K9" s="606"/>
    </row>
    <row r="10" spans="1:11">
      <c r="B10" s="606"/>
      <c r="C10" s="606"/>
      <c r="D10" s="606"/>
      <c r="E10" s="606"/>
      <c r="F10" s="606"/>
      <c r="G10" s="606"/>
      <c r="H10" s="606"/>
      <c r="I10" s="606"/>
      <c r="J10" s="606"/>
      <c r="K10" s="606"/>
    </row>
    <row r="11" spans="1:11">
      <c r="B11" s="606"/>
      <c r="C11" s="606"/>
      <c r="D11" s="606"/>
      <c r="E11" s="606"/>
      <c r="F11" s="606"/>
      <c r="G11" s="606"/>
      <c r="H11" s="606"/>
      <c r="I11" s="606"/>
      <c r="J11" s="606"/>
      <c r="K11" s="606"/>
    </row>
    <row r="12" spans="1:11">
      <c r="B12" s="606"/>
      <c r="C12" s="606"/>
      <c r="D12" s="606"/>
      <c r="E12" s="606"/>
      <c r="F12" s="606"/>
      <c r="G12" s="606"/>
      <c r="H12" s="606"/>
      <c r="I12" s="606"/>
      <c r="J12" s="606"/>
      <c r="K12" s="606"/>
    </row>
    <row r="13" spans="1:11">
      <c r="B13" s="606"/>
      <c r="C13" s="606"/>
      <c r="D13" s="606"/>
      <c r="E13" s="606"/>
      <c r="F13" s="606"/>
      <c r="G13" s="606"/>
      <c r="H13" s="606"/>
      <c r="I13" s="606"/>
      <c r="J13" s="606"/>
      <c r="K13" s="606"/>
    </row>
    <row r="14" spans="1:11">
      <c r="B14" s="606"/>
      <c r="C14" s="606"/>
      <c r="D14" s="606"/>
      <c r="E14" s="606"/>
      <c r="F14" s="606"/>
      <c r="G14" s="606"/>
      <c r="H14" s="606"/>
      <c r="I14" s="606"/>
      <c r="J14" s="606"/>
      <c r="K14" s="606"/>
    </row>
    <row r="15" spans="1:11">
      <c r="B15" s="606"/>
      <c r="C15" s="606"/>
      <c r="D15" s="606"/>
      <c r="E15" s="606"/>
      <c r="F15" s="606"/>
      <c r="G15" s="606"/>
      <c r="H15" s="606"/>
      <c r="I15" s="606"/>
      <c r="J15" s="606"/>
      <c r="K15" s="606"/>
    </row>
    <row r="16" spans="1:11">
      <c r="B16" s="606"/>
      <c r="C16" s="606"/>
      <c r="D16" s="606"/>
      <c r="E16" s="606"/>
      <c r="F16" s="606"/>
      <c r="G16" s="606"/>
      <c r="H16" s="606"/>
      <c r="I16" s="606"/>
      <c r="J16" s="606"/>
      <c r="K16" s="606"/>
    </row>
    <row r="17" spans="2:11">
      <c r="B17" s="606"/>
      <c r="C17" s="606"/>
      <c r="D17" s="606"/>
      <c r="E17" s="606"/>
      <c r="F17" s="606"/>
      <c r="G17" s="606"/>
      <c r="H17" s="606"/>
      <c r="I17" s="606"/>
      <c r="J17" s="606"/>
      <c r="K17" s="606"/>
    </row>
    <row r="18" spans="2:11">
      <c r="B18" s="606"/>
      <c r="C18" s="606"/>
      <c r="D18" s="606"/>
      <c r="E18" s="606"/>
      <c r="F18" s="606"/>
      <c r="G18" s="606"/>
      <c r="H18" s="606"/>
      <c r="I18" s="606"/>
      <c r="J18" s="606"/>
      <c r="K18" s="606"/>
    </row>
    <row r="19" spans="2:11">
      <c r="B19" s="606"/>
      <c r="C19" s="606"/>
      <c r="D19" s="606"/>
      <c r="E19" s="606"/>
      <c r="F19" s="606"/>
      <c r="G19" s="606"/>
      <c r="H19" s="606"/>
      <c r="I19" s="606"/>
      <c r="J19" s="606"/>
      <c r="K19" s="606"/>
    </row>
    <row r="20" spans="2:11">
      <c r="B20" s="606"/>
      <c r="C20" s="606"/>
      <c r="D20" s="606"/>
      <c r="E20" s="606"/>
      <c r="F20" s="606"/>
      <c r="G20" s="606"/>
      <c r="H20" s="606"/>
      <c r="I20" s="606"/>
      <c r="J20" s="606"/>
      <c r="K20" s="606"/>
    </row>
    <row r="21" spans="2:11">
      <c r="B21" s="606"/>
      <c r="C21" s="606"/>
      <c r="D21" s="606"/>
      <c r="E21" s="606"/>
      <c r="F21" s="606"/>
      <c r="G21" s="606"/>
      <c r="H21" s="606"/>
      <c r="I21" s="606"/>
      <c r="J21" s="606"/>
      <c r="K21" s="606"/>
    </row>
    <row r="22" spans="2:11">
      <c r="B22" s="606"/>
      <c r="C22" s="606"/>
      <c r="D22" s="606"/>
      <c r="E22" s="606"/>
      <c r="F22" s="606"/>
      <c r="G22" s="606"/>
      <c r="H22" s="606"/>
      <c r="I22" s="606"/>
      <c r="J22" s="606"/>
      <c r="K22" s="606"/>
    </row>
    <row r="23" spans="2:11">
      <c r="B23" s="606"/>
      <c r="C23" s="606"/>
      <c r="D23" s="606"/>
      <c r="E23" s="606"/>
      <c r="F23" s="606"/>
      <c r="G23" s="606"/>
      <c r="H23" s="606"/>
      <c r="I23" s="606"/>
      <c r="J23" s="606"/>
      <c r="K23" s="606"/>
    </row>
    <row r="24" spans="2:11">
      <c r="B24" s="606"/>
      <c r="C24" s="606"/>
      <c r="D24" s="606"/>
      <c r="E24" s="606"/>
      <c r="F24" s="606"/>
      <c r="G24" s="606"/>
      <c r="H24" s="606"/>
      <c r="I24" s="606"/>
      <c r="J24" s="606"/>
      <c r="K24" s="606"/>
    </row>
    <row r="25" spans="2:11">
      <c r="B25" s="606"/>
      <c r="C25" s="606"/>
      <c r="D25" s="606"/>
      <c r="E25" s="606"/>
      <c r="F25" s="606"/>
      <c r="G25" s="606"/>
      <c r="H25" s="606"/>
      <c r="I25" s="606"/>
      <c r="J25" s="606"/>
      <c r="K25" s="606"/>
    </row>
    <row r="26" spans="2:11">
      <c r="B26" s="606"/>
      <c r="C26" s="606"/>
      <c r="D26" s="606"/>
      <c r="E26" s="606"/>
      <c r="F26" s="606"/>
      <c r="G26" s="606"/>
      <c r="H26" s="606"/>
      <c r="I26" s="606"/>
      <c r="J26" s="606"/>
      <c r="K26" s="606"/>
    </row>
    <row r="27" spans="2:11">
      <c r="B27" s="606"/>
      <c r="C27" s="606"/>
      <c r="D27" s="606"/>
      <c r="E27" s="606"/>
      <c r="F27" s="606"/>
      <c r="G27" s="606"/>
      <c r="H27" s="606"/>
      <c r="I27" s="606"/>
      <c r="J27" s="606"/>
      <c r="K27" s="606"/>
    </row>
    <row r="28" spans="2:11">
      <c r="B28" s="606"/>
      <c r="C28" s="606"/>
      <c r="D28" s="606"/>
      <c r="E28" s="606"/>
      <c r="F28" s="606"/>
      <c r="G28" s="606"/>
      <c r="H28" s="606"/>
      <c r="I28" s="606"/>
      <c r="J28" s="606"/>
      <c r="K28" s="606"/>
    </row>
    <row r="29" spans="2:11">
      <c r="B29" s="606"/>
      <c r="C29" s="606"/>
      <c r="D29" s="606"/>
      <c r="E29" s="606"/>
      <c r="F29" s="606"/>
      <c r="G29" s="606"/>
      <c r="H29" s="606"/>
      <c r="I29" s="606"/>
      <c r="J29" s="606"/>
      <c r="K29" s="606"/>
    </row>
    <row r="30" spans="2:11">
      <c r="B30" s="606"/>
      <c r="C30" s="606"/>
      <c r="D30" s="606"/>
      <c r="E30" s="606"/>
      <c r="F30" s="606"/>
      <c r="G30" s="606"/>
      <c r="H30" s="606"/>
      <c r="I30" s="606"/>
      <c r="J30" s="606"/>
      <c r="K30" s="606"/>
    </row>
    <row r="31" spans="2:11">
      <c r="B31" s="606"/>
      <c r="C31" s="606"/>
      <c r="D31" s="606"/>
      <c r="E31" s="606"/>
      <c r="F31" s="606"/>
      <c r="G31" s="606"/>
      <c r="H31" s="606"/>
      <c r="I31" s="606"/>
      <c r="J31" s="606"/>
      <c r="K31" s="606"/>
    </row>
    <row r="32" spans="2:11">
      <c r="B32" s="606"/>
      <c r="C32" s="606"/>
      <c r="D32" s="606"/>
      <c r="E32" s="606"/>
      <c r="F32" s="606"/>
      <c r="G32" s="606"/>
      <c r="H32" s="606"/>
      <c r="I32" s="606"/>
      <c r="J32" s="606"/>
      <c r="K32" s="606"/>
    </row>
    <row r="33" spans="2:11" ht="13.5" thickBot="1">
      <c r="B33" s="606"/>
      <c r="C33" s="606"/>
      <c r="D33" s="606"/>
      <c r="E33" s="606"/>
      <c r="F33" s="606"/>
      <c r="G33" s="606"/>
      <c r="H33" s="606"/>
      <c r="I33" s="606"/>
      <c r="J33" s="606"/>
      <c r="K33" s="606"/>
    </row>
    <row r="34" spans="2:11" ht="13.5" thickBot="1">
      <c r="C34" s="1190" t="s">
        <v>293</v>
      </c>
      <c r="D34" s="1191"/>
      <c r="E34" s="1191"/>
      <c r="F34" s="1191"/>
      <c r="G34" s="103"/>
    </row>
    <row r="35" spans="2:11">
      <c r="C35" s="1192" t="s">
        <v>294</v>
      </c>
      <c r="D35" s="1193"/>
      <c r="E35" s="1193"/>
      <c r="F35" s="1193"/>
      <c r="G35" s="109">
        <f>'Risk Assessment Total'!AB4</f>
        <v>0</v>
      </c>
    </row>
    <row r="36" spans="2:11" ht="13.5" thickBot="1">
      <c r="C36" s="1194" t="s">
        <v>295</v>
      </c>
      <c r="D36" s="1195"/>
      <c r="E36" s="1195"/>
      <c r="F36" s="1195"/>
      <c r="G36" s="110">
        <f>'Risk Assessment Total'!AB15</f>
        <v>0</v>
      </c>
    </row>
    <row r="37" spans="2:11" ht="13.5" thickBot="1"/>
    <row r="38" spans="2:11" ht="13.5" thickBot="1">
      <c r="C38" s="1183" t="s">
        <v>296</v>
      </c>
      <c r="D38" s="1184"/>
      <c r="E38" s="1184"/>
      <c r="F38" s="111" t="s">
        <v>196</v>
      </c>
      <c r="G38" s="112" t="s">
        <v>197</v>
      </c>
    </row>
    <row r="39" spans="2:11">
      <c r="C39" s="1185" t="s">
        <v>587</v>
      </c>
      <c r="D39" s="1186"/>
      <c r="E39" s="1186"/>
      <c r="F39" s="106">
        <f>'Risk Assessment Total'!AA22</f>
        <v>0</v>
      </c>
      <c r="G39" s="107">
        <f>SpBYEst</f>
        <v>0</v>
      </c>
    </row>
    <row r="40" spans="2:11" ht="13.5" thickBot="1">
      <c r="C40" s="1187" t="s">
        <v>492</v>
      </c>
      <c r="D40" s="1188"/>
      <c r="E40" s="1188"/>
      <c r="F40" s="105">
        <f>RA_contingency_percent</f>
        <v>0.65</v>
      </c>
      <c r="G40" s="108">
        <f>'Risk Assessment Analysis'!B44</f>
        <v>0</v>
      </c>
    </row>
  </sheetData>
  <sheetProtection algorithmName="SHA-512" hashValue="L4AAQngcwjQymSnjAI2Y2etaGeP4n0ee5foX8LOnDi4Rmfwts7/3roCruT2QAGiqfUyxCovc8/mOVvFw6RHOMA==" saltValue="iKYbOCe8k1ws6B2L5j+0WQ==" spinCount="100000" sheet="1" scenarios="1" formatCells="0" formatColumns="0" formatRows="0"/>
  <mergeCells count="7">
    <mergeCell ref="C38:E38"/>
    <mergeCell ref="C39:E39"/>
    <mergeCell ref="C40:E40"/>
    <mergeCell ref="A1:K1"/>
    <mergeCell ref="C34:F34"/>
    <mergeCell ref="C35:F35"/>
    <mergeCell ref="C36:F36"/>
  </mergeCells>
  <pageMargins left="0.7" right="0.7" top="0.75" bottom="0.75" header="0.3" footer="0.3"/>
  <pageSetup orientation="portrait" horizontalDpi="0" verticalDpi="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B2D3-7A0B-D741-8D46-36E24BED8005}">
  <sheetPr codeName="Sheet28">
    <tabColor theme="0" tint="-0.499984740745262"/>
  </sheetPr>
  <dimension ref="A1"/>
  <sheetViews>
    <sheetView workbookViewId="0">
      <selection activeCell="M4" sqref="M4"/>
    </sheetView>
  </sheetViews>
  <sheetFormatPr defaultColWidth="11.42578125" defaultRowHeight="12.75"/>
  <cols>
    <col min="1" max="1" width="2.42578125" style="511" customWidth="1"/>
  </cols>
  <sheetData>
    <row r="1" s="511" customFormat="1"/>
  </sheetData>
  <sheetProtection algorithmName="SHA-512" hashValue="6Lod9ZFRF0CjnWWiOowV08oFalJL3wIxQOTh70BjWdjv1ho9QCZjWZY2QRunWn3kyYMDSR2PnJN20fcJojsZDg==" saltValue="nnDpLDKx79XhmVK6BFM8XA==" spinCount="100000" sheet="1" scenarios="1" formatCells="0" formatColumns="0" formatRows="0"/>
  <pageMargins left="0.7" right="0.7" top="0.75" bottom="0.75" header="0.3" footer="0.3"/>
  <pageSetup orientation="portrait" horizontalDpi="0" verticalDpi="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0" tint="-0.499984740745262"/>
  </sheetPr>
  <dimension ref="A1:CO79"/>
  <sheetViews>
    <sheetView zoomScale="85" zoomScaleNormal="85" workbookViewId="0">
      <pane xSplit="3" ySplit="3" topLeftCell="D4" activePane="bottomRight" state="frozen"/>
      <selection pane="topRight" activeCell="D1" sqref="D1"/>
      <selection pane="bottomLeft" activeCell="A4" sqref="A4"/>
      <selection pane="bottomRight" sqref="A1:CO1"/>
    </sheetView>
  </sheetViews>
  <sheetFormatPr defaultColWidth="8.85546875" defaultRowHeight="12.75"/>
  <cols>
    <col min="1" max="1" width="10.140625" customWidth="1"/>
    <col min="2" max="2" width="60.5703125" customWidth="1"/>
    <col min="3" max="3" width="1.42578125" customWidth="1"/>
    <col min="4" max="11" width="5.85546875" customWidth="1"/>
    <col min="12" max="12" width="6.5703125" customWidth="1"/>
    <col min="13" max="13" width="1.42578125" customWidth="1"/>
    <col min="14" max="21" width="5.85546875" customWidth="1"/>
    <col min="22" max="22" width="6.5703125" customWidth="1"/>
    <col min="23" max="23" width="1.42578125" customWidth="1"/>
    <col min="24" max="31" width="5.85546875" customWidth="1"/>
    <col min="32" max="32" width="6.42578125" customWidth="1"/>
    <col min="33" max="33" width="1.42578125" customWidth="1"/>
    <col min="34" max="41" width="5.85546875" customWidth="1"/>
    <col min="42" max="42" width="6.5703125" customWidth="1"/>
    <col min="43" max="43" width="1.42578125" customWidth="1"/>
    <col min="44" max="51" width="5.85546875" customWidth="1"/>
    <col min="52" max="52" width="6.140625" customWidth="1"/>
    <col min="53" max="53" width="1.42578125" customWidth="1"/>
    <col min="54" max="61" width="5.85546875" customWidth="1"/>
    <col min="62" max="62" width="6.5703125" customWidth="1"/>
    <col min="63" max="63" width="1.42578125" customWidth="1"/>
    <col min="64" max="71" width="5.85546875" customWidth="1"/>
    <col min="72" max="72" width="6.5703125" customWidth="1"/>
    <col min="73" max="73" width="1.42578125" customWidth="1"/>
    <col min="74" max="81" width="5.85546875" customWidth="1"/>
    <col min="82" max="82" width="6.5703125" customWidth="1"/>
    <col min="83" max="83" width="1.42578125" customWidth="1"/>
    <col min="84" max="91" width="5.85546875" customWidth="1"/>
    <col min="92" max="92" width="6.7109375" customWidth="1"/>
    <col min="93" max="93" width="1.42578125" customWidth="1"/>
  </cols>
  <sheetData>
    <row r="1" spans="1:93" s="770" customFormat="1" ht="45" customHeight="1" thickBot="1">
      <c r="A1" s="1204" t="s">
        <v>530</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c r="AB1" s="1205"/>
      <c r="AC1" s="1205"/>
      <c r="AD1" s="1205"/>
      <c r="AE1" s="1205"/>
      <c r="AF1" s="1205"/>
      <c r="AG1" s="1205"/>
      <c r="AH1" s="1205"/>
      <c r="AI1" s="1205"/>
      <c r="AJ1" s="1205"/>
      <c r="AK1" s="1205"/>
      <c r="AL1" s="1205"/>
      <c r="AM1" s="1205"/>
      <c r="AN1" s="1205"/>
      <c r="AO1" s="1205"/>
      <c r="AP1" s="1205"/>
      <c r="AQ1" s="1205"/>
      <c r="AR1" s="1205"/>
      <c r="AS1" s="1205"/>
      <c r="AT1" s="1205"/>
      <c r="AU1" s="1205"/>
      <c r="AV1" s="1205"/>
      <c r="AW1" s="1205"/>
      <c r="AX1" s="1205"/>
      <c r="AY1" s="1205"/>
      <c r="AZ1" s="1205"/>
      <c r="BA1" s="1205"/>
      <c r="BB1" s="1205"/>
      <c r="BC1" s="1205"/>
      <c r="BD1" s="1205"/>
      <c r="BE1" s="1205"/>
      <c r="BF1" s="1205"/>
      <c r="BG1" s="1205"/>
      <c r="BH1" s="1205"/>
      <c r="BI1" s="1205"/>
      <c r="BJ1" s="1205"/>
      <c r="BK1" s="1205"/>
      <c r="BL1" s="1205"/>
      <c r="BM1" s="1205"/>
      <c r="BN1" s="1205"/>
      <c r="BO1" s="1205"/>
      <c r="BP1" s="1205"/>
      <c r="BQ1" s="1205"/>
      <c r="BR1" s="1205"/>
      <c r="BS1" s="1205"/>
      <c r="BT1" s="1205"/>
      <c r="BU1" s="1205"/>
      <c r="BV1" s="1205"/>
      <c r="BW1" s="1205"/>
      <c r="BX1" s="1205"/>
      <c r="BY1" s="1205"/>
      <c r="BZ1" s="1205"/>
      <c r="CA1" s="1205"/>
      <c r="CB1" s="1205"/>
      <c r="CC1" s="1205"/>
      <c r="CD1" s="1205"/>
      <c r="CE1" s="1205"/>
      <c r="CF1" s="1205"/>
      <c r="CG1" s="1205"/>
      <c r="CH1" s="1205"/>
      <c r="CI1" s="1205"/>
      <c r="CJ1" s="1205"/>
      <c r="CK1" s="1205"/>
      <c r="CL1" s="1205"/>
      <c r="CM1" s="1205"/>
      <c r="CN1" s="1205"/>
      <c r="CO1" s="1205"/>
    </row>
    <row r="2" spans="1:93" ht="26.25" customHeight="1">
      <c r="A2" s="1196" t="s">
        <v>99</v>
      </c>
      <c r="B2" s="1202"/>
      <c r="C2" s="168"/>
      <c r="D2" s="1196" t="s">
        <v>298</v>
      </c>
      <c r="E2" s="1197"/>
      <c r="F2" s="1198"/>
      <c r="G2" s="1198"/>
      <c r="H2" s="1198"/>
      <c r="I2" s="1198"/>
      <c r="J2" s="1198"/>
      <c r="K2" s="1198"/>
      <c r="L2" s="1199"/>
      <c r="M2" s="168"/>
      <c r="N2" s="1196" t="s">
        <v>299</v>
      </c>
      <c r="O2" s="1197"/>
      <c r="P2" s="1198"/>
      <c r="Q2" s="1198"/>
      <c r="R2" s="1198"/>
      <c r="S2" s="1198"/>
      <c r="T2" s="1198"/>
      <c r="U2" s="1198"/>
      <c r="V2" s="1199"/>
      <c r="W2" s="168"/>
      <c r="X2" s="1196" t="s">
        <v>300</v>
      </c>
      <c r="Y2" s="1197"/>
      <c r="Z2" s="1198"/>
      <c r="AA2" s="1198"/>
      <c r="AB2" s="1198"/>
      <c r="AC2" s="1198"/>
      <c r="AD2" s="1198"/>
      <c r="AE2" s="1198"/>
      <c r="AF2" s="1199"/>
      <c r="AG2" s="168"/>
      <c r="AH2" s="1196" t="s">
        <v>368</v>
      </c>
      <c r="AI2" s="1197"/>
      <c r="AJ2" s="1198"/>
      <c r="AK2" s="1198"/>
      <c r="AL2" s="1198"/>
      <c r="AM2" s="1198"/>
      <c r="AN2" s="1198"/>
      <c r="AO2" s="1198"/>
      <c r="AP2" s="1199"/>
      <c r="AQ2" s="168"/>
      <c r="AR2" s="1196" t="s">
        <v>369</v>
      </c>
      <c r="AS2" s="1197"/>
      <c r="AT2" s="1198"/>
      <c r="AU2" s="1198"/>
      <c r="AV2" s="1198"/>
      <c r="AW2" s="1198"/>
      <c r="AX2" s="1198"/>
      <c r="AY2" s="1198"/>
      <c r="AZ2" s="1199"/>
      <c r="BA2" s="168"/>
      <c r="BB2" s="1196" t="s">
        <v>370</v>
      </c>
      <c r="BC2" s="1197"/>
      <c r="BD2" s="1198"/>
      <c r="BE2" s="1198"/>
      <c r="BF2" s="1198"/>
      <c r="BG2" s="1198"/>
      <c r="BH2" s="1198"/>
      <c r="BI2" s="1198"/>
      <c r="BJ2" s="1199"/>
      <c r="BK2" s="168"/>
      <c r="BL2" s="1196" t="s">
        <v>371</v>
      </c>
      <c r="BM2" s="1197"/>
      <c r="BN2" s="1198"/>
      <c r="BO2" s="1198"/>
      <c r="BP2" s="1198"/>
      <c r="BQ2" s="1198"/>
      <c r="BR2" s="1198"/>
      <c r="BS2" s="1198"/>
      <c r="BT2" s="1199"/>
      <c r="BU2" s="168"/>
      <c r="BV2" s="1196" t="s">
        <v>372</v>
      </c>
      <c r="BW2" s="1197"/>
      <c r="BX2" s="1198"/>
      <c r="BY2" s="1198"/>
      <c r="BZ2" s="1198"/>
      <c r="CA2" s="1198"/>
      <c r="CB2" s="1198"/>
      <c r="CC2" s="1198"/>
      <c r="CD2" s="1199"/>
      <c r="CE2" s="168"/>
      <c r="CF2" s="1196" t="s">
        <v>373</v>
      </c>
      <c r="CG2" s="1197"/>
      <c r="CH2" s="1198"/>
      <c r="CI2" s="1198"/>
      <c r="CJ2" s="1198"/>
      <c r="CK2" s="1198"/>
      <c r="CL2" s="1198"/>
      <c r="CM2" s="1198"/>
      <c r="CN2" s="1199"/>
      <c r="CO2" s="154"/>
    </row>
    <row r="3" spans="1:93" ht="38.25">
      <c r="A3" s="36" t="s">
        <v>11</v>
      </c>
      <c r="B3" s="48" t="s">
        <v>12</v>
      </c>
      <c r="C3" s="158"/>
      <c r="D3" s="1203" t="s">
        <v>2</v>
      </c>
      <c r="E3" s="1201"/>
      <c r="F3" s="1200" t="s">
        <v>3</v>
      </c>
      <c r="G3" s="1201"/>
      <c r="H3" s="1200" t="s">
        <v>4</v>
      </c>
      <c r="I3" s="1201"/>
      <c r="J3" s="1200" t="s">
        <v>5</v>
      </c>
      <c r="K3" s="1201"/>
      <c r="L3" s="169" t="s">
        <v>6</v>
      </c>
      <c r="M3" s="158"/>
      <c r="N3" s="1203" t="s">
        <v>2</v>
      </c>
      <c r="O3" s="1201"/>
      <c r="P3" s="1200" t="s">
        <v>3</v>
      </c>
      <c r="Q3" s="1201"/>
      <c r="R3" s="1200" t="s">
        <v>4</v>
      </c>
      <c r="S3" s="1201"/>
      <c r="T3" s="1200" t="s">
        <v>5</v>
      </c>
      <c r="U3" s="1201"/>
      <c r="V3" s="169" t="s">
        <v>6</v>
      </c>
      <c r="W3" s="158"/>
      <c r="X3" s="1203" t="s">
        <v>2</v>
      </c>
      <c r="Y3" s="1201"/>
      <c r="Z3" s="1200" t="s">
        <v>3</v>
      </c>
      <c r="AA3" s="1201"/>
      <c r="AB3" s="1200" t="s">
        <v>4</v>
      </c>
      <c r="AC3" s="1201"/>
      <c r="AD3" s="1200" t="s">
        <v>5</v>
      </c>
      <c r="AE3" s="1201"/>
      <c r="AF3" s="169" t="s">
        <v>6</v>
      </c>
      <c r="AG3" s="158"/>
      <c r="AH3" s="1203" t="s">
        <v>2</v>
      </c>
      <c r="AI3" s="1201"/>
      <c r="AJ3" s="1200" t="s">
        <v>3</v>
      </c>
      <c r="AK3" s="1201"/>
      <c r="AL3" s="1200" t="s">
        <v>4</v>
      </c>
      <c r="AM3" s="1201"/>
      <c r="AN3" s="1200" t="s">
        <v>5</v>
      </c>
      <c r="AO3" s="1201"/>
      <c r="AP3" s="169" t="s">
        <v>6</v>
      </c>
      <c r="AQ3" s="158"/>
      <c r="AR3" s="1203" t="s">
        <v>2</v>
      </c>
      <c r="AS3" s="1201"/>
      <c r="AT3" s="1200" t="s">
        <v>3</v>
      </c>
      <c r="AU3" s="1201"/>
      <c r="AV3" s="1200" t="s">
        <v>4</v>
      </c>
      <c r="AW3" s="1201"/>
      <c r="AX3" s="1200" t="s">
        <v>5</v>
      </c>
      <c r="AY3" s="1201"/>
      <c r="AZ3" s="169" t="s">
        <v>6</v>
      </c>
      <c r="BA3" s="158"/>
      <c r="BB3" s="1203" t="s">
        <v>2</v>
      </c>
      <c r="BC3" s="1201"/>
      <c r="BD3" s="1200" t="s">
        <v>3</v>
      </c>
      <c r="BE3" s="1201"/>
      <c r="BF3" s="1200" t="s">
        <v>4</v>
      </c>
      <c r="BG3" s="1201"/>
      <c r="BH3" s="1200" t="s">
        <v>5</v>
      </c>
      <c r="BI3" s="1201"/>
      <c r="BJ3" s="169" t="s">
        <v>6</v>
      </c>
      <c r="BK3" s="158"/>
      <c r="BL3" s="1203" t="s">
        <v>2</v>
      </c>
      <c r="BM3" s="1201"/>
      <c r="BN3" s="1200" t="s">
        <v>3</v>
      </c>
      <c r="BO3" s="1201"/>
      <c r="BP3" s="1200" t="s">
        <v>4</v>
      </c>
      <c r="BQ3" s="1201"/>
      <c r="BR3" s="1200" t="s">
        <v>5</v>
      </c>
      <c r="BS3" s="1201"/>
      <c r="BT3" s="169" t="s">
        <v>6</v>
      </c>
      <c r="BU3" s="158"/>
      <c r="BV3" s="1203" t="s">
        <v>2</v>
      </c>
      <c r="BW3" s="1201"/>
      <c r="BX3" s="1200" t="s">
        <v>3</v>
      </c>
      <c r="BY3" s="1201"/>
      <c r="BZ3" s="1200" t="s">
        <v>4</v>
      </c>
      <c r="CA3" s="1201"/>
      <c r="CB3" s="1200" t="s">
        <v>5</v>
      </c>
      <c r="CC3" s="1201"/>
      <c r="CD3" s="169" t="s">
        <v>6</v>
      </c>
      <c r="CE3" s="158"/>
      <c r="CF3" s="1203" t="s">
        <v>2</v>
      </c>
      <c r="CG3" s="1201"/>
      <c r="CH3" s="1200" t="s">
        <v>3</v>
      </c>
      <c r="CI3" s="1201"/>
      <c r="CJ3" s="1200" t="s">
        <v>4</v>
      </c>
      <c r="CK3" s="1201"/>
      <c r="CL3" s="1200" t="s">
        <v>5</v>
      </c>
      <c r="CM3" s="1201"/>
      <c r="CN3" s="169" t="s">
        <v>6</v>
      </c>
      <c r="CO3" s="155"/>
    </row>
    <row r="4" spans="1:93">
      <c r="A4" s="39" t="s">
        <v>165</v>
      </c>
      <c r="B4" s="56"/>
      <c r="C4" s="64"/>
      <c r="D4" s="170"/>
      <c r="E4" s="51"/>
      <c r="F4" s="166"/>
      <c r="G4" s="51"/>
      <c r="H4" s="166"/>
      <c r="I4" s="51"/>
      <c r="J4" s="159"/>
      <c r="K4" s="51"/>
      <c r="L4" s="171"/>
      <c r="M4" s="64"/>
      <c r="N4" s="170"/>
      <c r="O4" s="51"/>
      <c r="P4" s="166"/>
      <c r="Q4" s="51"/>
      <c r="R4" s="166"/>
      <c r="S4" s="51"/>
      <c r="T4" s="159"/>
      <c r="U4" s="51"/>
      <c r="V4" s="171"/>
      <c r="W4" s="64"/>
      <c r="X4" s="170"/>
      <c r="Y4" s="51"/>
      <c r="Z4" s="166"/>
      <c r="AA4" s="51"/>
      <c r="AB4" s="166"/>
      <c r="AC4" s="51"/>
      <c r="AD4" s="159"/>
      <c r="AE4" s="51"/>
      <c r="AF4" s="171"/>
      <c r="AG4" s="64"/>
      <c r="AH4" s="170"/>
      <c r="AI4" s="51"/>
      <c r="AJ4" s="166"/>
      <c r="AK4" s="51"/>
      <c r="AL4" s="166"/>
      <c r="AM4" s="51"/>
      <c r="AN4" s="159"/>
      <c r="AO4" s="51"/>
      <c r="AP4" s="171"/>
      <c r="AQ4" s="64"/>
      <c r="AR4" s="170"/>
      <c r="AS4" s="51"/>
      <c r="AT4" s="166"/>
      <c r="AU4" s="51"/>
      <c r="AV4" s="166"/>
      <c r="AW4" s="51"/>
      <c r="AX4" s="159"/>
      <c r="AY4" s="51"/>
      <c r="AZ4" s="171"/>
      <c r="BA4" s="64"/>
      <c r="BB4" s="170"/>
      <c r="BC4" s="51"/>
      <c r="BD4" s="166"/>
      <c r="BE4" s="51"/>
      <c r="BF4" s="166"/>
      <c r="BG4" s="51"/>
      <c r="BH4" s="159"/>
      <c r="BI4" s="51"/>
      <c r="BJ4" s="171"/>
      <c r="BK4" s="64"/>
      <c r="BL4" s="170"/>
      <c r="BM4" s="51"/>
      <c r="BN4" s="166"/>
      <c r="BO4" s="51"/>
      <c r="BP4" s="166"/>
      <c r="BQ4" s="51"/>
      <c r="BR4" s="159"/>
      <c r="BS4" s="51"/>
      <c r="BT4" s="171"/>
      <c r="BU4" s="64"/>
      <c r="BV4" s="170"/>
      <c r="BW4" s="51"/>
      <c r="BX4" s="166"/>
      <c r="BY4" s="51"/>
      <c r="BZ4" s="166"/>
      <c r="CA4" s="51"/>
      <c r="CB4" s="159"/>
      <c r="CC4" s="51"/>
      <c r="CD4" s="171"/>
      <c r="CE4" s="64"/>
      <c r="CF4" s="170"/>
      <c r="CG4" s="51"/>
      <c r="CH4" s="166"/>
      <c r="CI4" s="51"/>
      <c r="CJ4" s="166"/>
      <c r="CK4" s="51"/>
      <c r="CL4" s="159"/>
      <c r="CM4" s="51"/>
      <c r="CN4" s="171"/>
      <c r="CO4" s="156"/>
    </row>
    <row r="5" spans="1:93">
      <c r="A5" s="39">
        <v>10.01</v>
      </c>
      <c r="B5" s="56" t="s">
        <v>15</v>
      </c>
      <c r="C5" s="64"/>
      <c r="D5" s="172">
        <v>0.15</v>
      </c>
      <c r="E5" s="51"/>
      <c r="F5" s="160">
        <v>0.6</v>
      </c>
      <c r="G5" s="51"/>
      <c r="H5" s="160">
        <v>0.25</v>
      </c>
      <c r="I5" s="51"/>
      <c r="J5" s="160">
        <v>0.45</v>
      </c>
      <c r="K5" s="51"/>
      <c r="L5" s="173">
        <v>0.05</v>
      </c>
      <c r="M5" s="64"/>
      <c r="N5" s="172">
        <v>0.1</v>
      </c>
      <c r="O5" s="51"/>
      <c r="P5" s="160">
        <v>0.5</v>
      </c>
      <c r="Q5" s="51"/>
      <c r="R5" s="160">
        <f>AVERAGE(H5,AB5)</f>
        <v>0.25</v>
      </c>
      <c r="S5" s="51"/>
      <c r="T5" s="160">
        <f>AVERAGE(J5,AD5)</f>
        <v>0.45</v>
      </c>
      <c r="U5" s="51"/>
      <c r="V5" s="173">
        <f>AVERAGE(L5,AF5)</f>
        <v>0.05</v>
      </c>
      <c r="W5" s="64"/>
      <c r="X5" s="172">
        <v>0</v>
      </c>
      <c r="Y5" s="51"/>
      <c r="Z5" s="160">
        <v>0.3</v>
      </c>
      <c r="AA5" s="51"/>
      <c r="AB5" s="160">
        <v>0.25</v>
      </c>
      <c r="AC5" s="51"/>
      <c r="AD5" s="160">
        <v>0.45</v>
      </c>
      <c r="AE5" s="51"/>
      <c r="AF5" s="173">
        <v>0.05</v>
      </c>
      <c r="AG5" s="64"/>
      <c r="AH5" s="172">
        <v>0</v>
      </c>
      <c r="AI5" s="51"/>
      <c r="AJ5" s="160">
        <v>0.05</v>
      </c>
      <c r="AK5" s="51"/>
      <c r="AL5" s="160">
        <v>0.25</v>
      </c>
      <c r="AM5" s="51"/>
      <c r="AN5" s="160">
        <v>0.45</v>
      </c>
      <c r="AO5" s="51"/>
      <c r="AP5" s="173">
        <v>0.05</v>
      </c>
      <c r="AQ5" s="64"/>
      <c r="AR5" s="172">
        <v>0</v>
      </c>
      <c r="AS5" s="51"/>
      <c r="AT5" s="160">
        <v>0</v>
      </c>
      <c r="AU5" s="51"/>
      <c r="AV5" s="160">
        <v>0</v>
      </c>
      <c r="AW5" s="51"/>
      <c r="AX5" s="160">
        <v>0.45</v>
      </c>
      <c r="AY5" s="51"/>
      <c r="AZ5" s="173">
        <v>0.05</v>
      </c>
      <c r="BA5" s="64"/>
      <c r="BB5" s="172">
        <v>0</v>
      </c>
      <c r="BC5" s="51"/>
      <c r="BD5" s="160">
        <v>0</v>
      </c>
      <c r="BE5" s="51"/>
      <c r="BF5" s="160">
        <v>0</v>
      </c>
      <c r="BG5" s="51"/>
      <c r="BH5" s="160">
        <v>0.3</v>
      </c>
      <c r="BI5" s="51"/>
      <c r="BJ5" s="173">
        <v>0.05</v>
      </c>
      <c r="BK5" s="64"/>
      <c r="BL5" s="172">
        <v>0</v>
      </c>
      <c r="BM5" s="51"/>
      <c r="BN5" s="160">
        <v>0</v>
      </c>
      <c r="BO5" s="51"/>
      <c r="BP5" s="160">
        <v>0</v>
      </c>
      <c r="BQ5" s="51"/>
      <c r="BR5" s="160">
        <v>0.15</v>
      </c>
      <c r="BS5" s="51"/>
      <c r="BT5" s="173">
        <v>0.05</v>
      </c>
      <c r="BU5" s="64"/>
      <c r="BV5" s="172">
        <v>0</v>
      </c>
      <c r="BW5" s="51"/>
      <c r="BX5" s="160">
        <v>0</v>
      </c>
      <c r="BY5" s="51"/>
      <c r="BZ5" s="160">
        <v>0</v>
      </c>
      <c r="CA5" s="51"/>
      <c r="CB5" s="160">
        <v>0.1</v>
      </c>
      <c r="CC5" s="51"/>
      <c r="CD5" s="173">
        <v>0.05</v>
      </c>
      <c r="CE5" s="64"/>
      <c r="CF5" s="172">
        <v>0</v>
      </c>
      <c r="CG5" s="51"/>
      <c r="CH5" s="160">
        <v>0</v>
      </c>
      <c r="CI5" s="51"/>
      <c r="CJ5" s="160">
        <v>0</v>
      </c>
      <c r="CK5" s="51"/>
      <c r="CL5" s="160">
        <v>0.05</v>
      </c>
      <c r="CM5" s="51"/>
      <c r="CN5" s="173">
        <v>0.05</v>
      </c>
      <c r="CO5" s="156"/>
    </row>
    <row r="6" spans="1:93">
      <c r="A6" s="39">
        <v>10.02</v>
      </c>
      <c r="B6" s="56" t="s">
        <v>16</v>
      </c>
      <c r="C6" s="64"/>
      <c r="D6" s="174">
        <v>0.15</v>
      </c>
      <c r="E6" s="51"/>
      <c r="F6" s="161">
        <v>0.6</v>
      </c>
      <c r="G6" s="51"/>
      <c r="H6" s="161">
        <v>0.25</v>
      </c>
      <c r="I6" s="51"/>
      <c r="J6" s="161">
        <v>0.45</v>
      </c>
      <c r="K6" s="51"/>
      <c r="L6" s="175">
        <v>0.05</v>
      </c>
      <c r="M6" s="64"/>
      <c r="N6" s="174">
        <v>0.1</v>
      </c>
      <c r="O6" s="51"/>
      <c r="P6" s="161">
        <v>0.5</v>
      </c>
      <c r="Q6" s="51"/>
      <c r="R6" s="161">
        <v>0.25</v>
      </c>
      <c r="S6" s="51"/>
      <c r="T6" s="161">
        <v>0.45</v>
      </c>
      <c r="U6" s="51"/>
      <c r="V6" s="175">
        <v>0.05</v>
      </c>
      <c r="W6" s="64"/>
      <c r="X6" s="174">
        <f>X$5</f>
        <v>0</v>
      </c>
      <c r="Y6" s="51"/>
      <c r="Z6" s="161">
        <f t="shared" ref="Z6:AF21" si="0">Z$5</f>
        <v>0.3</v>
      </c>
      <c r="AA6" s="51"/>
      <c r="AB6" s="161">
        <f t="shared" si="0"/>
        <v>0.25</v>
      </c>
      <c r="AC6" s="51"/>
      <c r="AD6" s="161">
        <f t="shared" si="0"/>
        <v>0.45</v>
      </c>
      <c r="AE6" s="51"/>
      <c r="AF6" s="175">
        <f t="shared" si="0"/>
        <v>0.05</v>
      </c>
      <c r="AG6" s="64"/>
      <c r="AH6" s="174">
        <v>0</v>
      </c>
      <c r="AI6" s="51"/>
      <c r="AJ6" s="161">
        <v>0.05</v>
      </c>
      <c r="AK6" s="51"/>
      <c r="AL6" s="161">
        <v>0.25</v>
      </c>
      <c r="AM6" s="51"/>
      <c r="AN6" s="161">
        <v>0.45</v>
      </c>
      <c r="AO6" s="51"/>
      <c r="AP6" s="175">
        <v>0.05</v>
      </c>
      <c r="AQ6" s="64"/>
      <c r="AR6" s="174">
        <v>0</v>
      </c>
      <c r="AS6" s="51"/>
      <c r="AT6" s="161">
        <v>0</v>
      </c>
      <c r="AU6" s="51"/>
      <c r="AV6" s="161">
        <v>0</v>
      </c>
      <c r="AW6" s="51"/>
      <c r="AX6" s="161">
        <v>0.45</v>
      </c>
      <c r="AY6" s="51"/>
      <c r="AZ6" s="175">
        <v>0.05</v>
      </c>
      <c r="BA6" s="64"/>
      <c r="BB6" s="174">
        <v>0</v>
      </c>
      <c r="BC6" s="51"/>
      <c r="BD6" s="161">
        <v>0</v>
      </c>
      <c r="BE6" s="51"/>
      <c r="BF6" s="161">
        <v>0</v>
      </c>
      <c r="BG6" s="51"/>
      <c r="BH6" s="161">
        <v>0.3</v>
      </c>
      <c r="BI6" s="51"/>
      <c r="BJ6" s="175">
        <v>0.05</v>
      </c>
      <c r="BK6" s="64"/>
      <c r="BL6" s="174">
        <v>0</v>
      </c>
      <c r="BM6" s="51"/>
      <c r="BN6" s="161">
        <v>0</v>
      </c>
      <c r="BO6" s="51"/>
      <c r="BP6" s="161">
        <v>0</v>
      </c>
      <c r="BQ6" s="51"/>
      <c r="BR6" s="161">
        <v>0.15</v>
      </c>
      <c r="BS6" s="51"/>
      <c r="BT6" s="175">
        <v>0.05</v>
      </c>
      <c r="BU6" s="64"/>
      <c r="BV6" s="174">
        <v>0</v>
      </c>
      <c r="BW6" s="51"/>
      <c r="BX6" s="161">
        <v>0</v>
      </c>
      <c r="BY6" s="51"/>
      <c r="BZ6" s="161">
        <v>0</v>
      </c>
      <c r="CA6" s="51"/>
      <c r="CB6" s="161">
        <v>0.1</v>
      </c>
      <c r="CC6" s="51"/>
      <c r="CD6" s="175">
        <v>0.05</v>
      </c>
      <c r="CE6" s="64"/>
      <c r="CF6" s="174">
        <v>0</v>
      </c>
      <c r="CG6" s="51"/>
      <c r="CH6" s="161">
        <v>0</v>
      </c>
      <c r="CI6" s="51"/>
      <c r="CJ6" s="161">
        <v>0</v>
      </c>
      <c r="CK6" s="51"/>
      <c r="CL6" s="161">
        <v>0.05</v>
      </c>
      <c r="CM6" s="51"/>
      <c r="CN6" s="175">
        <v>0.05</v>
      </c>
      <c r="CO6" s="156"/>
    </row>
    <row r="7" spans="1:93">
      <c r="A7" s="39">
        <v>10.029999999999999</v>
      </c>
      <c r="B7" s="56" t="s">
        <v>17</v>
      </c>
      <c r="C7" s="64"/>
      <c r="D7" s="174">
        <v>0.15</v>
      </c>
      <c r="E7" s="51"/>
      <c r="F7" s="161">
        <v>0.6</v>
      </c>
      <c r="G7" s="51"/>
      <c r="H7" s="161">
        <v>0.25</v>
      </c>
      <c r="I7" s="51"/>
      <c r="J7" s="161">
        <v>0.45</v>
      </c>
      <c r="K7" s="51"/>
      <c r="L7" s="175">
        <v>0.05</v>
      </c>
      <c r="M7" s="64"/>
      <c r="N7" s="174">
        <v>0.1</v>
      </c>
      <c r="O7" s="51"/>
      <c r="P7" s="161">
        <v>0.5</v>
      </c>
      <c r="Q7" s="51"/>
      <c r="R7" s="161">
        <v>0.25</v>
      </c>
      <c r="S7" s="51"/>
      <c r="T7" s="161">
        <v>0.45</v>
      </c>
      <c r="U7" s="51"/>
      <c r="V7" s="175">
        <v>0.05</v>
      </c>
      <c r="W7" s="64"/>
      <c r="X7" s="174">
        <f t="shared" ref="X7:X17" si="1">X$5</f>
        <v>0</v>
      </c>
      <c r="Y7" s="51"/>
      <c r="Z7" s="161">
        <f t="shared" si="0"/>
        <v>0.3</v>
      </c>
      <c r="AA7" s="51"/>
      <c r="AB7" s="161">
        <f t="shared" si="0"/>
        <v>0.25</v>
      </c>
      <c r="AC7" s="51"/>
      <c r="AD7" s="161">
        <f t="shared" si="0"/>
        <v>0.45</v>
      </c>
      <c r="AE7" s="51"/>
      <c r="AF7" s="175">
        <f t="shared" si="0"/>
        <v>0.05</v>
      </c>
      <c r="AG7" s="64"/>
      <c r="AH7" s="174">
        <v>0</v>
      </c>
      <c r="AI7" s="51"/>
      <c r="AJ7" s="161">
        <v>0.05</v>
      </c>
      <c r="AK7" s="51"/>
      <c r="AL7" s="161">
        <v>0.25</v>
      </c>
      <c r="AM7" s="51"/>
      <c r="AN7" s="161">
        <v>0.45</v>
      </c>
      <c r="AO7" s="51"/>
      <c r="AP7" s="175">
        <v>0.05</v>
      </c>
      <c r="AQ7" s="64"/>
      <c r="AR7" s="174">
        <v>0</v>
      </c>
      <c r="AS7" s="51"/>
      <c r="AT7" s="161">
        <v>0</v>
      </c>
      <c r="AU7" s="51"/>
      <c r="AV7" s="161">
        <v>0</v>
      </c>
      <c r="AW7" s="51"/>
      <c r="AX7" s="161">
        <v>0.45</v>
      </c>
      <c r="AY7" s="51"/>
      <c r="AZ7" s="175">
        <v>0.05</v>
      </c>
      <c r="BA7" s="64"/>
      <c r="BB7" s="174">
        <v>0</v>
      </c>
      <c r="BC7" s="51"/>
      <c r="BD7" s="161">
        <v>0</v>
      </c>
      <c r="BE7" s="51"/>
      <c r="BF7" s="161">
        <v>0</v>
      </c>
      <c r="BG7" s="51"/>
      <c r="BH7" s="161">
        <v>0.3</v>
      </c>
      <c r="BI7" s="51"/>
      <c r="BJ7" s="175">
        <v>0.05</v>
      </c>
      <c r="BK7" s="64"/>
      <c r="BL7" s="174">
        <v>0</v>
      </c>
      <c r="BM7" s="51"/>
      <c r="BN7" s="161">
        <v>0</v>
      </c>
      <c r="BO7" s="51"/>
      <c r="BP7" s="161">
        <v>0</v>
      </c>
      <c r="BQ7" s="51"/>
      <c r="BR7" s="161">
        <v>0.15</v>
      </c>
      <c r="BS7" s="51"/>
      <c r="BT7" s="175">
        <v>0.05</v>
      </c>
      <c r="BU7" s="64"/>
      <c r="BV7" s="174">
        <v>0</v>
      </c>
      <c r="BW7" s="51"/>
      <c r="BX7" s="161">
        <v>0</v>
      </c>
      <c r="BY7" s="51"/>
      <c r="BZ7" s="161">
        <v>0</v>
      </c>
      <c r="CA7" s="51"/>
      <c r="CB7" s="161">
        <v>0.1</v>
      </c>
      <c r="CC7" s="51"/>
      <c r="CD7" s="175">
        <v>0.05</v>
      </c>
      <c r="CE7" s="64"/>
      <c r="CF7" s="174">
        <v>0</v>
      </c>
      <c r="CG7" s="51"/>
      <c r="CH7" s="161">
        <v>0</v>
      </c>
      <c r="CI7" s="51"/>
      <c r="CJ7" s="161">
        <v>0</v>
      </c>
      <c r="CK7" s="51"/>
      <c r="CL7" s="161">
        <v>0.05</v>
      </c>
      <c r="CM7" s="51"/>
      <c r="CN7" s="175">
        <v>0.05</v>
      </c>
      <c r="CO7" s="156"/>
    </row>
    <row r="8" spans="1:93">
      <c r="A8" s="39">
        <v>10.039999999999999</v>
      </c>
      <c r="B8" s="56" t="s">
        <v>18</v>
      </c>
      <c r="C8" s="64"/>
      <c r="D8" s="174">
        <v>0.15</v>
      </c>
      <c r="E8" s="51"/>
      <c r="F8" s="161">
        <v>0.6</v>
      </c>
      <c r="G8" s="51"/>
      <c r="H8" s="161">
        <v>0.25</v>
      </c>
      <c r="I8" s="51"/>
      <c r="J8" s="161">
        <v>0.45</v>
      </c>
      <c r="K8" s="51"/>
      <c r="L8" s="175">
        <v>0.05</v>
      </c>
      <c r="M8" s="64"/>
      <c r="N8" s="174">
        <v>0.1</v>
      </c>
      <c r="O8" s="51"/>
      <c r="P8" s="161">
        <v>0.5</v>
      </c>
      <c r="Q8" s="51"/>
      <c r="R8" s="161">
        <v>0.25</v>
      </c>
      <c r="S8" s="51"/>
      <c r="T8" s="161">
        <v>0.45</v>
      </c>
      <c r="U8" s="51"/>
      <c r="V8" s="175">
        <v>0.05</v>
      </c>
      <c r="W8" s="64"/>
      <c r="X8" s="174">
        <f t="shared" si="1"/>
        <v>0</v>
      </c>
      <c r="Y8" s="51"/>
      <c r="Z8" s="161">
        <f t="shared" si="0"/>
        <v>0.3</v>
      </c>
      <c r="AA8" s="51"/>
      <c r="AB8" s="161">
        <f t="shared" si="0"/>
        <v>0.25</v>
      </c>
      <c r="AC8" s="51"/>
      <c r="AD8" s="161">
        <f t="shared" si="0"/>
        <v>0.45</v>
      </c>
      <c r="AE8" s="51"/>
      <c r="AF8" s="175">
        <f t="shared" si="0"/>
        <v>0.05</v>
      </c>
      <c r="AG8" s="64"/>
      <c r="AH8" s="174">
        <v>0</v>
      </c>
      <c r="AI8" s="51"/>
      <c r="AJ8" s="161">
        <v>0.05</v>
      </c>
      <c r="AK8" s="51"/>
      <c r="AL8" s="161">
        <v>0.25</v>
      </c>
      <c r="AM8" s="51"/>
      <c r="AN8" s="161">
        <v>0.45</v>
      </c>
      <c r="AO8" s="51"/>
      <c r="AP8" s="175">
        <v>0.05</v>
      </c>
      <c r="AQ8" s="64"/>
      <c r="AR8" s="174">
        <v>0</v>
      </c>
      <c r="AS8" s="51"/>
      <c r="AT8" s="161">
        <v>0</v>
      </c>
      <c r="AU8" s="51"/>
      <c r="AV8" s="161">
        <v>0</v>
      </c>
      <c r="AW8" s="51"/>
      <c r="AX8" s="161">
        <v>0.45</v>
      </c>
      <c r="AY8" s="51"/>
      <c r="AZ8" s="175">
        <v>0.05</v>
      </c>
      <c r="BA8" s="64"/>
      <c r="BB8" s="174">
        <v>0</v>
      </c>
      <c r="BC8" s="51"/>
      <c r="BD8" s="161">
        <v>0</v>
      </c>
      <c r="BE8" s="51"/>
      <c r="BF8" s="161">
        <v>0</v>
      </c>
      <c r="BG8" s="51"/>
      <c r="BH8" s="161">
        <v>0.3</v>
      </c>
      <c r="BI8" s="51"/>
      <c r="BJ8" s="175">
        <v>0.05</v>
      </c>
      <c r="BK8" s="64"/>
      <c r="BL8" s="174">
        <v>0</v>
      </c>
      <c r="BM8" s="51"/>
      <c r="BN8" s="161">
        <v>0</v>
      </c>
      <c r="BO8" s="51"/>
      <c r="BP8" s="161">
        <v>0</v>
      </c>
      <c r="BQ8" s="51"/>
      <c r="BR8" s="161">
        <v>0.15</v>
      </c>
      <c r="BS8" s="51"/>
      <c r="BT8" s="175">
        <v>0.05</v>
      </c>
      <c r="BU8" s="64"/>
      <c r="BV8" s="174">
        <v>0</v>
      </c>
      <c r="BW8" s="51"/>
      <c r="BX8" s="161">
        <v>0</v>
      </c>
      <c r="BY8" s="51"/>
      <c r="BZ8" s="161">
        <v>0</v>
      </c>
      <c r="CA8" s="51"/>
      <c r="CB8" s="161">
        <v>0.1</v>
      </c>
      <c r="CC8" s="51"/>
      <c r="CD8" s="175">
        <v>0.05</v>
      </c>
      <c r="CE8" s="64"/>
      <c r="CF8" s="174">
        <v>0</v>
      </c>
      <c r="CG8" s="51"/>
      <c r="CH8" s="161">
        <v>0</v>
      </c>
      <c r="CI8" s="51"/>
      <c r="CJ8" s="161">
        <v>0</v>
      </c>
      <c r="CK8" s="51"/>
      <c r="CL8" s="161">
        <v>0.05</v>
      </c>
      <c r="CM8" s="51"/>
      <c r="CN8" s="175">
        <v>0.05</v>
      </c>
      <c r="CO8" s="156"/>
    </row>
    <row r="9" spans="1:93">
      <c r="A9" s="39">
        <v>10.050000000000001</v>
      </c>
      <c r="B9" s="56" t="s">
        <v>19</v>
      </c>
      <c r="C9" s="64"/>
      <c r="D9" s="174">
        <v>0.15</v>
      </c>
      <c r="E9" s="51"/>
      <c r="F9" s="161">
        <v>0.6</v>
      </c>
      <c r="G9" s="51"/>
      <c r="H9" s="161">
        <v>0.25</v>
      </c>
      <c r="I9" s="51"/>
      <c r="J9" s="161">
        <v>0.45</v>
      </c>
      <c r="K9" s="51"/>
      <c r="L9" s="175">
        <v>0.05</v>
      </c>
      <c r="M9" s="64"/>
      <c r="N9" s="174">
        <v>0.1</v>
      </c>
      <c r="O9" s="51"/>
      <c r="P9" s="161">
        <v>0.5</v>
      </c>
      <c r="Q9" s="51"/>
      <c r="R9" s="161">
        <v>0.25</v>
      </c>
      <c r="S9" s="51"/>
      <c r="T9" s="161">
        <v>0.45</v>
      </c>
      <c r="U9" s="51"/>
      <c r="V9" s="175">
        <v>0.05</v>
      </c>
      <c r="W9" s="64"/>
      <c r="X9" s="174">
        <f t="shared" si="1"/>
        <v>0</v>
      </c>
      <c r="Y9" s="51"/>
      <c r="Z9" s="161">
        <f t="shared" si="0"/>
        <v>0.3</v>
      </c>
      <c r="AA9" s="51"/>
      <c r="AB9" s="161">
        <f t="shared" si="0"/>
        <v>0.25</v>
      </c>
      <c r="AC9" s="51"/>
      <c r="AD9" s="161">
        <f t="shared" si="0"/>
        <v>0.45</v>
      </c>
      <c r="AE9" s="51"/>
      <c r="AF9" s="175">
        <f t="shared" si="0"/>
        <v>0.05</v>
      </c>
      <c r="AG9" s="64"/>
      <c r="AH9" s="174">
        <v>0</v>
      </c>
      <c r="AI9" s="51"/>
      <c r="AJ9" s="161">
        <v>0.05</v>
      </c>
      <c r="AK9" s="51"/>
      <c r="AL9" s="161">
        <v>0.25</v>
      </c>
      <c r="AM9" s="51"/>
      <c r="AN9" s="161">
        <v>0.45</v>
      </c>
      <c r="AO9" s="51"/>
      <c r="AP9" s="175">
        <v>0.05</v>
      </c>
      <c r="AQ9" s="64"/>
      <c r="AR9" s="174">
        <v>0</v>
      </c>
      <c r="AS9" s="51"/>
      <c r="AT9" s="161">
        <v>0</v>
      </c>
      <c r="AU9" s="51"/>
      <c r="AV9" s="161">
        <v>0</v>
      </c>
      <c r="AW9" s="51"/>
      <c r="AX9" s="161">
        <v>0.45</v>
      </c>
      <c r="AY9" s="51"/>
      <c r="AZ9" s="175">
        <v>0.05</v>
      </c>
      <c r="BA9" s="64"/>
      <c r="BB9" s="174">
        <v>0</v>
      </c>
      <c r="BC9" s="51"/>
      <c r="BD9" s="161">
        <v>0</v>
      </c>
      <c r="BE9" s="51"/>
      <c r="BF9" s="161">
        <v>0</v>
      </c>
      <c r="BG9" s="51"/>
      <c r="BH9" s="161">
        <v>0.3</v>
      </c>
      <c r="BI9" s="51"/>
      <c r="BJ9" s="175">
        <v>0.05</v>
      </c>
      <c r="BK9" s="64"/>
      <c r="BL9" s="174">
        <v>0</v>
      </c>
      <c r="BM9" s="51"/>
      <c r="BN9" s="161">
        <v>0</v>
      </c>
      <c r="BO9" s="51"/>
      <c r="BP9" s="161">
        <v>0</v>
      </c>
      <c r="BQ9" s="51"/>
      <c r="BR9" s="161">
        <v>0.15</v>
      </c>
      <c r="BS9" s="51"/>
      <c r="BT9" s="175">
        <v>0.05</v>
      </c>
      <c r="BU9" s="64"/>
      <c r="BV9" s="174">
        <v>0</v>
      </c>
      <c r="BW9" s="51"/>
      <c r="BX9" s="161">
        <v>0</v>
      </c>
      <c r="BY9" s="51"/>
      <c r="BZ9" s="161">
        <v>0</v>
      </c>
      <c r="CA9" s="51"/>
      <c r="CB9" s="161">
        <v>0.1</v>
      </c>
      <c r="CC9" s="51"/>
      <c r="CD9" s="175">
        <v>0.05</v>
      </c>
      <c r="CE9" s="64"/>
      <c r="CF9" s="174">
        <v>0</v>
      </c>
      <c r="CG9" s="51"/>
      <c r="CH9" s="161">
        <v>0</v>
      </c>
      <c r="CI9" s="51"/>
      <c r="CJ9" s="161">
        <v>0</v>
      </c>
      <c r="CK9" s="51"/>
      <c r="CL9" s="161">
        <v>0.05</v>
      </c>
      <c r="CM9" s="51"/>
      <c r="CN9" s="175">
        <v>0.05</v>
      </c>
      <c r="CO9" s="156"/>
    </row>
    <row r="10" spans="1:93">
      <c r="A10" s="39">
        <v>10.06</v>
      </c>
      <c r="B10" s="56" t="s">
        <v>20</v>
      </c>
      <c r="C10" s="64"/>
      <c r="D10" s="174">
        <v>0.15</v>
      </c>
      <c r="E10" s="51"/>
      <c r="F10" s="161">
        <v>0.6</v>
      </c>
      <c r="G10" s="51"/>
      <c r="H10" s="161">
        <v>0.25</v>
      </c>
      <c r="I10" s="51"/>
      <c r="J10" s="161">
        <v>0.45</v>
      </c>
      <c r="K10" s="51"/>
      <c r="L10" s="175">
        <v>0.05</v>
      </c>
      <c r="M10" s="64"/>
      <c r="N10" s="174">
        <v>0.1</v>
      </c>
      <c r="O10" s="51"/>
      <c r="P10" s="161">
        <v>0.5</v>
      </c>
      <c r="Q10" s="51"/>
      <c r="R10" s="161">
        <v>0.25</v>
      </c>
      <c r="S10" s="51"/>
      <c r="T10" s="161">
        <v>0.45</v>
      </c>
      <c r="U10" s="51"/>
      <c r="V10" s="175">
        <v>0.05</v>
      </c>
      <c r="W10" s="64"/>
      <c r="X10" s="174">
        <f t="shared" si="1"/>
        <v>0</v>
      </c>
      <c r="Y10" s="51"/>
      <c r="Z10" s="161">
        <f t="shared" si="0"/>
        <v>0.3</v>
      </c>
      <c r="AA10" s="51"/>
      <c r="AB10" s="161">
        <f t="shared" si="0"/>
        <v>0.25</v>
      </c>
      <c r="AC10" s="51"/>
      <c r="AD10" s="161">
        <f t="shared" si="0"/>
        <v>0.45</v>
      </c>
      <c r="AE10" s="51"/>
      <c r="AF10" s="175">
        <f t="shared" si="0"/>
        <v>0.05</v>
      </c>
      <c r="AG10" s="64"/>
      <c r="AH10" s="174">
        <v>0</v>
      </c>
      <c r="AI10" s="51"/>
      <c r="AJ10" s="161">
        <v>0.05</v>
      </c>
      <c r="AK10" s="51"/>
      <c r="AL10" s="161">
        <v>0.25</v>
      </c>
      <c r="AM10" s="51"/>
      <c r="AN10" s="161">
        <v>0.45</v>
      </c>
      <c r="AO10" s="51"/>
      <c r="AP10" s="175">
        <v>0.05</v>
      </c>
      <c r="AQ10" s="64"/>
      <c r="AR10" s="174">
        <v>0</v>
      </c>
      <c r="AS10" s="51"/>
      <c r="AT10" s="161">
        <v>0</v>
      </c>
      <c r="AU10" s="51"/>
      <c r="AV10" s="161">
        <v>0</v>
      </c>
      <c r="AW10" s="51"/>
      <c r="AX10" s="161">
        <v>0.45</v>
      </c>
      <c r="AY10" s="51"/>
      <c r="AZ10" s="175">
        <v>0.05</v>
      </c>
      <c r="BA10" s="64"/>
      <c r="BB10" s="174">
        <v>0</v>
      </c>
      <c r="BC10" s="51"/>
      <c r="BD10" s="161">
        <v>0</v>
      </c>
      <c r="BE10" s="51"/>
      <c r="BF10" s="161">
        <v>0</v>
      </c>
      <c r="BG10" s="51"/>
      <c r="BH10" s="161">
        <v>0.3</v>
      </c>
      <c r="BI10" s="51"/>
      <c r="BJ10" s="175">
        <v>0.05</v>
      </c>
      <c r="BK10" s="64"/>
      <c r="BL10" s="174">
        <v>0</v>
      </c>
      <c r="BM10" s="51"/>
      <c r="BN10" s="161">
        <v>0</v>
      </c>
      <c r="BO10" s="51"/>
      <c r="BP10" s="161">
        <v>0</v>
      </c>
      <c r="BQ10" s="51"/>
      <c r="BR10" s="161">
        <v>0.15</v>
      </c>
      <c r="BS10" s="51"/>
      <c r="BT10" s="175">
        <v>0.05</v>
      </c>
      <c r="BU10" s="64"/>
      <c r="BV10" s="174">
        <v>0</v>
      </c>
      <c r="BW10" s="51"/>
      <c r="BX10" s="161">
        <v>0</v>
      </c>
      <c r="BY10" s="51"/>
      <c r="BZ10" s="161">
        <v>0</v>
      </c>
      <c r="CA10" s="51"/>
      <c r="CB10" s="161">
        <v>0.1</v>
      </c>
      <c r="CC10" s="51"/>
      <c r="CD10" s="175">
        <v>0.05</v>
      </c>
      <c r="CE10" s="64"/>
      <c r="CF10" s="174">
        <v>0</v>
      </c>
      <c r="CG10" s="51"/>
      <c r="CH10" s="161">
        <v>0</v>
      </c>
      <c r="CI10" s="51"/>
      <c r="CJ10" s="161">
        <v>0</v>
      </c>
      <c r="CK10" s="51"/>
      <c r="CL10" s="161">
        <v>0.05</v>
      </c>
      <c r="CM10" s="51"/>
      <c r="CN10" s="175">
        <v>0.05</v>
      </c>
      <c r="CO10" s="156"/>
    </row>
    <row r="11" spans="1:93">
      <c r="A11" s="39">
        <v>10.07</v>
      </c>
      <c r="B11" s="56" t="s">
        <v>21</v>
      </c>
      <c r="C11" s="64"/>
      <c r="D11" s="174">
        <v>0.15</v>
      </c>
      <c r="E11" s="51"/>
      <c r="F11" s="161">
        <v>0.6</v>
      </c>
      <c r="G11" s="51"/>
      <c r="H11" s="161">
        <v>0.25</v>
      </c>
      <c r="I11" s="51"/>
      <c r="J11" s="161">
        <v>0.45</v>
      </c>
      <c r="K11" s="51"/>
      <c r="L11" s="175">
        <v>0.05</v>
      </c>
      <c r="M11" s="64"/>
      <c r="N11" s="174">
        <v>0.1</v>
      </c>
      <c r="O11" s="51"/>
      <c r="P11" s="161">
        <v>0.5</v>
      </c>
      <c r="Q11" s="51"/>
      <c r="R11" s="161">
        <v>0.25</v>
      </c>
      <c r="S11" s="51"/>
      <c r="T11" s="161">
        <v>0.45</v>
      </c>
      <c r="U11" s="51"/>
      <c r="V11" s="175">
        <v>0.05</v>
      </c>
      <c r="W11" s="64"/>
      <c r="X11" s="174">
        <f t="shared" si="1"/>
        <v>0</v>
      </c>
      <c r="Y11" s="51"/>
      <c r="Z11" s="161">
        <f t="shared" si="0"/>
        <v>0.3</v>
      </c>
      <c r="AA11" s="51"/>
      <c r="AB11" s="161">
        <f t="shared" si="0"/>
        <v>0.25</v>
      </c>
      <c r="AC11" s="51"/>
      <c r="AD11" s="161">
        <f t="shared" si="0"/>
        <v>0.45</v>
      </c>
      <c r="AE11" s="51"/>
      <c r="AF11" s="175">
        <f t="shared" si="0"/>
        <v>0.05</v>
      </c>
      <c r="AG11" s="64"/>
      <c r="AH11" s="174">
        <v>0</v>
      </c>
      <c r="AI11" s="51"/>
      <c r="AJ11" s="161">
        <v>0.05</v>
      </c>
      <c r="AK11" s="51"/>
      <c r="AL11" s="161">
        <v>0.25</v>
      </c>
      <c r="AM11" s="51"/>
      <c r="AN11" s="161">
        <v>0.45</v>
      </c>
      <c r="AO11" s="51"/>
      <c r="AP11" s="175">
        <v>0.05</v>
      </c>
      <c r="AQ11" s="64"/>
      <c r="AR11" s="174">
        <v>0</v>
      </c>
      <c r="AS11" s="51"/>
      <c r="AT11" s="161">
        <v>0</v>
      </c>
      <c r="AU11" s="51"/>
      <c r="AV11" s="161">
        <v>0</v>
      </c>
      <c r="AW11" s="51"/>
      <c r="AX11" s="161">
        <v>0.45</v>
      </c>
      <c r="AY11" s="51"/>
      <c r="AZ11" s="175">
        <v>0.05</v>
      </c>
      <c r="BA11" s="64"/>
      <c r="BB11" s="174">
        <v>0</v>
      </c>
      <c r="BC11" s="51"/>
      <c r="BD11" s="161">
        <v>0</v>
      </c>
      <c r="BE11" s="51"/>
      <c r="BF11" s="161">
        <v>0</v>
      </c>
      <c r="BG11" s="51"/>
      <c r="BH11" s="161">
        <v>0.3</v>
      </c>
      <c r="BI11" s="51"/>
      <c r="BJ11" s="175">
        <v>0.05</v>
      </c>
      <c r="BK11" s="64"/>
      <c r="BL11" s="174">
        <v>0</v>
      </c>
      <c r="BM11" s="51"/>
      <c r="BN11" s="161">
        <v>0</v>
      </c>
      <c r="BO11" s="51"/>
      <c r="BP11" s="161">
        <v>0</v>
      </c>
      <c r="BQ11" s="51"/>
      <c r="BR11" s="161">
        <v>0.15</v>
      </c>
      <c r="BS11" s="51"/>
      <c r="BT11" s="175">
        <v>0.05</v>
      </c>
      <c r="BU11" s="64"/>
      <c r="BV11" s="174">
        <v>0</v>
      </c>
      <c r="BW11" s="51"/>
      <c r="BX11" s="161">
        <v>0</v>
      </c>
      <c r="BY11" s="51"/>
      <c r="BZ11" s="161">
        <v>0</v>
      </c>
      <c r="CA11" s="51"/>
      <c r="CB11" s="161">
        <v>0.1</v>
      </c>
      <c r="CC11" s="51"/>
      <c r="CD11" s="175">
        <v>0.05</v>
      </c>
      <c r="CE11" s="64"/>
      <c r="CF11" s="174">
        <v>0</v>
      </c>
      <c r="CG11" s="51"/>
      <c r="CH11" s="161">
        <v>0</v>
      </c>
      <c r="CI11" s="51"/>
      <c r="CJ11" s="161">
        <v>0</v>
      </c>
      <c r="CK11" s="51"/>
      <c r="CL11" s="161">
        <v>0.05</v>
      </c>
      <c r="CM11" s="51"/>
      <c r="CN11" s="175">
        <v>0.05</v>
      </c>
      <c r="CO11" s="156"/>
    </row>
    <row r="12" spans="1:93">
      <c r="A12" s="39">
        <v>10.08</v>
      </c>
      <c r="B12" s="56" t="s">
        <v>22</v>
      </c>
      <c r="C12" s="64"/>
      <c r="D12" s="174">
        <v>0.15</v>
      </c>
      <c r="E12" s="51"/>
      <c r="F12" s="161">
        <v>0.6</v>
      </c>
      <c r="G12" s="51"/>
      <c r="H12" s="161">
        <v>0.25</v>
      </c>
      <c r="I12" s="51"/>
      <c r="J12" s="161">
        <v>0.45</v>
      </c>
      <c r="K12" s="51"/>
      <c r="L12" s="175">
        <v>0.05</v>
      </c>
      <c r="M12" s="64"/>
      <c r="N12" s="174">
        <v>0.1</v>
      </c>
      <c r="O12" s="51"/>
      <c r="P12" s="161">
        <v>0.5</v>
      </c>
      <c r="Q12" s="51"/>
      <c r="R12" s="161">
        <v>0.25</v>
      </c>
      <c r="S12" s="51"/>
      <c r="T12" s="161">
        <v>0.45</v>
      </c>
      <c r="U12" s="51"/>
      <c r="V12" s="175">
        <v>0.05</v>
      </c>
      <c r="W12" s="64"/>
      <c r="X12" s="174">
        <f t="shared" si="1"/>
        <v>0</v>
      </c>
      <c r="Y12" s="51"/>
      <c r="Z12" s="161">
        <f t="shared" si="0"/>
        <v>0.3</v>
      </c>
      <c r="AA12" s="51"/>
      <c r="AB12" s="161">
        <f t="shared" si="0"/>
        <v>0.25</v>
      </c>
      <c r="AC12" s="51"/>
      <c r="AD12" s="161">
        <f t="shared" si="0"/>
        <v>0.45</v>
      </c>
      <c r="AE12" s="51"/>
      <c r="AF12" s="175">
        <f t="shared" si="0"/>
        <v>0.05</v>
      </c>
      <c r="AG12" s="64"/>
      <c r="AH12" s="174">
        <v>0</v>
      </c>
      <c r="AI12" s="51"/>
      <c r="AJ12" s="161">
        <v>0.05</v>
      </c>
      <c r="AK12" s="51"/>
      <c r="AL12" s="161">
        <v>0.25</v>
      </c>
      <c r="AM12" s="51"/>
      <c r="AN12" s="161">
        <v>0.45</v>
      </c>
      <c r="AO12" s="51"/>
      <c r="AP12" s="175">
        <v>0.05</v>
      </c>
      <c r="AQ12" s="64"/>
      <c r="AR12" s="174">
        <v>0</v>
      </c>
      <c r="AS12" s="51"/>
      <c r="AT12" s="161">
        <v>0</v>
      </c>
      <c r="AU12" s="51"/>
      <c r="AV12" s="161">
        <v>0</v>
      </c>
      <c r="AW12" s="51"/>
      <c r="AX12" s="161">
        <v>0.45</v>
      </c>
      <c r="AY12" s="51"/>
      <c r="AZ12" s="175">
        <v>0.05</v>
      </c>
      <c r="BA12" s="64"/>
      <c r="BB12" s="174">
        <v>0</v>
      </c>
      <c r="BC12" s="51"/>
      <c r="BD12" s="161">
        <v>0</v>
      </c>
      <c r="BE12" s="51"/>
      <c r="BF12" s="161">
        <v>0</v>
      </c>
      <c r="BG12" s="51"/>
      <c r="BH12" s="161">
        <v>0.3</v>
      </c>
      <c r="BI12" s="51"/>
      <c r="BJ12" s="175">
        <v>0.05</v>
      </c>
      <c r="BK12" s="64"/>
      <c r="BL12" s="174">
        <v>0</v>
      </c>
      <c r="BM12" s="51"/>
      <c r="BN12" s="161">
        <v>0</v>
      </c>
      <c r="BO12" s="51"/>
      <c r="BP12" s="161">
        <v>0</v>
      </c>
      <c r="BQ12" s="51"/>
      <c r="BR12" s="161">
        <v>0.15</v>
      </c>
      <c r="BS12" s="51"/>
      <c r="BT12" s="175">
        <v>0.05</v>
      </c>
      <c r="BU12" s="64"/>
      <c r="BV12" s="174">
        <v>0</v>
      </c>
      <c r="BW12" s="51"/>
      <c r="BX12" s="161">
        <v>0</v>
      </c>
      <c r="BY12" s="51"/>
      <c r="BZ12" s="161">
        <v>0</v>
      </c>
      <c r="CA12" s="51"/>
      <c r="CB12" s="161">
        <v>0.1</v>
      </c>
      <c r="CC12" s="51"/>
      <c r="CD12" s="175">
        <v>0.05</v>
      </c>
      <c r="CE12" s="64"/>
      <c r="CF12" s="174">
        <v>0</v>
      </c>
      <c r="CG12" s="51"/>
      <c r="CH12" s="161">
        <v>0</v>
      </c>
      <c r="CI12" s="51"/>
      <c r="CJ12" s="161">
        <v>0</v>
      </c>
      <c r="CK12" s="51"/>
      <c r="CL12" s="161">
        <v>0.05</v>
      </c>
      <c r="CM12" s="51"/>
      <c r="CN12" s="175">
        <v>0.05</v>
      </c>
      <c r="CO12" s="156"/>
    </row>
    <row r="13" spans="1:93">
      <c r="A13" s="39">
        <v>10.09</v>
      </c>
      <c r="B13" s="56" t="s">
        <v>23</v>
      </c>
      <c r="C13" s="64"/>
      <c r="D13" s="174">
        <v>0.15</v>
      </c>
      <c r="E13" s="51"/>
      <c r="F13" s="161">
        <v>0.6</v>
      </c>
      <c r="G13" s="51"/>
      <c r="H13" s="161">
        <v>0.25</v>
      </c>
      <c r="I13" s="51"/>
      <c r="J13" s="161">
        <v>0.45</v>
      </c>
      <c r="K13" s="51"/>
      <c r="L13" s="175">
        <v>0.05</v>
      </c>
      <c r="M13" s="64"/>
      <c r="N13" s="174">
        <v>0.1</v>
      </c>
      <c r="O13" s="51"/>
      <c r="P13" s="161">
        <v>0.5</v>
      </c>
      <c r="Q13" s="51"/>
      <c r="R13" s="161">
        <v>0.25</v>
      </c>
      <c r="S13" s="51"/>
      <c r="T13" s="161">
        <v>0.45</v>
      </c>
      <c r="U13" s="51"/>
      <c r="V13" s="175">
        <v>0.05</v>
      </c>
      <c r="W13" s="64"/>
      <c r="X13" s="174">
        <f t="shared" si="1"/>
        <v>0</v>
      </c>
      <c r="Y13" s="51"/>
      <c r="Z13" s="161">
        <f t="shared" si="0"/>
        <v>0.3</v>
      </c>
      <c r="AA13" s="51"/>
      <c r="AB13" s="161">
        <f t="shared" si="0"/>
        <v>0.25</v>
      </c>
      <c r="AC13" s="51"/>
      <c r="AD13" s="161">
        <f t="shared" si="0"/>
        <v>0.45</v>
      </c>
      <c r="AE13" s="51"/>
      <c r="AF13" s="175">
        <f t="shared" si="0"/>
        <v>0.05</v>
      </c>
      <c r="AG13" s="64"/>
      <c r="AH13" s="174">
        <v>0</v>
      </c>
      <c r="AI13" s="51"/>
      <c r="AJ13" s="161">
        <v>0.05</v>
      </c>
      <c r="AK13" s="51"/>
      <c r="AL13" s="161">
        <v>0.25</v>
      </c>
      <c r="AM13" s="51"/>
      <c r="AN13" s="161">
        <v>0.45</v>
      </c>
      <c r="AO13" s="51"/>
      <c r="AP13" s="175">
        <v>0.05</v>
      </c>
      <c r="AQ13" s="64"/>
      <c r="AR13" s="174">
        <v>0</v>
      </c>
      <c r="AS13" s="51"/>
      <c r="AT13" s="161">
        <v>0</v>
      </c>
      <c r="AU13" s="51"/>
      <c r="AV13" s="161">
        <v>0</v>
      </c>
      <c r="AW13" s="51"/>
      <c r="AX13" s="161">
        <v>0.45</v>
      </c>
      <c r="AY13" s="51"/>
      <c r="AZ13" s="175">
        <v>0.05</v>
      </c>
      <c r="BA13" s="64"/>
      <c r="BB13" s="174">
        <v>0</v>
      </c>
      <c r="BC13" s="51"/>
      <c r="BD13" s="161">
        <v>0</v>
      </c>
      <c r="BE13" s="51"/>
      <c r="BF13" s="161">
        <v>0</v>
      </c>
      <c r="BG13" s="51"/>
      <c r="BH13" s="161">
        <v>0.3</v>
      </c>
      <c r="BI13" s="51"/>
      <c r="BJ13" s="175">
        <v>0.05</v>
      </c>
      <c r="BK13" s="64"/>
      <c r="BL13" s="174">
        <v>0</v>
      </c>
      <c r="BM13" s="51"/>
      <c r="BN13" s="161">
        <v>0</v>
      </c>
      <c r="BO13" s="51"/>
      <c r="BP13" s="161">
        <v>0</v>
      </c>
      <c r="BQ13" s="51"/>
      <c r="BR13" s="161">
        <v>0.15</v>
      </c>
      <c r="BS13" s="51"/>
      <c r="BT13" s="175">
        <v>0.05</v>
      </c>
      <c r="BU13" s="64"/>
      <c r="BV13" s="174">
        <v>0</v>
      </c>
      <c r="BW13" s="51"/>
      <c r="BX13" s="161">
        <v>0</v>
      </c>
      <c r="BY13" s="51"/>
      <c r="BZ13" s="161">
        <v>0</v>
      </c>
      <c r="CA13" s="51"/>
      <c r="CB13" s="161">
        <v>0.1</v>
      </c>
      <c r="CC13" s="51"/>
      <c r="CD13" s="175">
        <v>0.05</v>
      </c>
      <c r="CE13" s="64"/>
      <c r="CF13" s="174">
        <v>0</v>
      </c>
      <c r="CG13" s="51"/>
      <c r="CH13" s="161">
        <v>0</v>
      </c>
      <c r="CI13" s="51"/>
      <c r="CJ13" s="161">
        <v>0</v>
      </c>
      <c r="CK13" s="51"/>
      <c r="CL13" s="161">
        <v>0.05</v>
      </c>
      <c r="CM13" s="51"/>
      <c r="CN13" s="175">
        <v>0.05</v>
      </c>
      <c r="CO13" s="156"/>
    </row>
    <row r="14" spans="1:93">
      <c r="A14" s="39">
        <v>10.1</v>
      </c>
      <c r="B14" s="56" t="s">
        <v>24</v>
      </c>
      <c r="C14" s="64"/>
      <c r="D14" s="174">
        <v>0.15</v>
      </c>
      <c r="E14" s="51"/>
      <c r="F14" s="161">
        <v>0.6</v>
      </c>
      <c r="G14" s="51"/>
      <c r="H14" s="161">
        <v>0.25</v>
      </c>
      <c r="I14" s="51"/>
      <c r="J14" s="161">
        <v>0.45</v>
      </c>
      <c r="K14" s="51"/>
      <c r="L14" s="175">
        <v>0.05</v>
      </c>
      <c r="M14" s="64"/>
      <c r="N14" s="174">
        <v>0.1</v>
      </c>
      <c r="O14" s="51"/>
      <c r="P14" s="161">
        <v>0.5</v>
      </c>
      <c r="Q14" s="51"/>
      <c r="R14" s="161">
        <v>0.25</v>
      </c>
      <c r="S14" s="51"/>
      <c r="T14" s="161">
        <v>0.45</v>
      </c>
      <c r="U14" s="51"/>
      <c r="V14" s="175">
        <v>0.05</v>
      </c>
      <c r="W14" s="64"/>
      <c r="X14" s="174">
        <f t="shared" si="1"/>
        <v>0</v>
      </c>
      <c r="Y14" s="51"/>
      <c r="Z14" s="161">
        <f t="shared" si="0"/>
        <v>0.3</v>
      </c>
      <c r="AA14" s="51"/>
      <c r="AB14" s="161">
        <f t="shared" si="0"/>
        <v>0.25</v>
      </c>
      <c r="AC14" s="51"/>
      <c r="AD14" s="161">
        <f t="shared" si="0"/>
        <v>0.45</v>
      </c>
      <c r="AE14" s="51"/>
      <c r="AF14" s="175">
        <f t="shared" si="0"/>
        <v>0.05</v>
      </c>
      <c r="AG14" s="64"/>
      <c r="AH14" s="174">
        <v>0</v>
      </c>
      <c r="AI14" s="51"/>
      <c r="AJ14" s="161">
        <v>0.05</v>
      </c>
      <c r="AK14" s="51"/>
      <c r="AL14" s="161">
        <v>0.25</v>
      </c>
      <c r="AM14" s="51"/>
      <c r="AN14" s="161">
        <v>0.45</v>
      </c>
      <c r="AO14" s="51"/>
      <c r="AP14" s="175">
        <v>0.05</v>
      </c>
      <c r="AQ14" s="64"/>
      <c r="AR14" s="174">
        <v>0</v>
      </c>
      <c r="AS14" s="51"/>
      <c r="AT14" s="161">
        <v>0</v>
      </c>
      <c r="AU14" s="51"/>
      <c r="AV14" s="161">
        <v>0</v>
      </c>
      <c r="AW14" s="51"/>
      <c r="AX14" s="161">
        <v>0.45</v>
      </c>
      <c r="AY14" s="51"/>
      <c r="AZ14" s="175">
        <v>0.05</v>
      </c>
      <c r="BA14" s="64"/>
      <c r="BB14" s="174">
        <v>0</v>
      </c>
      <c r="BC14" s="51"/>
      <c r="BD14" s="161">
        <v>0</v>
      </c>
      <c r="BE14" s="51"/>
      <c r="BF14" s="161">
        <v>0</v>
      </c>
      <c r="BG14" s="51"/>
      <c r="BH14" s="161">
        <v>0.3</v>
      </c>
      <c r="BI14" s="51"/>
      <c r="BJ14" s="175">
        <v>0.05</v>
      </c>
      <c r="BK14" s="64"/>
      <c r="BL14" s="174">
        <v>0</v>
      </c>
      <c r="BM14" s="51"/>
      <c r="BN14" s="161">
        <v>0</v>
      </c>
      <c r="BO14" s="51"/>
      <c r="BP14" s="161">
        <v>0</v>
      </c>
      <c r="BQ14" s="51"/>
      <c r="BR14" s="161">
        <v>0.15</v>
      </c>
      <c r="BS14" s="51"/>
      <c r="BT14" s="175">
        <v>0.05</v>
      </c>
      <c r="BU14" s="64"/>
      <c r="BV14" s="174">
        <v>0</v>
      </c>
      <c r="BW14" s="51"/>
      <c r="BX14" s="161">
        <v>0</v>
      </c>
      <c r="BY14" s="51"/>
      <c r="BZ14" s="161">
        <v>0</v>
      </c>
      <c r="CA14" s="51"/>
      <c r="CB14" s="161">
        <v>0.1</v>
      </c>
      <c r="CC14" s="51"/>
      <c r="CD14" s="175">
        <v>0.05</v>
      </c>
      <c r="CE14" s="64"/>
      <c r="CF14" s="174">
        <v>0</v>
      </c>
      <c r="CG14" s="51"/>
      <c r="CH14" s="161">
        <v>0</v>
      </c>
      <c r="CI14" s="51"/>
      <c r="CJ14" s="161">
        <v>0</v>
      </c>
      <c r="CK14" s="51"/>
      <c r="CL14" s="161">
        <v>0.05</v>
      </c>
      <c r="CM14" s="51"/>
      <c r="CN14" s="175">
        <v>0.05</v>
      </c>
      <c r="CO14" s="156"/>
    </row>
    <row r="15" spans="1:93">
      <c r="A15" s="39">
        <v>10.11</v>
      </c>
      <c r="B15" s="56" t="s">
        <v>25</v>
      </c>
      <c r="C15" s="64"/>
      <c r="D15" s="174">
        <v>0.15</v>
      </c>
      <c r="E15" s="51"/>
      <c r="F15" s="161">
        <v>0.6</v>
      </c>
      <c r="G15" s="51"/>
      <c r="H15" s="161">
        <v>0.25</v>
      </c>
      <c r="I15" s="51"/>
      <c r="J15" s="161">
        <v>0.45</v>
      </c>
      <c r="K15" s="51"/>
      <c r="L15" s="175">
        <v>0.05</v>
      </c>
      <c r="M15" s="64"/>
      <c r="N15" s="174">
        <v>0.1</v>
      </c>
      <c r="O15" s="51"/>
      <c r="P15" s="161">
        <v>0.5</v>
      </c>
      <c r="Q15" s="51"/>
      <c r="R15" s="161">
        <v>0.25</v>
      </c>
      <c r="S15" s="51"/>
      <c r="T15" s="161">
        <v>0.45</v>
      </c>
      <c r="U15" s="51"/>
      <c r="V15" s="175">
        <v>0.05</v>
      </c>
      <c r="W15" s="64"/>
      <c r="X15" s="174">
        <f t="shared" si="1"/>
        <v>0</v>
      </c>
      <c r="Y15" s="51"/>
      <c r="Z15" s="161">
        <f t="shared" si="0"/>
        <v>0.3</v>
      </c>
      <c r="AA15" s="51"/>
      <c r="AB15" s="161">
        <f t="shared" si="0"/>
        <v>0.25</v>
      </c>
      <c r="AC15" s="51"/>
      <c r="AD15" s="161">
        <f t="shared" si="0"/>
        <v>0.45</v>
      </c>
      <c r="AE15" s="51"/>
      <c r="AF15" s="175">
        <f t="shared" si="0"/>
        <v>0.05</v>
      </c>
      <c r="AG15" s="64"/>
      <c r="AH15" s="174">
        <v>0</v>
      </c>
      <c r="AI15" s="51"/>
      <c r="AJ15" s="161">
        <v>0.05</v>
      </c>
      <c r="AK15" s="51"/>
      <c r="AL15" s="161">
        <v>0.25</v>
      </c>
      <c r="AM15" s="51"/>
      <c r="AN15" s="161">
        <v>0.45</v>
      </c>
      <c r="AO15" s="51"/>
      <c r="AP15" s="175">
        <v>0.05</v>
      </c>
      <c r="AQ15" s="64"/>
      <c r="AR15" s="174">
        <v>0</v>
      </c>
      <c r="AS15" s="51"/>
      <c r="AT15" s="161">
        <v>0</v>
      </c>
      <c r="AU15" s="51"/>
      <c r="AV15" s="161">
        <v>0</v>
      </c>
      <c r="AW15" s="51"/>
      <c r="AX15" s="161">
        <v>0.45</v>
      </c>
      <c r="AY15" s="51"/>
      <c r="AZ15" s="175">
        <v>0.05</v>
      </c>
      <c r="BA15" s="64"/>
      <c r="BB15" s="174">
        <v>0</v>
      </c>
      <c r="BC15" s="51"/>
      <c r="BD15" s="161">
        <v>0</v>
      </c>
      <c r="BE15" s="51"/>
      <c r="BF15" s="161">
        <v>0</v>
      </c>
      <c r="BG15" s="51"/>
      <c r="BH15" s="161">
        <v>0.3</v>
      </c>
      <c r="BI15" s="51"/>
      <c r="BJ15" s="175">
        <v>0.05</v>
      </c>
      <c r="BK15" s="64"/>
      <c r="BL15" s="174">
        <v>0</v>
      </c>
      <c r="BM15" s="51"/>
      <c r="BN15" s="161">
        <v>0</v>
      </c>
      <c r="BO15" s="51"/>
      <c r="BP15" s="161">
        <v>0</v>
      </c>
      <c r="BQ15" s="51"/>
      <c r="BR15" s="161">
        <v>0.15</v>
      </c>
      <c r="BS15" s="51"/>
      <c r="BT15" s="175">
        <v>0.05</v>
      </c>
      <c r="BU15" s="64"/>
      <c r="BV15" s="174">
        <v>0</v>
      </c>
      <c r="BW15" s="51"/>
      <c r="BX15" s="161">
        <v>0</v>
      </c>
      <c r="BY15" s="51"/>
      <c r="BZ15" s="161">
        <v>0</v>
      </c>
      <c r="CA15" s="51"/>
      <c r="CB15" s="161">
        <v>0.1</v>
      </c>
      <c r="CC15" s="51"/>
      <c r="CD15" s="175">
        <v>0.05</v>
      </c>
      <c r="CE15" s="64"/>
      <c r="CF15" s="174">
        <v>0</v>
      </c>
      <c r="CG15" s="51"/>
      <c r="CH15" s="161">
        <v>0</v>
      </c>
      <c r="CI15" s="51"/>
      <c r="CJ15" s="161">
        <v>0</v>
      </c>
      <c r="CK15" s="51"/>
      <c r="CL15" s="161">
        <v>0.05</v>
      </c>
      <c r="CM15" s="51"/>
      <c r="CN15" s="175">
        <v>0.05</v>
      </c>
      <c r="CO15" s="156"/>
    </row>
    <row r="16" spans="1:93">
      <c r="A16" s="37">
        <v>10.119999999999999</v>
      </c>
      <c r="B16" s="56" t="s">
        <v>26</v>
      </c>
      <c r="C16" s="64"/>
      <c r="D16" s="174">
        <v>0.15</v>
      </c>
      <c r="E16" s="51"/>
      <c r="F16" s="161">
        <v>0.6</v>
      </c>
      <c r="G16" s="51"/>
      <c r="H16" s="161">
        <v>0.25</v>
      </c>
      <c r="I16" s="51"/>
      <c r="J16" s="161">
        <v>0.45</v>
      </c>
      <c r="K16" s="51"/>
      <c r="L16" s="175">
        <v>0.05</v>
      </c>
      <c r="M16" s="64"/>
      <c r="N16" s="174">
        <v>0.1</v>
      </c>
      <c r="O16" s="51"/>
      <c r="P16" s="161">
        <v>0.5</v>
      </c>
      <c r="Q16" s="51"/>
      <c r="R16" s="161">
        <v>0.25</v>
      </c>
      <c r="S16" s="51"/>
      <c r="T16" s="161">
        <v>0.45</v>
      </c>
      <c r="U16" s="51"/>
      <c r="V16" s="175">
        <v>0.05</v>
      </c>
      <c r="W16" s="64"/>
      <c r="X16" s="174">
        <f t="shared" si="1"/>
        <v>0</v>
      </c>
      <c r="Y16" s="51"/>
      <c r="Z16" s="161">
        <f t="shared" si="0"/>
        <v>0.3</v>
      </c>
      <c r="AA16" s="51"/>
      <c r="AB16" s="161">
        <f t="shared" si="0"/>
        <v>0.25</v>
      </c>
      <c r="AC16" s="51"/>
      <c r="AD16" s="161">
        <f t="shared" si="0"/>
        <v>0.45</v>
      </c>
      <c r="AE16" s="51"/>
      <c r="AF16" s="175">
        <f t="shared" si="0"/>
        <v>0.05</v>
      </c>
      <c r="AG16" s="64"/>
      <c r="AH16" s="174">
        <v>0</v>
      </c>
      <c r="AI16" s="51"/>
      <c r="AJ16" s="161">
        <v>0.05</v>
      </c>
      <c r="AK16" s="51"/>
      <c r="AL16" s="161">
        <v>0.25</v>
      </c>
      <c r="AM16" s="51"/>
      <c r="AN16" s="161">
        <v>0.45</v>
      </c>
      <c r="AO16" s="51"/>
      <c r="AP16" s="175">
        <v>0.05</v>
      </c>
      <c r="AQ16" s="64"/>
      <c r="AR16" s="174">
        <v>0</v>
      </c>
      <c r="AS16" s="51"/>
      <c r="AT16" s="161">
        <v>0</v>
      </c>
      <c r="AU16" s="51"/>
      <c r="AV16" s="161">
        <v>0</v>
      </c>
      <c r="AW16" s="51"/>
      <c r="AX16" s="161">
        <v>0.45</v>
      </c>
      <c r="AY16" s="51"/>
      <c r="AZ16" s="175">
        <v>0.05</v>
      </c>
      <c r="BA16" s="64"/>
      <c r="BB16" s="174">
        <v>0</v>
      </c>
      <c r="BC16" s="51"/>
      <c r="BD16" s="161">
        <v>0</v>
      </c>
      <c r="BE16" s="51"/>
      <c r="BF16" s="161">
        <v>0</v>
      </c>
      <c r="BG16" s="51"/>
      <c r="BH16" s="161">
        <v>0.3</v>
      </c>
      <c r="BI16" s="51"/>
      <c r="BJ16" s="175">
        <v>0.05</v>
      </c>
      <c r="BK16" s="64"/>
      <c r="BL16" s="174">
        <v>0</v>
      </c>
      <c r="BM16" s="51"/>
      <c r="BN16" s="161">
        <v>0</v>
      </c>
      <c r="BO16" s="51"/>
      <c r="BP16" s="161">
        <v>0</v>
      </c>
      <c r="BQ16" s="51"/>
      <c r="BR16" s="161">
        <v>0.15</v>
      </c>
      <c r="BS16" s="51"/>
      <c r="BT16" s="175">
        <v>0.05</v>
      </c>
      <c r="BU16" s="64"/>
      <c r="BV16" s="174">
        <v>0</v>
      </c>
      <c r="BW16" s="51"/>
      <c r="BX16" s="161">
        <v>0</v>
      </c>
      <c r="BY16" s="51"/>
      <c r="BZ16" s="161">
        <v>0</v>
      </c>
      <c r="CA16" s="51"/>
      <c r="CB16" s="161">
        <v>0.1</v>
      </c>
      <c r="CC16" s="51"/>
      <c r="CD16" s="175">
        <v>0.05</v>
      </c>
      <c r="CE16" s="64"/>
      <c r="CF16" s="174">
        <v>0</v>
      </c>
      <c r="CG16" s="51"/>
      <c r="CH16" s="161">
        <v>0</v>
      </c>
      <c r="CI16" s="51"/>
      <c r="CJ16" s="161">
        <v>0</v>
      </c>
      <c r="CK16" s="51"/>
      <c r="CL16" s="161">
        <v>0.05</v>
      </c>
      <c r="CM16" s="51"/>
      <c r="CN16" s="175">
        <v>0.05</v>
      </c>
      <c r="CO16" s="156"/>
    </row>
    <row r="17" spans="1:93">
      <c r="A17" s="37">
        <v>10.130000000000001</v>
      </c>
      <c r="B17" s="56" t="s">
        <v>27</v>
      </c>
      <c r="C17" s="64"/>
      <c r="D17" s="176">
        <v>0.15</v>
      </c>
      <c r="E17" s="51"/>
      <c r="F17" s="162">
        <v>0.6</v>
      </c>
      <c r="G17" s="51"/>
      <c r="H17" s="162">
        <v>0.25</v>
      </c>
      <c r="I17" s="51"/>
      <c r="J17" s="162">
        <v>0.45</v>
      </c>
      <c r="K17" s="51"/>
      <c r="L17" s="175">
        <v>0.05</v>
      </c>
      <c r="M17" s="64"/>
      <c r="N17" s="176">
        <v>0.1</v>
      </c>
      <c r="O17" s="51"/>
      <c r="P17" s="162">
        <v>0.5</v>
      </c>
      <c r="Q17" s="51"/>
      <c r="R17" s="162">
        <v>0.25</v>
      </c>
      <c r="S17" s="51"/>
      <c r="T17" s="162">
        <v>0.45</v>
      </c>
      <c r="U17" s="51"/>
      <c r="V17" s="175">
        <v>0.05</v>
      </c>
      <c r="W17" s="64"/>
      <c r="X17" s="176">
        <f t="shared" si="1"/>
        <v>0</v>
      </c>
      <c r="Y17" s="51"/>
      <c r="Z17" s="162">
        <f t="shared" si="0"/>
        <v>0.3</v>
      </c>
      <c r="AA17" s="51"/>
      <c r="AB17" s="162">
        <f t="shared" si="0"/>
        <v>0.25</v>
      </c>
      <c r="AC17" s="51"/>
      <c r="AD17" s="162">
        <f t="shared" si="0"/>
        <v>0.45</v>
      </c>
      <c r="AE17" s="51"/>
      <c r="AF17" s="175">
        <f t="shared" si="0"/>
        <v>0.05</v>
      </c>
      <c r="AG17" s="64"/>
      <c r="AH17" s="176">
        <v>0</v>
      </c>
      <c r="AI17" s="51"/>
      <c r="AJ17" s="162">
        <v>0.05</v>
      </c>
      <c r="AK17" s="51"/>
      <c r="AL17" s="162">
        <v>0.25</v>
      </c>
      <c r="AM17" s="51"/>
      <c r="AN17" s="162">
        <v>0.45</v>
      </c>
      <c r="AO17" s="51"/>
      <c r="AP17" s="175">
        <v>0.05</v>
      </c>
      <c r="AQ17" s="64"/>
      <c r="AR17" s="176">
        <v>0</v>
      </c>
      <c r="AS17" s="51"/>
      <c r="AT17" s="162">
        <v>0</v>
      </c>
      <c r="AU17" s="51"/>
      <c r="AV17" s="162">
        <v>0</v>
      </c>
      <c r="AW17" s="51"/>
      <c r="AX17" s="162">
        <v>0.45</v>
      </c>
      <c r="AY17" s="51"/>
      <c r="AZ17" s="175">
        <v>0.05</v>
      </c>
      <c r="BA17" s="64"/>
      <c r="BB17" s="176">
        <v>0</v>
      </c>
      <c r="BC17" s="51"/>
      <c r="BD17" s="162">
        <v>0</v>
      </c>
      <c r="BE17" s="51"/>
      <c r="BF17" s="162">
        <v>0</v>
      </c>
      <c r="BG17" s="51"/>
      <c r="BH17" s="162">
        <v>0.3</v>
      </c>
      <c r="BI17" s="51"/>
      <c r="BJ17" s="175">
        <v>0.05</v>
      </c>
      <c r="BK17" s="64"/>
      <c r="BL17" s="176">
        <v>0</v>
      </c>
      <c r="BM17" s="51"/>
      <c r="BN17" s="162">
        <v>0</v>
      </c>
      <c r="BO17" s="51"/>
      <c r="BP17" s="162">
        <v>0</v>
      </c>
      <c r="BQ17" s="51"/>
      <c r="BR17" s="162">
        <v>0.15</v>
      </c>
      <c r="BS17" s="51"/>
      <c r="BT17" s="175">
        <v>0.05</v>
      </c>
      <c r="BU17" s="64"/>
      <c r="BV17" s="176">
        <v>0</v>
      </c>
      <c r="BW17" s="51"/>
      <c r="BX17" s="162">
        <v>0</v>
      </c>
      <c r="BY17" s="51"/>
      <c r="BZ17" s="162">
        <v>0</v>
      </c>
      <c r="CA17" s="51"/>
      <c r="CB17" s="162">
        <v>0.1</v>
      </c>
      <c r="CC17" s="51"/>
      <c r="CD17" s="175">
        <v>0.05</v>
      </c>
      <c r="CE17" s="64"/>
      <c r="CF17" s="176">
        <v>0</v>
      </c>
      <c r="CG17" s="51"/>
      <c r="CH17" s="162">
        <v>0</v>
      </c>
      <c r="CI17" s="51"/>
      <c r="CJ17" s="162">
        <v>0</v>
      </c>
      <c r="CK17" s="51"/>
      <c r="CL17" s="162">
        <v>0.05</v>
      </c>
      <c r="CM17" s="51"/>
      <c r="CN17" s="175">
        <v>0.05</v>
      </c>
      <c r="CO17" s="156"/>
    </row>
    <row r="18" spans="1:93">
      <c r="A18" s="39" t="s">
        <v>167</v>
      </c>
      <c r="B18" s="56"/>
      <c r="C18" s="64"/>
      <c r="D18" s="177"/>
      <c r="E18" s="51"/>
      <c r="F18" s="159"/>
      <c r="G18" s="51"/>
      <c r="H18" s="159"/>
      <c r="I18" s="51"/>
      <c r="J18" s="159"/>
      <c r="K18" s="51"/>
      <c r="L18" s="171"/>
      <c r="M18" s="64"/>
      <c r="N18" s="177"/>
      <c r="O18" s="51"/>
      <c r="P18" s="159"/>
      <c r="Q18" s="51"/>
      <c r="R18" s="159"/>
      <c r="S18" s="51"/>
      <c r="T18" s="159"/>
      <c r="U18" s="51"/>
      <c r="V18" s="171"/>
      <c r="W18" s="64"/>
      <c r="X18" s="177"/>
      <c r="Y18" s="51"/>
      <c r="Z18" s="159"/>
      <c r="AA18" s="51"/>
      <c r="AB18" s="159"/>
      <c r="AC18" s="51"/>
      <c r="AD18" s="159"/>
      <c r="AE18" s="51"/>
      <c r="AF18" s="171"/>
      <c r="AG18" s="64"/>
      <c r="AH18" s="177"/>
      <c r="AI18" s="51"/>
      <c r="AJ18" s="159"/>
      <c r="AK18" s="51"/>
      <c r="AL18" s="159"/>
      <c r="AM18" s="51"/>
      <c r="AN18" s="159"/>
      <c r="AO18" s="51"/>
      <c r="AP18" s="171"/>
      <c r="AQ18" s="64"/>
      <c r="AR18" s="177"/>
      <c r="AS18" s="51"/>
      <c r="AT18" s="159"/>
      <c r="AU18" s="51"/>
      <c r="AV18" s="159"/>
      <c r="AW18" s="51"/>
      <c r="AX18" s="159"/>
      <c r="AY18" s="51"/>
      <c r="AZ18" s="171"/>
      <c r="BA18" s="64"/>
      <c r="BB18" s="177"/>
      <c r="BC18" s="51"/>
      <c r="BD18" s="159"/>
      <c r="BE18" s="51"/>
      <c r="BF18" s="159"/>
      <c r="BG18" s="51"/>
      <c r="BH18" s="159"/>
      <c r="BI18" s="51"/>
      <c r="BJ18" s="171"/>
      <c r="BK18" s="64"/>
      <c r="BL18" s="177"/>
      <c r="BM18" s="51"/>
      <c r="BN18" s="159"/>
      <c r="BO18" s="51"/>
      <c r="BP18" s="159"/>
      <c r="BQ18" s="51"/>
      <c r="BR18" s="159"/>
      <c r="BS18" s="51"/>
      <c r="BT18" s="171"/>
      <c r="BU18" s="64"/>
      <c r="BV18" s="177"/>
      <c r="BW18" s="51"/>
      <c r="BX18" s="159"/>
      <c r="BY18" s="51"/>
      <c r="BZ18" s="159"/>
      <c r="CA18" s="51"/>
      <c r="CB18" s="159"/>
      <c r="CC18" s="51"/>
      <c r="CD18" s="171"/>
      <c r="CE18" s="64"/>
      <c r="CF18" s="177"/>
      <c r="CG18" s="51"/>
      <c r="CH18" s="159"/>
      <c r="CI18" s="51"/>
      <c r="CJ18" s="159"/>
      <c r="CK18" s="51"/>
      <c r="CL18" s="159"/>
      <c r="CM18" s="51"/>
      <c r="CN18" s="171"/>
      <c r="CO18" s="156"/>
    </row>
    <row r="19" spans="1:93">
      <c r="A19" s="39">
        <v>20.010000000000002</v>
      </c>
      <c r="B19" s="56" t="s">
        <v>63</v>
      </c>
      <c r="C19" s="64"/>
      <c r="D19" s="179">
        <v>0.15</v>
      </c>
      <c r="E19" s="51"/>
      <c r="F19" s="163">
        <v>0.6</v>
      </c>
      <c r="G19" s="51"/>
      <c r="H19" s="163">
        <v>0.25</v>
      </c>
      <c r="I19" s="51"/>
      <c r="J19" s="163">
        <v>0.45</v>
      </c>
      <c r="K19" s="51"/>
      <c r="L19" s="175">
        <v>0.05</v>
      </c>
      <c r="M19" s="64"/>
      <c r="N19" s="179">
        <v>0.1</v>
      </c>
      <c r="O19" s="51"/>
      <c r="P19" s="163">
        <v>0.5</v>
      </c>
      <c r="Q19" s="51"/>
      <c r="R19" s="163">
        <v>0.25</v>
      </c>
      <c r="S19" s="51"/>
      <c r="T19" s="163">
        <v>0.45</v>
      </c>
      <c r="U19" s="51"/>
      <c r="V19" s="175">
        <v>0.05</v>
      </c>
      <c r="W19" s="64"/>
      <c r="X19" s="179">
        <f t="shared" ref="X19:X25" si="2">X$5</f>
        <v>0</v>
      </c>
      <c r="Y19" s="51"/>
      <c r="Z19" s="163">
        <f t="shared" si="0"/>
        <v>0.3</v>
      </c>
      <c r="AA19" s="51"/>
      <c r="AB19" s="163">
        <f t="shared" si="0"/>
        <v>0.25</v>
      </c>
      <c r="AC19" s="51"/>
      <c r="AD19" s="163">
        <f t="shared" si="0"/>
        <v>0.45</v>
      </c>
      <c r="AE19" s="51"/>
      <c r="AF19" s="175">
        <f t="shared" si="0"/>
        <v>0.05</v>
      </c>
      <c r="AG19" s="64"/>
      <c r="AH19" s="179">
        <v>0</v>
      </c>
      <c r="AI19" s="51"/>
      <c r="AJ19" s="163">
        <v>0.05</v>
      </c>
      <c r="AK19" s="51"/>
      <c r="AL19" s="163">
        <v>0.25</v>
      </c>
      <c r="AM19" s="51"/>
      <c r="AN19" s="163">
        <v>0.45</v>
      </c>
      <c r="AO19" s="51"/>
      <c r="AP19" s="175">
        <v>0.05</v>
      </c>
      <c r="AQ19" s="64"/>
      <c r="AR19" s="179">
        <v>0</v>
      </c>
      <c r="AS19" s="51"/>
      <c r="AT19" s="163">
        <v>0</v>
      </c>
      <c r="AU19" s="51"/>
      <c r="AV19" s="163">
        <v>0</v>
      </c>
      <c r="AW19" s="51"/>
      <c r="AX19" s="163">
        <v>0.45</v>
      </c>
      <c r="AY19" s="51"/>
      <c r="AZ19" s="175">
        <v>0.05</v>
      </c>
      <c r="BA19" s="64"/>
      <c r="BB19" s="179">
        <v>0</v>
      </c>
      <c r="BC19" s="51"/>
      <c r="BD19" s="163">
        <v>0</v>
      </c>
      <c r="BE19" s="51"/>
      <c r="BF19" s="163">
        <v>0</v>
      </c>
      <c r="BG19" s="51"/>
      <c r="BH19" s="163">
        <v>0.3</v>
      </c>
      <c r="BI19" s="51"/>
      <c r="BJ19" s="175">
        <v>0.05</v>
      </c>
      <c r="BK19" s="64"/>
      <c r="BL19" s="179">
        <v>0</v>
      </c>
      <c r="BM19" s="51"/>
      <c r="BN19" s="163">
        <v>0</v>
      </c>
      <c r="BO19" s="51"/>
      <c r="BP19" s="163">
        <v>0</v>
      </c>
      <c r="BQ19" s="51"/>
      <c r="BR19" s="163">
        <v>0.15</v>
      </c>
      <c r="BS19" s="51"/>
      <c r="BT19" s="175">
        <v>0.05</v>
      </c>
      <c r="BU19" s="64"/>
      <c r="BV19" s="179">
        <v>0</v>
      </c>
      <c r="BW19" s="51"/>
      <c r="BX19" s="163">
        <v>0</v>
      </c>
      <c r="BY19" s="51"/>
      <c r="BZ19" s="163">
        <v>0</v>
      </c>
      <c r="CA19" s="51"/>
      <c r="CB19" s="163">
        <v>0.1</v>
      </c>
      <c r="CC19" s="51"/>
      <c r="CD19" s="175">
        <v>0.05</v>
      </c>
      <c r="CE19" s="64"/>
      <c r="CF19" s="179">
        <v>0</v>
      </c>
      <c r="CG19" s="51"/>
      <c r="CH19" s="163">
        <v>0</v>
      </c>
      <c r="CI19" s="51"/>
      <c r="CJ19" s="163">
        <v>0</v>
      </c>
      <c r="CK19" s="51"/>
      <c r="CL19" s="163">
        <v>0.05</v>
      </c>
      <c r="CM19" s="51"/>
      <c r="CN19" s="175">
        <v>0.05</v>
      </c>
      <c r="CO19" s="156"/>
    </row>
    <row r="20" spans="1:93">
      <c r="A20" s="39">
        <v>20.02</v>
      </c>
      <c r="B20" s="56" t="s">
        <v>64</v>
      </c>
      <c r="C20" s="64"/>
      <c r="D20" s="174">
        <v>0.15</v>
      </c>
      <c r="E20" s="51"/>
      <c r="F20" s="161">
        <v>0.6</v>
      </c>
      <c r="G20" s="51"/>
      <c r="H20" s="161">
        <v>0.25</v>
      </c>
      <c r="I20" s="51"/>
      <c r="J20" s="161">
        <v>0.45</v>
      </c>
      <c r="K20" s="51"/>
      <c r="L20" s="175">
        <v>0.05</v>
      </c>
      <c r="M20" s="64"/>
      <c r="N20" s="174">
        <v>0.1</v>
      </c>
      <c r="O20" s="51"/>
      <c r="P20" s="161">
        <v>0.5</v>
      </c>
      <c r="Q20" s="51"/>
      <c r="R20" s="161">
        <v>0.25</v>
      </c>
      <c r="S20" s="51"/>
      <c r="T20" s="161">
        <v>0.45</v>
      </c>
      <c r="U20" s="51"/>
      <c r="V20" s="175">
        <v>0.05</v>
      </c>
      <c r="W20" s="64"/>
      <c r="X20" s="174">
        <f t="shared" si="2"/>
        <v>0</v>
      </c>
      <c r="Y20" s="51"/>
      <c r="Z20" s="161">
        <f t="shared" si="0"/>
        <v>0.3</v>
      </c>
      <c r="AA20" s="51"/>
      <c r="AB20" s="161">
        <f t="shared" si="0"/>
        <v>0.25</v>
      </c>
      <c r="AC20" s="51"/>
      <c r="AD20" s="161">
        <f t="shared" si="0"/>
        <v>0.45</v>
      </c>
      <c r="AE20" s="51"/>
      <c r="AF20" s="175">
        <f t="shared" si="0"/>
        <v>0.05</v>
      </c>
      <c r="AG20" s="64"/>
      <c r="AH20" s="174">
        <v>0</v>
      </c>
      <c r="AI20" s="51"/>
      <c r="AJ20" s="161">
        <v>0.05</v>
      </c>
      <c r="AK20" s="51"/>
      <c r="AL20" s="161">
        <v>0.25</v>
      </c>
      <c r="AM20" s="51"/>
      <c r="AN20" s="161">
        <v>0.45</v>
      </c>
      <c r="AO20" s="51"/>
      <c r="AP20" s="175">
        <v>0.05</v>
      </c>
      <c r="AQ20" s="64"/>
      <c r="AR20" s="174">
        <v>0</v>
      </c>
      <c r="AS20" s="51"/>
      <c r="AT20" s="161">
        <v>0</v>
      </c>
      <c r="AU20" s="51"/>
      <c r="AV20" s="161">
        <v>0</v>
      </c>
      <c r="AW20" s="51"/>
      <c r="AX20" s="161">
        <v>0.45</v>
      </c>
      <c r="AY20" s="51"/>
      <c r="AZ20" s="175">
        <v>0.05</v>
      </c>
      <c r="BA20" s="64"/>
      <c r="BB20" s="174">
        <v>0</v>
      </c>
      <c r="BC20" s="51"/>
      <c r="BD20" s="161">
        <v>0</v>
      </c>
      <c r="BE20" s="51"/>
      <c r="BF20" s="161">
        <v>0</v>
      </c>
      <c r="BG20" s="51"/>
      <c r="BH20" s="161">
        <v>0.3</v>
      </c>
      <c r="BI20" s="51"/>
      <c r="BJ20" s="175">
        <v>0.05</v>
      </c>
      <c r="BK20" s="64"/>
      <c r="BL20" s="174">
        <v>0</v>
      </c>
      <c r="BM20" s="51"/>
      <c r="BN20" s="161">
        <v>0</v>
      </c>
      <c r="BO20" s="51"/>
      <c r="BP20" s="161">
        <v>0</v>
      </c>
      <c r="BQ20" s="51"/>
      <c r="BR20" s="161">
        <v>0.15</v>
      </c>
      <c r="BS20" s="51"/>
      <c r="BT20" s="175">
        <v>0.05</v>
      </c>
      <c r="BU20" s="64"/>
      <c r="BV20" s="174">
        <v>0</v>
      </c>
      <c r="BW20" s="51"/>
      <c r="BX20" s="161">
        <v>0</v>
      </c>
      <c r="BY20" s="51"/>
      <c r="BZ20" s="161">
        <v>0</v>
      </c>
      <c r="CA20" s="51"/>
      <c r="CB20" s="161">
        <v>0.1</v>
      </c>
      <c r="CC20" s="51"/>
      <c r="CD20" s="175">
        <v>0.05</v>
      </c>
      <c r="CE20" s="64"/>
      <c r="CF20" s="174">
        <v>0</v>
      </c>
      <c r="CG20" s="51"/>
      <c r="CH20" s="161">
        <v>0</v>
      </c>
      <c r="CI20" s="51"/>
      <c r="CJ20" s="161">
        <v>0</v>
      </c>
      <c r="CK20" s="51"/>
      <c r="CL20" s="161">
        <v>0.05</v>
      </c>
      <c r="CM20" s="51"/>
      <c r="CN20" s="175">
        <v>0.05</v>
      </c>
      <c r="CO20" s="156"/>
    </row>
    <row r="21" spans="1:93">
      <c r="A21" s="39">
        <v>20.03</v>
      </c>
      <c r="B21" s="56" t="s">
        <v>65</v>
      </c>
      <c r="C21" s="64"/>
      <c r="D21" s="174">
        <v>0.15</v>
      </c>
      <c r="E21" s="51"/>
      <c r="F21" s="161">
        <v>0.6</v>
      </c>
      <c r="G21" s="51"/>
      <c r="H21" s="161">
        <v>0.25</v>
      </c>
      <c r="I21" s="51"/>
      <c r="J21" s="161">
        <v>0.45</v>
      </c>
      <c r="K21" s="51"/>
      <c r="L21" s="175">
        <v>0.05</v>
      </c>
      <c r="M21" s="64"/>
      <c r="N21" s="174">
        <v>0.1</v>
      </c>
      <c r="O21" s="51"/>
      <c r="P21" s="161">
        <v>0.5</v>
      </c>
      <c r="Q21" s="51"/>
      <c r="R21" s="161">
        <v>0.25</v>
      </c>
      <c r="S21" s="51"/>
      <c r="T21" s="161">
        <v>0.45</v>
      </c>
      <c r="U21" s="51"/>
      <c r="V21" s="175">
        <v>0.05</v>
      </c>
      <c r="W21" s="64"/>
      <c r="X21" s="174">
        <f t="shared" si="2"/>
        <v>0</v>
      </c>
      <c r="Y21" s="51"/>
      <c r="Z21" s="161">
        <f t="shared" si="0"/>
        <v>0.3</v>
      </c>
      <c r="AA21" s="51"/>
      <c r="AB21" s="161">
        <f t="shared" si="0"/>
        <v>0.25</v>
      </c>
      <c r="AC21" s="51"/>
      <c r="AD21" s="161">
        <f t="shared" si="0"/>
        <v>0.45</v>
      </c>
      <c r="AE21" s="51"/>
      <c r="AF21" s="175">
        <f t="shared" si="0"/>
        <v>0.05</v>
      </c>
      <c r="AG21" s="64"/>
      <c r="AH21" s="174">
        <v>0</v>
      </c>
      <c r="AI21" s="51"/>
      <c r="AJ21" s="161">
        <v>0.05</v>
      </c>
      <c r="AK21" s="51"/>
      <c r="AL21" s="161">
        <v>0.25</v>
      </c>
      <c r="AM21" s="51"/>
      <c r="AN21" s="161">
        <v>0.45</v>
      </c>
      <c r="AO21" s="51"/>
      <c r="AP21" s="175">
        <v>0.05</v>
      </c>
      <c r="AQ21" s="64"/>
      <c r="AR21" s="174">
        <v>0</v>
      </c>
      <c r="AS21" s="51"/>
      <c r="AT21" s="161">
        <v>0</v>
      </c>
      <c r="AU21" s="51"/>
      <c r="AV21" s="161">
        <v>0</v>
      </c>
      <c r="AW21" s="51"/>
      <c r="AX21" s="161">
        <v>0.45</v>
      </c>
      <c r="AY21" s="51"/>
      <c r="AZ21" s="175">
        <v>0.05</v>
      </c>
      <c r="BA21" s="64"/>
      <c r="BB21" s="174">
        <v>0</v>
      </c>
      <c r="BC21" s="51"/>
      <c r="BD21" s="161">
        <v>0</v>
      </c>
      <c r="BE21" s="51"/>
      <c r="BF21" s="161">
        <v>0</v>
      </c>
      <c r="BG21" s="51"/>
      <c r="BH21" s="161">
        <v>0.3</v>
      </c>
      <c r="BI21" s="51"/>
      <c r="BJ21" s="175">
        <v>0.05</v>
      </c>
      <c r="BK21" s="64"/>
      <c r="BL21" s="174">
        <v>0</v>
      </c>
      <c r="BM21" s="51"/>
      <c r="BN21" s="161">
        <v>0</v>
      </c>
      <c r="BO21" s="51"/>
      <c r="BP21" s="161">
        <v>0</v>
      </c>
      <c r="BQ21" s="51"/>
      <c r="BR21" s="161">
        <v>0.15</v>
      </c>
      <c r="BS21" s="51"/>
      <c r="BT21" s="175">
        <v>0.05</v>
      </c>
      <c r="BU21" s="64"/>
      <c r="BV21" s="174">
        <v>0</v>
      </c>
      <c r="BW21" s="51"/>
      <c r="BX21" s="161">
        <v>0</v>
      </c>
      <c r="BY21" s="51"/>
      <c r="BZ21" s="161">
        <v>0</v>
      </c>
      <c r="CA21" s="51"/>
      <c r="CB21" s="161">
        <v>0.1</v>
      </c>
      <c r="CC21" s="51"/>
      <c r="CD21" s="175">
        <v>0.05</v>
      </c>
      <c r="CE21" s="64"/>
      <c r="CF21" s="174">
        <v>0</v>
      </c>
      <c r="CG21" s="51"/>
      <c r="CH21" s="161">
        <v>0</v>
      </c>
      <c r="CI21" s="51"/>
      <c r="CJ21" s="161">
        <v>0</v>
      </c>
      <c r="CK21" s="51"/>
      <c r="CL21" s="161">
        <v>0.05</v>
      </c>
      <c r="CM21" s="51"/>
      <c r="CN21" s="175">
        <v>0.05</v>
      </c>
      <c r="CO21" s="156"/>
    </row>
    <row r="22" spans="1:93">
      <c r="A22" s="39">
        <v>20.04</v>
      </c>
      <c r="B22" s="56" t="s">
        <v>66</v>
      </c>
      <c r="C22" s="64"/>
      <c r="D22" s="174">
        <v>0.15</v>
      </c>
      <c r="E22" s="51"/>
      <c r="F22" s="161">
        <v>0.6</v>
      </c>
      <c r="G22" s="51"/>
      <c r="H22" s="161">
        <v>0.25</v>
      </c>
      <c r="I22" s="51"/>
      <c r="J22" s="161">
        <v>0.45</v>
      </c>
      <c r="K22" s="51"/>
      <c r="L22" s="175">
        <v>0.05</v>
      </c>
      <c r="M22" s="64"/>
      <c r="N22" s="174">
        <v>0.1</v>
      </c>
      <c r="O22" s="51"/>
      <c r="P22" s="161">
        <v>0.5</v>
      </c>
      <c r="Q22" s="51"/>
      <c r="R22" s="161">
        <v>0.25</v>
      </c>
      <c r="S22" s="51"/>
      <c r="T22" s="161">
        <v>0.45</v>
      </c>
      <c r="U22" s="51"/>
      <c r="V22" s="175">
        <v>0.05</v>
      </c>
      <c r="W22" s="64"/>
      <c r="X22" s="174">
        <f t="shared" si="2"/>
        <v>0</v>
      </c>
      <c r="Y22" s="51"/>
      <c r="Z22" s="161">
        <f t="shared" ref="Z22:AF25" si="3">Z$5</f>
        <v>0.3</v>
      </c>
      <c r="AA22" s="51"/>
      <c r="AB22" s="161">
        <f t="shared" si="3"/>
        <v>0.25</v>
      </c>
      <c r="AC22" s="51"/>
      <c r="AD22" s="161">
        <f t="shared" si="3"/>
        <v>0.45</v>
      </c>
      <c r="AE22" s="51"/>
      <c r="AF22" s="175">
        <f t="shared" si="3"/>
        <v>0.05</v>
      </c>
      <c r="AG22" s="64"/>
      <c r="AH22" s="174">
        <v>0</v>
      </c>
      <c r="AI22" s="51"/>
      <c r="AJ22" s="161">
        <v>0.05</v>
      </c>
      <c r="AK22" s="51"/>
      <c r="AL22" s="161">
        <v>0.25</v>
      </c>
      <c r="AM22" s="51"/>
      <c r="AN22" s="161">
        <v>0.45</v>
      </c>
      <c r="AO22" s="51"/>
      <c r="AP22" s="175">
        <v>0.05</v>
      </c>
      <c r="AQ22" s="64"/>
      <c r="AR22" s="174">
        <v>0</v>
      </c>
      <c r="AS22" s="51"/>
      <c r="AT22" s="161">
        <v>0</v>
      </c>
      <c r="AU22" s="51"/>
      <c r="AV22" s="161">
        <v>0</v>
      </c>
      <c r="AW22" s="51"/>
      <c r="AX22" s="161">
        <v>0.45</v>
      </c>
      <c r="AY22" s="51"/>
      <c r="AZ22" s="175">
        <v>0.05</v>
      </c>
      <c r="BA22" s="64"/>
      <c r="BB22" s="174">
        <v>0</v>
      </c>
      <c r="BC22" s="51"/>
      <c r="BD22" s="161">
        <v>0</v>
      </c>
      <c r="BE22" s="51"/>
      <c r="BF22" s="161">
        <v>0</v>
      </c>
      <c r="BG22" s="51"/>
      <c r="BH22" s="161">
        <v>0.3</v>
      </c>
      <c r="BI22" s="51"/>
      <c r="BJ22" s="175">
        <v>0.05</v>
      </c>
      <c r="BK22" s="64"/>
      <c r="BL22" s="174">
        <v>0</v>
      </c>
      <c r="BM22" s="51"/>
      <c r="BN22" s="161">
        <v>0</v>
      </c>
      <c r="BO22" s="51"/>
      <c r="BP22" s="161">
        <v>0</v>
      </c>
      <c r="BQ22" s="51"/>
      <c r="BR22" s="161">
        <v>0.15</v>
      </c>
      <c r="BS22" s="51"/>
      <c r="BT22" s="175">
        <v>0.05</v>
      </c>
      <c r="BU22" s="64"/>
      <c r="BV22" s="174">
        <v>0</v>
      </c>
      <c r="BW22" s="51"/>
      <c r="BX22" s="161">
        <v>0</v>
      </c>
      <c r="BY22" s="51"/>
      <c r="BZ22" s="161">
        <v>0</v>
      </c>
      <c r="CA22" s="51"/>
      <c r="CB22" s="161">
        <v>0.1</v>
      </c>
      <c r="CC22" s="51"/>
      <c r="CD22" s="175">
        <v>0.05</v>
      </c>
      <c r="CE22" s="64"/>
      <c r="CF22" s="174">
        <v>0</v>
      </c>
      <c r="CG22" s="51"/>
      <c r="CH22" s="161">
        <v>0</v>
      </c>
      <c r="CI22" s="51"/>
      <c r="CJ22" s="161">
        <v>0</v>
      </c>
      <c r="CK22" s="51"/>
      <c r="CL22" s="161">
        <v>0.05</v>
      </c>
      <c r="CM22" s="51"/>
      <c r="CN22" s="175">
        <v>0.05</v>
      </c>
      <c r="CO22" s="156"/>
    </row>
    <row r="23" spans="1:93">
      <c r="A23" s="39">
        <v>20.05</v>
      </c>
      <c r="B23" s="56" t="s">
        <v>67</v>
      </c>
      <c r="C23" s="64"/>
      <c r="D23" s="174">
        <v>0.15</v>
      </c>
      <c r="E23" s="51"/>
      <c r="F23" s="161">
        <v>0.6</v>
      </c>
      <c r="G23" s="51"/>
      <c r="H23" s="161">
        <v>0.25</v>
      </c>
      <c r="I23" s="51"/>
      <c r="J23" s="161">
        <v>0.45</v>
      </c>
      <c r="K23" s="51"/>
      <c r="L23" s="175">
        <v>0.05</v>
      </c>
      <c r="M23" s="64"/>
      <c r="N23" s="174">
        <v>0.1</v>
      </c>
      <c r="O23" s="51"/>
      <c r="P23" s="161">
        <v>0.5</v>
      </c>
      <c r="Q23" s="51"/>
      <c r="R23" s="161">
        <v>0.25</v>
      </c>
      <c r="S23" s="51"/>
      <c r="T23" s="161">
        <v>0.45</v>
      </c>
      <c r="U23" s="51"/>
      <c r="V23" s="175">
        <v>0.05</v>
      </c>
      <c r="W23" s="64"/>
      <c r="X23" s="174">
        <f t="shared" si="2"/>
        <v>0</v>
      </c>
      <c r="Y23" s="51"/>
      <c r="Z23" s="161">
        <f t="shared" si="3"/>
        <v>0.3</v>
      </c>
      <c r="AA23" s="51"/>
      <c r="AB23" s="161">
        <f t="shared" si="3"/>
        <v>0.25</v>
      </c>
      <c r="AC23" s="51"/>
      <c r="AD23" s="161">
        <f t="shared" si="3"/>
        <v>0.45</v>
      </c>
      <c r="AE23" s="51"/>
      <c r="AF23" s="175">
        <f t="shared" si="3"/>
        <v>0.05</v>
      </c>
      <c r="AG23" s="64"/>
      <c r="AH23" s="174">
        <v>0</v>
      </c>
      <c r="AI23" s="51"/>
      <c r="AJ23" s="161">
        <v>0.05</v>
      </c>
      <c r="AK23" s="51"/>
      <c r="AL23" s="161">
        <v>0.25</v>
      </c>
      <c r="AM23" s="51"/>
      <c r="AN23" s="161">
        <v>0.45</v>
      </c>
      <c r="AO23" s="51"/>
      <c r="AP23" s="175">
        <v>0.05</v>
      </c>
      <c r="AQ23" s="64"/>
      <c r="AR23" s="174">
        <v>0</v>
      </c>
      <c r="AS23" s="51"/>
      <c r="AT23" s="161">
        <v>0</v>
      </c>
      <c r="AU23" s="51"/>
      <c r="AV23" s="161">
        <v>0</v>
      </c>
      <c r="AW23" s="51"/>
      <c r="AX23" s="161">
        <v>0.45</v>
      </c>
      <c r="AY23" s="51"/>
      <c r="AZ23" s="175">
        <v>0.05</v>
      </c>
      <c r="BA23" s="64"/>
      <c r="BB23" s="174">
        <v>0</v>
      </c>
      <c r="BC23" s="51"/>
      <c r="BD23" s="161">
        <v>0</v>
      </c>
      <c r="BE23" s="51"/>
      <c r="BF23" s="161">
        <v>0</v>
      </c>
      <c r="BG23" s="51"/>
      <c r="BH23" s="161">
        <v>0.3</v>
      </c>
      <c r="BI23" s="51"/>
      <c r="BJ23" s="175">
        <v>0.05</v>
      </c>
      <c r="BK23" s="64"/>
      <c r="BL23" s="174">
        <v>0</v>
      </c>
      <c r="BM23" s="51"/>
      <c r="BN23" s="161">
        <v>0</v>
      </c>
      <c r="BO23" s="51"/>
      <c r="BP23" s="161">
        <v>0</v>
      </c>
      <c r="BQ23" s="51"/>
      <c r="BR23" s="161">
        <v>0.15</v>
      </c>
      <c r="BS23" s="51"/>
      <c r="BT23" s="175">
        <v>0.05</v>
      </c>
      <c r="BU23" s="64"/>
      <c r="BV23" s="174">
        <v>0</v>
      </c>
      <c r="BW23" s="51"/>
      <c r="BX23" s="161">
        <v>0</v>
      </c>
      <c r="BY23" s="51"/>
      <c r="BZ23" s="161">
        <v>0</v>
      </c>
      <c r="CA23" s="51"/>
      <c r="CB23" s="161">
        <v>0.1</v>
      </c>
      <c r="CC23" s="51"/>
      <c r="CD23" s="175">
        <v>0.05</v>
      </c>
      <c r="CE23" s="64"/>
      <c r="CF23" s="174">
        <v>0</v>
      </c>
      <c r="CG23" s="51"/>
      <c r="CH23" s="161">
        <v>0</v>
      </c>
      <c r="CI23" s="51"/>
      <c r="CJ23" s="161">
        <v>0</v>
      </c>
      <c r="CK23" s="51"/>
      <c r="CL23" s="161">
        <v>0.05</v>
      </c>
      <c r="CM23" s="51"/>
      <c r="CN23" s="175">
        <v>0.05</v>
      </c>
      <c r="CO23" s="156"/>
    </row>
    <row r="24" spans="1:93">
      <c r="A24" s="39">
        <v>20.059999999999999</v>
      </c>
      <c r="B24" s="56" t="s">
        <v>68</v>
      </c>
      <c r="C24" s="64"/>
      <c r="D24" s="174">
        <v>0.15</v>
      </c>
      <c r="E24" s="51"/>
      <c r="F24" s="161">
        <v>0.6</v>
      </c>
      <c r="G24" s="51"/>
      <c r="H24" s="161">
        <v>0.25</v>
      </c>
      <c r="I24" s="51"/>
      <c r="J24" s="161">
        <v>0.45</v>
      </c>
      <c r="K24" s="51"/>
      <c r="L24" s="175">
        <v>0.05</v>
      </c>
      <c r="M24" s="64"/>
      <c r="N24" s="174">
        <v>0.1</v>
      </c>
      <c r="O24" s="51"/>
      <c r="P24" s="161">
        <v>0.5</v>
      </c>
      <c r="Q24" s="51"/>
      <c r="R24" s="161">
        <v>0.25</v>
      </c>
      <c r="S24" s="51"/>
      <c r="T24" s="161">
        <v>0.45</v>
      </c>
      <c r="U24" s="51"/>
      <c r="V24" s="175">
        <v>0.05</v>
      </c>
      <c r="W24" s="64"/>
      <c r="X24" s="174">
        <f t="shared" si="2"/>
        <v>0</v>
      </c>
      <c r="Y24" s="51"/>
      <c r="Z24" s="161">
        <f t="shared" si="3"/>
        <v>0.3</v>
      </c>
      <c r="AA24" s="51"/>
      <c r="AB24" s="161">
        <f t="shared" si="3"/>
        <v>0.25</v>
      </c>
      <c r="AC24" s="51"/>
      <c r="AD24" s="161">
        <f t="shared" si="3"/>
        <v>0.45</v>
      </c>
      <c r="AE24" s="51"/>
      <c r="AF24" s="175">
        <f t="shared" si="3"/>
        <v>0.05</v>
      </c>
      <c r="AG24" s="64"/>
      <c r="AH24" s="174">
        <v>0</v>
      </c>
      <c r="AI24" s="51"/>
      <c r="AJ24" s="161">
        <v>0.05</v>
      </c>
      <c r="AK24" s="51"/>
      <c r="AL24" s="161">
        <v>0.25</v>
      </c>
      <c r="AM24" s="51"/>
      <c r="AN24" s="161">
        <v>0.45</v>
      </c>
      <c r="AO24" s="51"/>
      <c r="AP24" s="175">
        <v>0.05</v>
      </c>
      <c r="AQ24" s="64"/>
      <c r="AR24" s="174">
        <v>0</v>
      </c>
      <c r="AS24" s="51"/>
      <c r="AT24" s="161">
        <v>0</v>
      </c>
      <c r="AU24" s="51"/>
      <c r="AV24" s="161">
        <v>0</v>
      </c>
      <c r="AW24" s="51"/>
      <c r="AX24" s="161">
        <v>0.45</v>
      </c>
      <c r="AY24" s="51"/>
      <c r="AZ24" s="175">
        <v>0.05</v>
      </c>
      <c r="BA24" s="64"/>
      <c r="BB24" s="174">
        <v>0</v>
      </c>
      <c r="BC24" s="51"/>
      <c r="BD24" s="161">
        <v>0</v>
      </c>
      <c r="BE24" s="51"/>
      <c r="BF24" s="161">
        <v>0</v>
      </c>
      <c r="BG24" s="51"/>
      <c r="BH24" s="161">
        <v>0.3</v>
      </c>
      <c r="BI24" s="51"/>
      <c r="BJ24" s="175">
        <v>0.05</v>
      </c>
      <c r="BK24" s="64"/>
      <c r="BL24" s="174">
        <v>0</v>
      </c>
      <c r="BM24" s="51"/>
      <c r="BN24" s="161">
        <v>0</v>
      </c>
      <c r="BO24" s="51"/>
      <c r="BP24" s="161">
        <v>0</v>
      </c>
      <c r="BQ24" s="51"/>
      <c r="BR24" s="161">
        <v>0.15</v>
      </c>
      <c r="BS24" s="51"/>
      <c r="BT24" s="175">
        <v>0.05</v>
      </c>
      <c r="BU24" s="64"/>
      <c r="BV24" s="174">
        <v>0</v>
      </c>
      <c r="BW24" s="51"/>
      <c r="BX24" s="161">
        <v>0</v>
      </c>
      <c r="BY24" s="51"/>
      <c r="BZ24" s="161">
        <v>0</v>
      </c>
      <c r="CA24" s="51"/>
      <c r="CB24" s="161">
        <v>0.1</v>
      </c>
      <c r="CC24" s="51"/>
      <c r="CD24" s="175">
        <v>0.05</v>
      </c>
      <c r="CE24" s="64"/>
      <c r="CF24" s="174">
        <v>0</v>
      </c>
      <c r="CG24" s="51"/>
      <c r="CH24" s="161">
        <v>0</v>
      </c>
      <c r="CI24" s="51"/>
      <c r="CJ24" s="161">
        <v>0</v>
      </c>
      <c r="CK24" s="51"/>
      <c r="CL24" s="161">
        <v>0.05</v>
      </c>
      <c r="CM24" s="51"/>
      <c r="CN24" s="175">
        <v>0.05</v>
      </c>
      <c r="CO24" s="156"/>
    </row>
    <row r="25" spans="1:93">
      <c r="A25" s="37">
        <v>20.07</v>
      </c>
      <c r="B25" s="56" t="s">
        <v>69</v>
      </c>
      <c r="C25" s="64"/>
      <c r="D25" s="176">
        <v>0.15</v>
      </c>
      <c r="E25" s="51"/>
      <c r="F25" s="162">
        <v>0.6</v>
      </c>
      <c r="G25" s="51"/>
      <c r="H25" s="162">
        <v>0.25</v>
      </c>
      <c r="I25" s="51"/>
      <c r="J25" s="162">
        <v>0.45</v>
      </c>
      <c r="K25" s="51"/>
      <c r="L25" s="180">
        <v>0.05</v>
      </c>
      <c r="M25" s="64"/>
      <c r="N25" s="176">
        <v>0.1</v>
      </c>
      <c r="O25" s="51"/>
      <c r="P25" s="162">
        <v>0.5</v>
      </c>
      <c r="Q25" s="51"/>
      <c r="R25" s="162">
        <v>0.25</v>
      </c>
      <c r="S25" s="51"/>
      <c r="T25" s="162">
        <v>0.45</v>
      </c>
      <c r="U25" s="51"/>
      <c r="V25" s="180">
        <v>0.05</v>
      </c>
      <c r="W25" s="64"/>
      <c r="X25" s="176">
        <f t="shared" si="2"/>
        <v>0</v>
      </c>
      <c r="Y25" s="51"/>
      <c r="Z25" s="162">
        <f t="shared" si="3"/>
        <v>0.3</v>
      </c>
      <c r="AA25" s="51"/>
      <c r="AB25" s="162">
        <f t="shared" si="3"/>
        <v>0.25</v>
      </c>
      <c r="AC25" s="51"/>
      <c r="AD25" s="162">
        <f t="shared" si="3"/>
        <v>0.45</v>
      </c>
      <c r="AE25" s="51"/>
      <c r="AF25" s="180">
        <f t="shared" si="3"/>
        <v>0.05</v>
      </c>
      <c r="AG25" s="64"/>
      <c r="AH25" s="176">
        <v>0</v>
      </c>
      <c r="AI25" s="51"/>
      <c r="AJ25" s="162">
        <v>0.05</v>
      </c>
      <c r="AK25" s="51"/>
      <c r="AL25" s="162">
        <v>0.25</v>
      </c>
      <c r="AM25" s="51"/>
      <c r="AN25" s="162">
        <v>0.45</v>
      </c>
      <c r="AO25" s="51"/>
      <c r="AP25" s="180">
        <v>0.05</v>
      </c>
      <c r="AQ25" s="64"/>
      <c r="AR25" s="176">
        <v>0</v>
      </c>
      <c r="AS25" s="51"/>
      <c r="AT25" s="162">
        <v>0</v>
      </c>
      <c r="AU25" s="51"/>
      <c r="AV25" s="162">
        <v>0</v>
      </c>
      <c r="AW25" s="51"/>
      <c r="AX25" s="162">
        <v>0.45</v>
      </c>
      <c r="AY25" s="51"/>
      <c r="AZ25" s="180">
        <v>0.05</v>
      </c>
      <c r="BA25" s="64"/>
      <c r="BB25" s="176">
        <v>0</v>
      </c>
      <c r="BC25" s="51"/>
      <c r="BD25" s="162">
        <v>0</v>
      </c>
      <c r="BE25" s="51"/>
      <c r="BF25" s="162">
        <v>0</v>
      </c>
      <c r="BG25" s="51"/>
      <c r="BH25" s="162">
        <v>0.3</v>
      </c>
      <c r="BI25" s="51"/>
      <c r="BJ25" s="180">
        <v>0.05</v>
      </c>
      <c r="BK25" s="64"/>
      <c r="BL25" s="176">
        <v>0</v>
      </c>
      <c r="BM25" s="51"/>
      <c r="BN25" s="162">
        <v>0</v>
      </c>
      <c r="BO25" s="51"/>
      <c r="BP25" s="162">
        <v>0</v>
      </c>
      <c r="BQ25" s="51"/>
      <c r="BR25" s="162">
        <v>0.15</v>
      </c>
      <c r="BS25" s="51"/>
      <c r="BT25" s="180">
        <v>0.05</v>
      </c>
      <c r="BU25" s="64"/>
      <c r="BV25" s="176">
        <v>0</v>
      </c>
      <c r="BW25" s="51"/>
      <c r="BX25" s="162">
        <v>0</v>
      </c>
      <c r="BY25" s="51"/>
      <c r="BZ25" s="162">
        <v>0</v>
      </c>
      <c r="CA25" s="51"/>
      <c r="CB25" s="162">
        <v>0.1</v>
      </c>
      <c r="CC25" s="51"/>
      <c r="CD25" s="180">
        <v>0.05</v>
      </c>
      <c r="CE25" s="64"/>
      <c r="CF25" s="176">
        <v>0</v>
      </c>
      <c r="CG25" s="51"/>
      <c r="CH25" s="162">
        <v>0</v>
      </c>
      <c r="CI25" s="51"/>
      <c r="CJ25" s="162">
        <v>0</v>
      </c>
      <c r="CK25" s="51"/>
      <c r="CL25" s="162">
        <v>0.05</v>
      </c>
      <c r="CM25" s="51"/>
      <c r="CN25" s="180">
        <v>0.05</v>
      </c>
      <c r="CO25" s="156"/>
    </row>
    <row r="26" spans="1:93">
      <c r="A26" s="37" t="s">
        <v>168</v>
      </c>
      <c r="B26" s="56"/>
      <c r="C26" s="64"/>
      <c r="D26" s="177"/>
      <c r="E26" s="51"/>
      <c r="F26" s="159"/>
      <c r="G26" s="51"/>
      <c r="H26" s="159"/>
      <c r="I26" s="51"/>
      <c r="J26" s="157"/>
      <c r="K26" s="51"/>
      <c r="L26" s="171"/>
      <c r="M26" s="64"/>
      <c r="N26" s="177"/>
      <c r="O26" s="51"/>
      <c r="P26" s="159"/>
      <c r="Q26" s="51"/>
      <c r="R26" s="159"/>
      <c r="S26" s="51"/>
      <c r="T26" s="157"/>
      <c r="U26" s="51"/>
      <c r="V26" s="171"/>
      <c r="W26" s="64"/>
      <c r="X26" s="177"/>
      <c r="Y26" s="51"/>
      <c r="Z26" s="159"/>
      <c r="AA26" s="51"/>
      <c r="AB26" s="159"/>
      <c r="AC26" s="51"/>
      <c r="AD26" s="157"/>
      <c r="AE26" s="51"/>
      <c r="AF26" s="171"/>
      <c r="AG26" s="64"/>
      <c r="AH26" s="177"/>
      <c r="AI26" s="51"/>
      <c r="AJ26" s="159"/>
      <c r="AK26" s="51"/>
      <c r="AL26" s="159"/>
      <c r="AM26" s="51"/>
      <c r="AN26" s="157"/>
      <c r="AO26" s="51"/>
      <c r="AP26" s="171"/>
      <c r="AQ26" s="64"/>
      <c r="AR26" s="177"/>
      <c r="AS26" s="51"/>
      <c r="AT26" s="159"/>
      <c r="AU26" s="51"/>
      <c r="AV26" s="159"/>
      <c r="AW26" s="51"/>
      <c r="AX26" s="157"/>
      <c r="AY26" s="51"/>
      <c r="AZ26" s="171"/>
      <c r="BA26" s="64"/>
      <c r="BB26" s="177"/>
      <c r="BC26" s="51"/>
      <c r="BD26" s="159"/>
      <c r="BE26" s="51"/>
      <c r="BF26" s="159"/>
      <c r="BG26" s="51"/>
      <c r="BH26" s="157"/>
      <c r="BI26" s="51"/>
      <c r="BJ26" s="171"/>
      <c r="BK26" s="64"/>
      <c r="BL26" s="177"/>
      <c r="BM26" s="51"/>
      <c r="BN26" s="159"/>
      <c r="BO26" s="51"/>
      <c r="BP26" s="159"/>
      <c r="BQ26" s="51"/>
      <c r="BR26" s="157"/>
      <c r="BS26" s="51"/>
      <c r="BT26" s="171"/>
      <c r="BU26" s="64"/>
      <c r="BV26" s="177"/>
      <c r="BW26" s="51"/>
      <c r="BX26" s="159"/>
      <c r="BY26" s="51"/>
      <c r="BZ26" s="159"/>
      <c r="CA26" s="51"/>
      <c r="CB26" s="157"/>
      <c r="CC26" s="51"/>
      <c r="CD26" s="171"/>
      <c r="CE26" s="64"/>
      <c r="CF26" s="177"/>
      <c r="CG26" s="51"/>
      <c r="CH26" s="159"/>
      <c r="CI26" s="51"/>
      <c r="CJ26" s="159"/>
      <c r="CK26" s="51"/>
      <c r="CL26" s="157"/>
      <c r="CM26" s="51"/>
      <c r="CN26" s="171"/>
      <c r="CO26" s="156"/>
    </row>
    <row r="27" spans="1:93">
      <c r="A27" s="37">
        <v>30.01</v>
      </c>
      <c r="B27" s="56" t="s">
        <v>28</v>
      </c>
      <c r="C27" s="64"/>
      <c r="D27" s="179">
        <v>0.15</v>
      </c>
      <c r="E27" s="51"/>
      <c r="F27" s="163">
        <v>0.6</v>
      </c>
      <c r="G27" s="51"/>
      <c r="H27" s="163">
        <v>0.25</v>
      </c>
      <c r="I27" s="51"/>
      <c r="J27" s="163">
        <v>0.45</v>
      </c>
      <c r="K27" s="51"/>
      <c r="L27" s="181">
        <v>0.05</v>
      </c>
      <c r="M27" s="64"/>
      <c r="N27" s="179">
        <v>0.1</v>
      </c>
      <c r="O27" s="51"/>
      <c r="P27" s="163">
        <v>0.5</v>
      </c>
      <c r="Q27" s="51"/>
      <c r="R27" s="163">
        <v>0.25</v>
      </c>
      <c r="S27" s="51"/>
      <c r="T27" s="163">
        <v>0.45</v>
      </c>
      <c r="U27" s="51"/>
      <c r="V27" s="181">
        <v>0.05</v>
      </c>
      <c r="W27" s="64"/>
      <c r="X27" s="179">
        <f t="shared" ref="X27:AF31" si="4">X$5</f>
        <v>0</v>
      </c>
      <c r="Y27" s="51"/>
      <c r="Z27" s="163">
        <f t="shared" si="4"/>
        <v>0.3</v>
      </c>
      <c r="AA27" s="51"/>
      <c r="AB27" s="163">
        <f t="shared" si="4"/>
        <v>0.25</v>
      </c>
      <c r="AC27" s="51"/>
      <c r="AD27" s="163">
        <f t="shared" si="4"/>
        <v>0.45</v>
      </c>
      <c r="AE27" s="51"/>
      <c r="AF27" s="181">
        <f t="shared" si="4"/>
        <v>0.05</v>
      </c>
      <c r="AG27" s="64"/>
      <c r="AH27" s="179">
        <v>0</v>
      </c>
      <c r="AI27" s="51"/>
      <c r="AJ27" s="163">
        <v>0.05</v>
      </c>
      <c r="AK27" s="51"/>
      <c r="AL27" s="163">
        <v>0.25</v>
      </c>
      <c r="AM27" s="51"/>
      <c r="AN27" s="163">
        <v>0.45</v>
      </c>
      <c r="AO27" s="51"/>
      <c r="AP27" s="181">
        <v>0.05</v>
      </c>
      <c r="AQ27" s="64"/>
      <c r="AR27" s="179">
        <v>0</v>
      </c>
      <c r="AS27" s="51"/>
      <c r="AT27" s="163">
        <v>0</v>
      </c>
      <c r="AU27" s="51"/>
      <c r="AV27" s="163">
        <v>0</v>
      </c>
      <c r="AW27" s="51"/>
      <c r="AX27" s="163">
        <v>0.45</v>
      </c>
      <c r="AY27" s="51"/>
      <c r="AZ27" s="181">
        <v>0.05</v>
      </c>
      <c r="BA27" s="64"/>
      <c r="BB27" s="179">
        <v>0</v>
      </c>
      <c r="BC27" s="51"/>
      <c r="BD27" s="163">
        <v>0</v>
      </c>
      <c r="BE27" s="51"/>
      <c r="BF27" s="163">
        <v>0</v>
      </c>
      <c r="BG27" s="51"/>
      <c r="BH27" s="163">
        <v>0.3</v>
      </c>
      <c r="BI27" s="51"/>
      <c r="BJ27" s="181">
        <v>0.05</v>
      </c>
      <c r="BK27" s="64"/>
      <c r="BL27" s="179">
        <v>0</v>
      </c>
      <c r="BM27" s="51"/>
      <c r="BN27" s="163">
        <v>0</v>
      </c>
      <c r="BO27" s="51"/>
      <c r="BP27" s="163">
        <v>0</v>
      </c>
      <c r="BQ27" s="51"/>
      <c r="BR27" s="163">
        <v>0.15</v>
      </c>
      <c r="BS27" s="51"/>
      <c r="BT27" s="181">
        <v>0.05</v>
      </c>
      <c r="BU27" s="64"/>
      <c r="BV27" s="179">
        <v>0</v>
      </c>
      <c r="BW27" s="51"/>
      <c r="BX27" s="163">
        <v>0</v>
      </c>
      <c r="BY27" s="51"/>
      <c r="BZ27" s="163">
        <v>0</v>
      </c>
      <c r="CA27" s="51"/>
      <c r="CB27" s="163">
        <v>0.1</v>
      </c>
      <c r="CC27" s="51"/>
      <c r="CD27" s="181">
        <v>0.05</v>
      </c>
      <c r="CE27" s="64"/>
      <c r="CF27" s="179">
        <v>0</v>
      </c>
      <c r="CG27" s="51"/>
      <c r="CH27" s="163">
        <v>0</v>
      </c>
      <c r="CI27" s="51"/>
      <c r="CJ27" s="163">
        <v>0</v>
      </c>
      <c r="CK27" s="51"/>
      <c r="CL27" s="163">
        <v>0.05</v>
      </c>
      <c r="CM27" s="51"/>
      <c r="CN27" s="181">
        <v>0.05</v>
      </c>
      <c r="CO27" s="156"/>
    </row>
    <row r="28" spans="1:93">
      <c r="A28" s="37">
        <v>30.02</v>
      </c>
      <c r="B28" s="56" t="s">
        <v>29</v>
      </c>
      <c r="C28" s="64"/>
      <c r="D28" s="174">
        <v>0.15</v>
      </c>
      <c r="E28" s="51"/>
      <c r="F28" s="161">
        <v>0.6</v>
      </c>
      <c r="G28" s="51"/>
      <c r="H28" s="161">
        <v>0.25</v>
      </c>
      <c r="I28" s="51"/>
      <c r="J28" s="161">
        <v>0.45</v>
      </c>
      <c r="K28" s="51"/>
      <c r="L28" s="175">
        <v>0.05</v>
      </c>
      <c r="M28" s="64"/>
      <c r="N28" s="174">
        <v>0.1</v>
      </c>
      <c r="O28" s="51"/>
      <c r="P28" s="161">
        <v>0.5</v>
      </c>
      <c r="Q28" s="51"/>
      <c r="R28" s="161">
        <v>0.25</v>
      </c>
      <c r="S28" s="51"/>
      <c r="T28" s="161">
        <v>0.45</v>
      </c>
      <c r="U28" s="51"/>
      <c r="V28" s="175">
        <v>0.05</v>
      </c>
      <c r="W28" s="64"/>
      <c r="X28" s="174">
        <f t="shared" si="4"/>
        <v>0</v>
      </c>
      <c r="Y28" s="51"/>
      <c r="Z28" s="161">
        <f t="shared" si="4"/>
        <v>0.3</v>
      </c>
      <c r="AA28" s="51"/>
      <c r="AB28" s="161">
        <f t="shared" si="4"/>
        <v>0.25</v>
      </c>
      <c r="AC28" s="51"/>
      <c r="AD28" s="161">
        <f t="shared" si="4"/>
        <v>0.45</v>
      </c>
      <c r="AE28" s="51"/>
      <c r="AF28" s="175">
        <f t="shared" si="4"/>
        <v>0.05</v>
      </c>
      <c r="AG28" s="64"/>
      <c r="AH28" s="174">
        <v>0</v>
      </c>
      <c r="AI28" s="51"/>
      <c r="AJ28" s="161">
        <v>0.05</v>
      </c>
      <c r="AK28" s="51"/>
      <c r="AL28" s="161">
        <v>0.25</v>
      </c>
      <c r="AM28" s="51"/>
      <c r="AN28" s="161">
        <v>0.45</v>
      </c>
      <c r="AO28" s="51"/>
      <c r="AP28" s="175">
        <v>0.05</v>
      </c>
      <c r="AQ28" s="64"/>
      <c r="AR28" s="174">
        <v>0</v>
      </c>
      <c r="AS28" s="51"/>
      <c r="AT28" s="161">
        <v>0</v>
      </c>
      <c r="AU28" s="51"/>
      <c r="AV28" s="161">
        <v>0</v>
      </c>
      <c r="AW28" s="51"/>
      <c r="AX28" s="161">
        <v>0.45</v>
      </c>
      <c r="AY28" s="51"/>
      <c r="AZ28" s="175">
        <v>0.05</v>
      </c>
      <c r="BA28" s="64"/>
      <c r="BB28" s="174">
        <v>0</v>
      </c>
      <c r="BC28" s="51"/>
      <c r="BD28" s="161">
        <v>0</v>
      </c>
      <c r="BE28" s="51"/>
      <c r="BF28" s="161">
        <v>0</v>
      </c>
      <c r="BG28" s="51"/>
      <c r="BH28" s="161">
        <v>0.3</v>
      </c>
      <c r="BI28" s="51"/>
      <c r="BJ28" s="175">
        <v>0.05</v>
      </c>
      <c r="BK28" s="64"/>
      <c r="BL28" s="174">
        <v>0</v>
      </c>
      <c r="BM28" s="51"/>
      <c r="BN28" s="161">
        <v>0</v>
      </c>
      <c r="BO28" s="51"/>
      <c r="BP28" s="161">
        <v>0</v>
      </c>
      <c r="BQ28" s="51"/>
      <c r="BR28" s="161">
        <v>0.15</v>
      </c>
      <c r="BS28" s="51"/>
      <c r="BT28" s="175">
        <v>0.05</v>
      </c>
      <c r="BU28" s="64"/>
      <c r="BV28" s="174">
        <v>0</v>
      </c>
      <c r="BW28" s="51"/>
      <c r="BX28" s="161">
        <v>0</v>
      </c>
      <c r="BY28" s="51"/>
      <c r="BZ28" s="161">
        <v>0</v>
      </c>
      <c r="CA28" s="51"/>
      <c r="CB28" s="161">
        <v>0.1</v>
      </c>
      <c r="CC28" s="51"/>
      <c r="CD28" s="175">
        <v>0.05</v>
      </c>
      <c r="CE28" s="64"/>
      <c r="CF28" s="174">
        <v>0</v>
      </c>
      <c r="CG28" s="51"/>
      <c r="CH28" s="161">
        <v>0</v>
      </c>
      <c r="CI28" s="51"/>
      <c r="CJ28" s="161">
        <v>0</v>
      </c>
      <c r="CK28" s="51"/>
      <c r="CL28" s="161">
        <v>0.05</v>
      </c>
      <c r="CM28" s="51"/>
      <c r="CN28" s="175">
        <v>0.05</v>
      </c>
      <c r="CO28" s="156"/>
    </row>
    <row r="29" spans="1:93">
      <c r="A29" s="37">
        <v>30.03</v>
      </c>
      <c r="B29" s="56" t="s">
        <v>30</v>
      </c>
      <c r="C29" s="64"/>
      <c r="D29" s="174">
        <v>0.15</v>
      </c>
      <c r="E29" s="51"/>
      <c r="F29" s="161">
        <v>0.6</v>
      </c>
      <c r="G29" s="51"/>
      <c r="H29" s="161">
        <v>0.25</v>
      </c>
      <c r="I29" s="51"/>
      <c r="J29" s="161">
        <v>0.45</v>
      </c>
      <c r="K29" s="51"/>
      <c r="L29" s="175">
        <v>0.05</v>
      </c>
      <c r="M29" s="64"/>
      <c r="N29" s="174">
        <v>0.1</v>
      </c>
      <c r="O29" s="51"/>
      <c r="P29" s="161">
        <v>0.5</v>
      </c>
      <c r="Q29" s="51"/>
      <c r="R29" s="161">
        <v>0.25</v>
      </c>
      <c r="S29" s="51"/>
      <c r="T29" s="161">
        <v>0.45</v>
      </c>
      <c r="U29" s="51"/>
      <c r="V29" s="175">
        <v>0.05</v>
      </c>
      <c r="W29" s="64"/>
      <c r="X29" s="174">
        <f t="shared" si="4"/>
        <v>0</v>
      </c>
      <c r="Y29" s="51"/>
      <c r="Z29" s="161">
        <f t="shared" si="4"/>
        <v>0.3</v>
      </c>
      <c r="AA29" s="51"/>
      <c r="AB29" s="161">
        <f t="shared" si="4"/>
        <v>0.25</v>
      </c>
      <c r="AC29" s="51"/>
      <c r="AD29" s="161">
        <f t="shared" si="4"/>
        <v>0.45</v>
      </c>
      <c r="AE29" s="51"/>
      <c r="AF29" s="175">
        <f t="shared" si="4"/>
        <v>0.05</v>
      </c>
      <c r="AG29" s="64"/>
      <c r="AH29" s="174">
        <v>0</v>
      </c>
      <c r="AI29" s="51"/>
      <c r="AJ29" s="161">
        <v>0.05</v>
      </c>
      <c r="AK29" s="51"/>
      <c r="AL29" s="161">
        <v>0.25</v>
      </c>
      <c r="AM29" s="51"/>
      <c r="AN29" s="161">
        <v>0.45</v>
      </c>
      <c r="AO29" s="51"/>
      <c r="AP29" s="175">
        <v>0.05</v>
      </c>
      <c r="AQ29" s="64"/>
      <c r="AR29" s="174">
        <v>0</v>
      </c>
      <c r="AS29" s="51"/>
      <c r="AT29" s="161">
        <v>0</v>
      </c>
      <c r="AU29" s="51"/>
      <c r="AV29" s="161">
        <v>0</v>
      </c>
      <c r="AW29" s="51"/>
      <c r="AX29" s="161">
        <v>0.45</v>
      </c>
      <c r="AY29" s="51"/>
      <c r="AZ29" s="175">
        <v>0.05</v>
      </c>
      <c r="BA29" s="64"/>
      <c r="BB29" s="174">
        <v>0</v>
      </c>
      <c r="BC29" s="51"/>
      <c r="BD29" s="161">
        <v>0</v>
      </c>
      <c r="BE29" s="51"/>
      <c r="BF29" s="161">
        <v>0</v>
      </c>
      <c r="BG29" s="51"/>
      <c r="BH29" s="161">
        <v>0.3</v>
      </c>
      <c r="BI29" s="51"/>
      <c r="BJ29" s="175">
        <v>0.05</v>
      </c>
      <c r="BK29" s="64"/>
      <c r="BL29" s="174">
        <v>0</v>
      </c>
      <c r="BM29" s="51"/>
      <c r="BN29" s="161">
        <v>0</v>
      </c>
      <c r="BO29" s="51"/>
      <c r="BP29" s="161">
        <v>0</v>
      </c>
      <c r="BQ29" s="51"/>
      <c r="BR29" s="161">
        <v>0.15</v>
      </c>
      <c r="BS29" s="51"/>
      <c r="BT29" s="175">
        <v>0.05</v>
      </c>
      <c r="BU29" s="64"/>
      <c r="BV29" s="174">
        <v>0</v>
      </c>
      <c r="BW29" s="51"/>
      <c r="BX29" s="161">
        <v>0</v>
      </c>
      <c r="BY29" s="51"/>
      <c r="BZ29" s="161">
        <v>0</v>
      </c>
      <c r="CA29" s="51"/>
      <c r="CB29" s="161">
        <v>0.1</v>
      </c>
      <c r="CC29" s="51"/>
      <c r="CD29" s="175">
        <v>0.05</v>
      </c>
      <c r="CE29" s="64"/>
      <c r="CF29" s="174">
        <v>0</v>
      </c>
      <c r="CG29" s="51"/>
      <c r="CH29" s="161">
        <v>0</v>
      </c>
      <c r="CI29" s="51"/>
      <c r="CJ29" s="161">
        <v>0</v>
      </c>
      <c r="CK29" s="51"/>
      <c r="CL29" s="161">
        <v>0.05</v>
      </c>
      <c r="CM29" s="51"/>
      <c r="CN29" s="175">
        <v>0.05</v>
      </c>
      <c r="CO29" s="156"/>
    </row>
    <row r="30" spans="1:93">
      <c r="A30" s="37">
        <v>30.04</v>
      </c>
      <c r="B30" s="56" t="s">
        <v>31</v>
      </c>
      <c r="C30" s="64"/>
      <c r="D30" s="174">
        <v>0.15</v>
      </c>
      <c r="E30" s="51"/>
      <c r="F30" s="161">
        <v>0.6</v>
      </c>
      <c r="G30" s="51"/>
      <c r="H30" s="161">
        <v>0.25</v>
      </c>
      <c r="I30" s="51"/>
      <c r="J30" s="161">
        <v>0.45</v>
      </c>
      <c r="K30" s="51"/>
      <c r="L30" s="175">
        <v>0.05</v>
      </c>
      <c r="M30" s="64"/>
      <c r="N30" s="174">
        <v>0.1</v>
      </c>
      <c r="O30" s="51"/>
      <c r="P30" s="161">
        <v>0.5</v>
      </c>
      <c r="Q30" s="51"/>
      <c r="R30" s="161">
        <v>0.25</v>
      </c>
      <c r="S30" s="51"/>
      <c r="T30" s="161">
        <v>0.45</v>
      </c>
      <c r="U30" s="51"/>
      <c r="V30" s="175">
        <v>0.05</v>
      </c>
      <c r="W30" s="64"/>
      <c r="X30" s="174">
        <f t="shared" si="4"/>
        <v>0</v>
      </c>
      <c r="Y30" s="51"/>
      <c r="Z30" s="161">
        <f t="shared" si="4"/>
        <v>0.3</v>
      </c>
      <c r="AA30" s="51"/>
      <c r="AB30" s="161">
        <f t="shared" si="4"/>
        <v>0.25</v>
      </c>
      <c r="AC30" s="51"/>
      <c r="AD30" s="161">
        <f t="shared" si="4"/>
        <v>0.45</v>
      </c>
      <c r="AE30" s="51"/>
      <c r="AF30" s="175">
        <f t="shared" si="4"/>
        <v>0.05</v>
      </c>
      <c r="AG30" s="64"/>
      <c r="AH30" s="174">
        <v>0</v>
      </c>
      <c r="AI30" s="51"/>
      <c r="AJ30" s="161">
        <v>0.05</v>
      </c>
      <c r="AK30" s="51"/>
      <c r="AL30" s="161">
        <v>0.25</v>
      </c>
      <c r="AM30" s="51"/>
      <c r="AN30" s="161">
        <v>0.45</v>
      </c>
      <c r="AO30" s="51"/>
      <c r="AP30" s="175">
        <v>0.05</v>
      </c>
      <c r="AQ30" s="64"/>
      <c r="AR30" s="174">
        <v>0</v>
      </c>
      <c r="AS30" s="51"/>
      <c r="AT30" s="161">
        <v>0</v>
      </c>
      <c r="AU30" s="51"/>
      <c r="AV30" s="161">
        <v>0</v>
      </c>
      <c r="AW30" s="51"/>
      <c r="AX30" s="161">
        <v>0.45</v>
      </c>
      <c r="AY30" s="51"/>
      <c r="AZ30" s="175">
        <v>0.05</v>
      </c>
      <c r="BA30" s="64"/>
      <c r="BB30" s="174">
        <v>0</v>
      </c>
      <c r="BC30" s="51"/>
      <c r="BD30" s="161">
        <v>0</v>
      </c>
      <c r="BE30" s="51"/>
      <c r="BF30" s="161">
        <v>0</v>
      </c>
      <c r="BG30" s="51"/>
      <c r="BH30" s="161">
        <v>0.3</v>
      </c>
      <c r="BI30" s="51"/>
      <c r="BJ30" s="175">
        <v>0.05</v>
      </c>
      <c r="BK30" s="64"/>
      <c r="BL30" s="174">
        <v>0</v>
      </c>
      <c r="BM30" s="51"/>
      <c r="BN30" s="161">
        <v>0</v>
      </c>
      <c r="BO30" s="51"/>
      <c r="BP30" s="161">
        <v>0</v>
      </c>
      <c r="BQ30" s="51"/>
      <c r="BR30" s="161">
        <v>0.15</v>
      </c>
      <c r="BS30" s="51"/>
      <c r="BT30" s="175">
        <v>0.05</v>
      </c>
      <c r="BU30" s="64"/>
      <c r="BV30" s="174">
        <v>0</v>
      </c>
      <c r="BW30" s="51"/>
      <c r="BX30" s="161">
        <v>0</v>
      </c>
      <c r="BY30" s="51"/>
      <c r="BZ30" s="161">
        <v>0</v>
      </c>
      <c r="CA30" s="51"/>
      <c r="CB30" s="161">
        <v>0.1</v>
      </c>
      <c r="CC30" s="51"/>
      <c r="CD30" s="175">
        <v>0.05</v>
      </c>
      <c r="CE30" s="64"/>
      <c r="CF30" s="174">
        <v>0</v>
      </c>
      <c r="CG30" s="51"/>
      <c r="CH30" s="161">
        <v>0</v>
      </c>
      <c r="CI30" s="51"/>
      <c r="CJ30" s="161">
        <v>0</v>
      </c>
      <c r="CK30" s="51"/>
      <c r="CL30" s="161">
        <v>0.05</v>
      </c>
      <c r="CM30" s="51"/>
      <c r="CN30" s="175">
        <v>0.05</v>
      </c>
      <c r="CO30" s="156"/>
    </row>
    <row r="31" spans="1:93">
      <c r="A31" s="37">
        <v>30.05</v>
      </c>
      <c r="B31" s="56" t="s">
        <v>32</v>
      </c>
      <c r="C31" s="64"/>
      <c r="D31" s="176">
        <v>0.15</v>
      </c>
      <c r="E31" s="51"/>
      <c r="F31" s="162">
        <v>0.6</v>
      </c>
      <c r="G31" s="51"/>
      <c r="H31" s="162">
        <v>0.25</v>
      </c>
      <c r="I31" s="51"/>
      <c r="J31" s="162">
        <v>0.45</v>
      </c>
      <c r="K31" s="51"/>
      <c r="L31" s="180">
        <v>0.05</v>
      </c>
      <c r="M31" s="64"/>
      <c r="N31" s="176">
        <v>0.1</v>
      </c>
      <c r="O31" s="51"/>
      <c r="P31" s="162">
        <v>0.5</v>
      </c>
      <c r="Q31" s="51"/>
      <c r="R31" s="162">
        <v>0.25</v>
      </c>
      <c r="S31" s="51"/>
      <c r="T31" s="162">
        <v>0.45</v>
      </c>
      <c r="U31" s="51"/>
      <c r="V31" s="180">
        <v>0.05</v>
      </c>
      <c r="W31" s="64"/>
      <c r="X31" s="176">
        <f t="shared" si="4"/>
        <v>0</v>
      </c>
      <c r="Y31" s="51"/>
      <c r="Z31" s="162">
        <f t="shared" si="4"/>
        <v>0.3</v>
      </c>
      <c r="AA31" s="51"/>
      <c r="AB31" s="162">
        <f t="shared" si="4"/>
        <v>0.25</v>
      </c>
      <c r="AC31" s="51"/>
      <c r="AD31" s="162">
        <f t="shared" si="4"/>
        <v>0.45</v>
      </c>
      <c r="AE31" s="51"/>
      <c r="AF31" s="180">
        <f t="shared" si="4"/>
        <v>0.05</v>
      </c>
      <c r="AG31" s="64"/>
      <c r="AH31" s="176">
        <v>0</v>
      </c>
      <c r="AI31" s="51"/>
      <c r="AJ31" s="162">
        <v>0.05</v>
      </c>
      <c r="AK31" s="51"/>
      <c r="AL31" s="162">
        <v>0.25</v>
      </c>
      <c r="AM31" s="51"/>
      <c r="AN31" s="162">
        <v>0.45</v>
      </c>
      <c r="AO31" s="51"/>
      <c r="AP31" s="180">
        <v>0.05</v>
      </c>
      <c r="AQ31" s="64"/>
      <c r="AR31" s="176">
        <v>0</v>
      </c>
      <c r="AS31" s="51"/>
      <c r="AT31" s="162">
        <v>0</v>
      </c>
      <c r="AU31" s="51"/>
      <c r="AV31" s="162">
        <v>0</v>
      </c>
      <c r="AW31" s="51"/>
      <c r="AX31" s="162">
        <v>0.45</v>
      </c>
      <c r="AY31" s="51"/>
      <c r="AZ31" s="180">
        <v>0.05</v>
      </c>
      <c r="BA31" s="64"/>
      <c r="BB31" s="176">
        <v>0</v>
      </c>
      <c r="BC31" s="51"/>
      <c r="BD31" s="162">
        <v>0</v>
      </c>
      <c r="BE31" s="51"/>
      <c r="BF31" s="162">
        <v>0</v>
      </c>
      <c r="BG31" s="51"/>
      <c r="BH31" s="162">
        <v>0.3</v>
      </c>
      <c r="BI31" s="51"/>
      <c r="BJ31" s="180">
        <v>0.05</v>
      </c>
      <c r="BK31" s="64"/>
      <c r="BL31" s="176">
        <v>0</v>
      </c>
      <c r="BM31" s="51"/>
      <c r="BN31" s="162">
        <v>0</v>
      </c>
      <c r="BO31" s="51"/>
      <c r="BP31" s="162">
        <v>0</v>
      </c>
      <c r="BQ31" s="51"/>
      <c r="BR31" s="162">
        <v>0.15</v>
      </c>
      <c r="BS31" s="51"/>
      <c r="BT31" s="180">
        <v>0.05</v>
      </c>
      <c r="BU31" s="64"/>
      <c r="BV31" s="176">
        <v>0</v>
      </c>
      <c r="BW31" s="51"/>
      <c r="BX31" s="162">
        <v>0</v>
      </c>
      <c r="BY31" s="51"/>
      <c r="BZ31" s="162">
        <v>0</v>
      </c>
      <c r="CA31" s="51"/>
      <c r="CB31" s="162">
        <v>0.1</v>
      </c>
      <c r="CC31" s="51"/>
      <c r="CD31" s="180">
        <v>0.05</v>
      </c>
      <c r="CE31" s="64"/>
      <c r="CF31" s="176">
        <v>0</v>
      </c>
      <c r="CG31" s="51"/>
      <c r="CH31" s="162">
        <v>0</v>
      </c>
      <c r="CI31" s="51"/>
      <c r="CJ31" s="162">
        <v>0</v>
      </c>
      <c r="CK31" s="51"/>
      <c r="CL31" s="162">
        <v>0.05</v>
      </c>
      <c r="CM31" s="51"/>
      <c r="CN31" s="180">
        <v>0.05</v>
      </c>
      <c r="CO31" s="156"/>
    </row>
    <row r="32" spans="1:93">
      <c r="A32" s="37" t="s">
        <v>169</v>
      </c>
      <c r="B32" s="56"/>
      <c r="C32" s="64"/>
      <c r="D32" s="177"/>
      <c r="E32" s="51"/>
      <c r="F32" s="159"/>
      <c r="G32" s="51"/>
      <c r="H32" s="159"/>
      <c r="I32" s="51"/>
      <c r="J32" s="157"/>
      <c r="K32" s="51"/>
      <c r="L32" s="171"/>
      <c r="M32" s="64"/>
      <c r="N32" s="177"/>
      <c r="O32" s="51"/>
      <c r="P32" s="159"/>
      <c r="Q32" s="51"/>
      <c r="R32" s="159"/>
      <c r="S32" s="51"/>
      <c r="T32" s="157"/>
      <c r="U32" s="51"/>
      <c r="V32" s="171"/>
      <c r="W32" s="64"/>
      <c r="X32" s="177"/>
      <c r="Y32" s="51"/>
      <c r="Z32" s="159"/>
      <c r="AA32" s="51"/>
      <c r="AB32" s="159"/>
      <c r="AC32" s="51"/>
      <c r="AD32" s="157"/>
      <c r="AE32" s="51"/>
      <c r="AF32" s="171"/>
      <c r="AG32" s="64"/>
      <c r="AH32" s="177"/>
      <c r="AI32" s="51"/>
      <c r="AJ32" s="159"/>
      <c r="AK32" s="51"/>
      <c r="AL32" s="159"/>
      <c r="AM32" s="51"/>
      <c r="AN32" s="157"/>
      <c r="AO32" s="51"/>
      <c r="AP32" s="171"/>
      <c r="AQ32" s="64"/>
      <c r="AR32" s="177"/>
      <c r="AS32" s="51"/>
      <c r="AT32" s="159"/>
      <c r="AU32" s="51"/>
      <c r="AV32" s="159"/>
      <c r="AW32" s="51"/>
      <c r="AX32" s="157"/>
      <c r="AY32" s="51"/>
      <c r="AZ32" s="171"/>
      <c r="BA32" s="64"/>
      <c r="BB32" s="177"/>
      <c r="BC32" s="51"/>
      <c r="BD32" s="159"/>
      <c r="BE32" s="51"/>
      <c r="BF32" s="159"/>
      <c r="BG32" s="51"/>
      <c r="BH32" s="157"/>
      <c r="BI32" s="51"/>
      <c r="BJ32" s="171"/>
      <c r="BK32" s="64"/>
      <c r="BL32" s="177"/>
      <c r="BM32" s="51"/>
      <c r="BN32" s="159"/>
      <c r="BO32" s="51"/>
      <c r="BP32" s="159"/>
      <c r="BQ32" s="51"/>
      <c r="BR32" s="157"/>
      <c r="BS32" s="51"/>
      <c r="BT32" s="171"/>
      <c r="BU32" s="64"/>
      <c r="BV32" s="177"/>
      <c r="BW32" s="51"/>
      <c r="BX32" s="159"/>
      <c r="BY32" s="51"/>
      <c r="BZ32" s="159"/>
      <c r="CA32" s="51"/>
      <c r="CB32" s="157"/>
      <c r="CC32" s="51"/>
      <c r="CD32" s="171"/>
      <c r="CE32" s="64"/>
      <c r="CF32" s="177"/>
      <c r="CG32" s="51"/>
      <c r="CH32" s="159"/>
      <c r="CI32" s="51"/>
      <c r="CJ32" s="159"/>
      <c r="CK32" s="51"/>
      <c r="CL32" s="157"/>
      <c r="CM32" s="51"/>
      <c r="CN32" s="171"/>
      <c r="CO32" s="156"/>
    </row>
    <row r="33" spans="1:93">
      <c r="A33" s="37">
        <v>40.01</v>
      </c>
      <c r="B33" s="56" t="s">
        <v>33</v>
      </c>
      <c r="C33" s="64"/>
      <c r="D33" s="179">
        <v>0.15</v>
      </c>
      <c r="E33" s="51"/>
      <c r="F33" s="163">
        <v>0.6</v>
      </c>
      <c r="G33" s="51"/>
      <c r="H33" s="163">
        <v>0.25</v>
      </c>
      <c r="I33" s="51"/>
      <c r="J33" s="163">
        <v>0.45</v>
      </c>
      <c r="K33" s="51"/>
      <c r="L33" s="181">
        <v>0.05</v>
      </c>
      <c r="M33" s="64"/>
      <c r="N33" s="179">
        <v>0.1</v>
      </c>
      <c r="O33" s="51"/>
      <c r="P33" s="163">
        <v>0.5</v>
      </c>
      <c r="Q33" s="51"/>
      <c r="R33" s="163">
        <v>0.25</v>
      </c>
      <c r="S33" s="51"/>
      <c r="T33" s="163">
        <v>0.45</v>
      </c>
      <c r="U33" s="51"/>
      <c r="V33" s="181">
        <v>0.05</v>
      </c>
      <c r="W33" s="64"/>
      <c r="X33" s="179">
        <f t="shared" ref="X33:AF40" si="5">X$5</f>
        <v>0</v>
      </c>
      <c r="Y33" s="51"/>
      <c r="Z33" s="163">
        <f t="shared" si="5"/>
        <v>0.3</v>
      </c>
      <c r="AA33" s="51"/>
      <c r="AB33" s="163">
        <f t="shared" si="5"/>
        <v>0.25</v>
      </c>
      <c r="AC33" s="51"/>
      <c r="AD33" s="163">
        <f t="shared" si="5"/>
        <v>0.45</v>
      </c>
      <c r="AE33" s="51"/>
      <c r="AF33" s="181">
        <f t="shared" si="5"/>
        <v>0.05</v>
      </c>
      <c r="AG33" s="64"/>
      <c r="AH33" s="179">
        <v>0</v>
      </c>
      <c r="AI33" s="51"/>
      <c r="AJ33" s="163">
        <v>0.05</v>
      </c>
      <c r="AK33" s="51"/>
      <c r="AL33" s="163">
        <v>0.25</v>
      </c>
      <c r="AM33" s="51"/>
      <c r="AN33" s="163">
        <v>0.45</v>
      </c>
      <c r="AO33" s="51"/>
      <c r="AP33" s="181">
        <v>0.05</v>
      </c>
      <c r="AQ33" s="64"/>
      <c r="AR33" s="179">
        <v>0</v>
      </c>
      <c r="AS33" s="51"/>
      <c r="AT33" s="163">
        <v>0</v>
      </c>
      <c r="AU33" s="51"/>
      <c r="AV33" s="163">
        <v>0</v>
      </c>
      <c r="AW33" s="51"/>
      <c r="AX33" s="163">
        <v>0.45</v>
      </c>
      <c r="AY33" s="51"/>
      <c r="AZ33" s="181">
        <v>0.05</v>
      </c>
      <c r="BA33" s="64"/>
      <c r="BB33" s="179">
        <v>0</v>
      </c>
      <c r="BC33" s="51"/>
      <c r="BD33" s="163">
        <v>0</v>
      </c>
      <c r="BE33" s="51"/>
      <c r="BF33" s="163">
        <v>0</v>
      </c>
      <c r="BG33" s="51"/>
      <c r="BH33" s="163">
        <v>0.3</v>
      </c>
      <c r="BI33" s="51"/>
      <c r="BJ33" s="181">
        <v>0.05</v>
      </c>
      <c r="BK33" s="64"/>
      <c r="BL33" s="179">
        <v>0</v>
      </c>
      <c r="BM33" s="51"/>
      <c r="BN33" s="163">
        <v>0</v>
      </c>
      <c r="BO33" s="51"/>
      <c r="BP33" s="163">
        <v>0</v>
      </c>
      <c r="BQ33" s="51"/>
      <c r="BR33" s="163">
        <v>0.15</v>
      </c>
      <c r="BS33" s="51"/>
      <c r="BT33" s="181">
        <v>0.05</v>
      </c>
      <c r="BU33" s="64"/>
      <c r="BV33" s="179">
        <v>0</v>
      </c>
      <c r="BW33" s="51"/>
      <c r="BX33" s="163">
        <v>0</v>
      </c>
      <c r="BY33" s="51"/>
      <c r="BZ33" s="163">
        <v>0</v>
      </c>
      <c r="CA33" s="51"/>
      <c r="CB33" s="163">
        <v>0.1</v>
      </c>
      <c r="CC33" s="51"/>
      <c r="CD33" s="181">
        <v>0.05</v>
      </c>
      <c r="CE33" s="64"/>
      <c r="CF33" s="179">
        <v>0</v>
      </c>
      <c r="CG33" s="51"/>
      <c r="CH33" s="163">
        <v>0</v>
      </c>
      <c r="CI33" s="51"/>
      <c r="CJ33" s="163">
        <v>0</v>
      </c>
      <c r="CK33" s="51"/>
      <c r="CL33" s="163">
        <v>0.05</v>
      </c>
      <c r="CM33" s="51"/>
      <c r="CN33" s="181">
        <v>0.05</v>
      </c>
      <c r="CO33" s="156"/>
    </row>
    <row r="34" spans="1:93">
      <c r="A34" s="37">
        <v>40.020000000000003</v>
      </c>
      <c r="B34" s="56" t="s">
        <v>34</v>
      </c>
      <c r="C34" s="64"/>
      <c r="D34" s="174">
        <v>0.15</v>
      </c>
      <c r="E34" s="51"/>
      <c r="F34" s="161">
        <v>0.6</v>
      </c>
      <c r="G34" s="51"/>
      <c r="H34" s="161">
        <v>0.25</v>
      </c>
      <c r="I34" s="51"/>
      <c r="J34" s="161">
        <v>0.45</v>
      </c>
      <c r="K34" s="51"/>
      <c r="L34" s="175">
        <v>0.05</v>
      </c>
      <c r="M34" s="64"/>
      <c r="N34" s="174">
        <v>0.1</v>
      </c>
      <c r="O34" s="51"/>
      <c r="P34" s="161">
        <v>0.5</v>
      </c>
      <c r="Q34" s="51"/>
      <c r="R34" s="161">
        <v>0.25</v>
      </c>
      <c r="S34" s="51"/>
      <c r="T34" s="161">
        <v>0.45</v>
      </c>
      <c r="U34" s="51"/>
      <c r="V34" s="175">
        <v>0.05</v>
      </c>
      <c r="W34" s="64"/>
      <c r="X34" s="174">
        <f t="shared" si="5"/>
        <v>0</v>
      </c>
      <c r="Y34" s="51"/>
      <c r="Z34" s="161">
        <f t="shared" si="5"/>
        <v>0.3</v>
      </c>
      <c r="AA34" s="51"/>
      <c r="AB34" s="161">
        <f t="shared" si="5"/>
        <v>0.25</v>
      </c>
      <c r="AC34" s="51"/>
      <c r="AD34" s="161">
        <f t="shared" si="5"/>
        <v>0.45</v>
      </c>
      <c r="AE34" s="51"/>
      <c r="AF34" s="175">
        <f t="shared" si="5"/>
        <v>0.05</v>
      </c>
      <c r="AG34" s="64"/>
      <c r="AH34" s="174">
        <v>0</v>
      </c>
      <c r="AI34" s="51"/>
      <c r="AJ34" s="161">
        <v>0.05</v>
      </c>
      <c r="AK34" s="51"/>
      <c r="AL34" s="161">
        <v>0.25</v>
      </c>
      <c r="AM34" s="51"/>
      <c r="AN34" s="161">
        <v>0.45</v>
      </c>
      <c r="AO34" s="51"/>
      <c r="AP34" s="175">
        <v>0.05</v>
      </c>
      <c r="AQ34" s="64"/>
      <c r="AR34" s="174">
        <v>0</v>
      </c>
      <c r="AS34" s="51"/>
      <c r="AT34" s="161">
        <v>0</v>
      </c>
      <c r="AU34" s="51"/>
      <c r="AV34" s="161">
        <v>0</v>
      </c>
      <c r="AW34" s="51"/>
      <c r="AX34" s="161">
        <v>0.45</v>
      </c>
      <c r="AY34" s="51"/>
      <c r="AZ34" s="175">
        <v>0.05</v>
      </c>
      <c r="BA34" s="64"/>
      <c r="BB34" s="174">
        <v>0</v>
      </c>
      <c r="BC34" s="51"/>
      <c r="BD34" s="161">
        <v>0</v>
      </c>
      <c r="BE34" s="51"/>
      <c r="BF34" s="161">
        <v>0</v>
      </c>
      <c r="BG34" s="51"/>
      <c r="BH34" s="161">
        <v>0.3</v>
      </c>
      <c r="BI34" s="51"/>
      <c r="BJ34" s="175">
        <v>0.05</v>
      </c>
      <c r="BK34" s="64"/>
      <c r="BL34" s="174">
        <v>0</v>
      </c>
      <c r="BM34" s="51"/>
      <c r="BN34" s="161">
        <v>0</v>
      </c>
      <c r="BO34" s="51"/>
      <c r="BP34" s="161">
        <v>0</v>
      </c>
      <c r="BQ34" s="51"/>
      <c r="BR34" s="161">
        <v>0.15</v>
      </c>
      <c r="BS34" s="51"/>
      <c r="BT34" s="175">
        <v>0.05</v>
      </c>
      <c r="BU34" s="64"/>
      <c r="BV34" s="174">
        <v>0</v>
      </c>
      <c r="BW34" s="51"/>
      <c r="BX34" s="161">
        <v>0</v>
      </c>
      <c r="BY34" s="51"/>
      <c r="BZ34" s="161">
        <v>0</v>
      </c>
      <c r="CA34" s="51"/>
      <c r="CB34" s="161">
        <v>0.1</v>
      </c>
      <c r="CC34" s="51"/>
      <c r="CD34" s="175">
        <v>0.05</v>
      </c>
      <c r="CE34" s="64"/>
      <c r="CF34" s="174">
        <v>0</v>
      </c>
      <c r="CG34" s="51"/>
      <c r="CH34" s="161">
        <v>0</v>
      </c>
      <c r="CI34" s="51"/>
      <c r="CJ34" s="161">
        <v>0</v>
      </c>
      <c r="CK34" s="51"/>
      <c r="CL34" s="161">
        <v>0.05</v>
      </c>
      <c r="CM34" s="51"/>
      <c r="CN34" s="175">
        <v>0.05</v>
      </c>
      <c r="CO34" s="156"/>
    </row>
    <row r="35" spans="1:93">
      <c r="A35" s="37">
        <v>40.03</v>
      </c>
      <c r="B35" s="56" t="s">
        <v>35</v>
      </c>
      <c r="C35" s="64"/>
      <c r="D35" s="174">
        <v>0.15</v>
      </c>
      <c r="E35" s="51"/>
      <c r="F35" s="161">
        <v>0.6</v>
      </c>
      <c r="G35" s="51"/>
      <c r="H35" s="161">
        <v>0.25</v>
      </c>
      <c r="I35" s="51"/>
      <c r="J35" s="161">
        <v>0.45</v>
      </c>
      <c r="K35" s="51"/>
      <c r="L35" s="175">
        <v>0.05</v>
      </c>
      <c r="M35" s="64"/>
      <c r="N35" s="174">
        <v>0.1</v>
      </c>
      <c r="O35" s="51"/>
      <c r="P35" s="161">
        <v>0.5</v>
      </c>
      <c r="Q35" s="51"/>
      <c r="R35" s="161">
        <v>0.25</v>
      </c>
      <c r="S35" s="51"/>
      <c r="T35" s="161">
        <v>0.45</v>
      </c>
      <c r="U35" s="51"/>
      <c r="V35" s="175">
        <v>0.05</v>
      </c>
      <c r="W35" s="64"/>
      <c r="X35" s="174">
        <f t="shared" si="5"/>
        <v>0</v>
      </c>
      <c r="Y35" s="51"/>
      <c r="Z35" s="161">
        <f t="shared" si="5"/>
        <v>0.3</v>
      </c>
      <c r="AA35" s="51"/>
      <c r="AB35" s="161">
        <f t="shared" si="5"/>
        <v>0.25</v>
      </c>
      <c r="AC35" s="51"/>
      <c r="AD35" s="161">
        <f t="shared" si="5"/>
        <v>0.45</v>
      </c>
      <c r="AE35" s="51"/>
      <c r="AF35" s="175">
        <f t="shared" si="5"/>
        <v>0.05</v>
      </c>
      <c r="AG35" s="64"/>
      <c r="AH35" s="174">
        <v>0</v>
      </c>
      <c r="AI35" s="51"/>
      <c r="AJ35" s="161">
        <v>0.05</v>
      </c>
      <c r="AK35" s="51"/>
      <c r="AL35" s="161">
        <v>0.25</v>
      </c>
      <c r="AM35" s="51"/>
      <c r="AN35" s="161">
        <v>0.45</v>
      </c>
      <c r="AO35" s="51"/>
      <c r="AP35" s="175">
        <v>0.05</v>
      </c>
      <c r="AQ35" s="64"/>
      <c r="AR35" s="174">
        <v>0</v>
      </c>
      <c r="AS35" s="51"/>
      <c r="AT35" s="161">
        <v>0</v>
      </c>
      <c r="AU35" s="51"/>
      <c r="AV35" s="161">
        <v>0</v>
      </c>
      <c r="AW35" s="51"/>
      <c r="AX35" s="161">
        <v>0.45</v>
      </c>
      <c r="AY35" s="51"/>
      <c r="AZ35" s="175">
        <v>0.05</v>
      </c>
      <c r="BA35" s="64"/>
      <c r="BB35" s="174">
        <v>0</v>
      </c>
      <c r="BC35" s="51"/>
      <c r="BD35" s="161">
        <v>0</v>
      </c>
      <c r="BE35" s="51"/>
      <c r="BF35" s="161">
        <v>0</v>
      </c>
      <c r="BG35" s="51"/>
      <c r="BH35" s="161">
        <v>0.3</v>
      </c>
      <c r="BI35" s="51"/>
      <c r="BJ35" s="175">
        <v>0.05</v>
      </c>
      <c r="BK35" s="64"/>
      <c r="BL35" s="174">
        <v>0</v>
      </c>
      <c r="BM35" s="51"/>
      <c r="BN35" s="161">
        <v>0</v>
      </c>
      <c r="BO35" s="51"/>
      <c r="BP35" s="161">
        <v>0</v>
      </c>
      <c r="BQ35" s="51"/>
      <c r="BR35" s="161">
        <v>0.15</v>
      </c>
      <c r="BS35" s="51"/>
      <c r="BT35" s="175">
        <v>0.05</v>
      </c>
      <c r="BU35" s="64"/>
      <c r="BV35" s="174">
        <v>0</v>
      </c>
      <c r="BW35" s="51"/>
      <c r="BX35" s="161">
        <v>0</v>
      </c>
      <c r="BY35" s="51"/>
      <c r="BZ35" s="161">
        <v>0</v>
      </c>
      <c r="CA35" s="51"/>
      <c r="CB35" s="161">
        <v>0.1</v>
      </c>
      <c r="CC35" s="51"/>
      <c r="CD35" s="175">
        <v>0.05</v>
      </c>
      <c r="CE35" s="64"/>
      <c r="CF35" s="174">
        <v>0</v>
      </c>
      <c r="CG35" s="51"/>
      <c r="CH35" s="161">
        <v>0</v>
      </c>
      <c r="CI35" s="51"/>
      <c r="CJ35" s="161">
        <v>0</v>
      </c>
      <c r="CK35" s="51"/>
      <c r="CL35" s="161">
        <v>0.05</v>
      </c>
      <c r="CM35" s="51"/>
      <c r="CN35" s="175">
        <v>0.05</v>
      </c>
      <c r="CO35" s="156"/>
    </row>
    <row r="36" spans="1:93">
      <c r="A36" s="37">
        <v>40.04</v>
      </c>
      <c r="B36" s="56" t="s">
        <v>36</v>
      </c>
      <c r="C36" s="64"/>
      <c r="D36" s="174">
        <v>0.15</v>
      </c>
      <c r="E36" s="51"/>
      <c r="F36" s="161">
        <v>0.6</v>
      </c>
      <c r="G36" s="51"/>
      <c r="H36" s="161">
        <v>0.25</v>
      </c>
      <c r="I36" s="51"/>
      <c r="J36" s="161">
        <v>0.45</v>
      </c>
      <c r="K36" s="51"/>
      <c r="L36" s="175">
        <v>0.05</v>
      </c>
      <c r="M36" s="64"/>
      <c r="N36" s="174">
        <v>0.1</v>
      </c>
      <c r="O36" s="51"/>
      <c r="P36" s="161">
        <v>0.5</v>
      </c>
      <c r="Q36" s="51"/>
      <c r="R36" s="161">
        <v>0.25</v>
      </c>
      <c r="S36" s="51"/>
      <c r="T36" s="161">
        <v>0.45</v>
      </c>
      <c r="U36" s="51"/>
      <c r="V36" s="175">
        <v>0.05</v>
      </c>
      <c r="W36" s="64"/>
      <c r="X36" s="174">
        <f t="shared" si="5"/>
        <v>0</v>
      </c>
      <c r="Y36" s="51"/>
      <c r="Z36" s="161">
        <f t="shared" si="5"/>
        <v>0.3</v>
      </c>
      <c r="AA36" s="51"/>
      <c r="AB36" s="161">
        <f t="shared" si="5"/>
        <v>0.25</v>
      </c>
      <c r="AC36" s="51"/>
      <c r="AD36" s="161">
        <f t="shared" si="5"/>
        <v>0.45</v>
      </c>
      <c r="AE36" s="51"/>
      <c r="AF36" s="175">
        <f t="shared" si="5"/>
        <v>0.05</v>
      </c>
      <c r="AG36" s="64"/>
      <c r="AH36" s="174">
        <v>0</v>
      </c>
      <c r="AI36" s="51"/>
      <c r="AJ36" s="161">
        <v>0.05</v>
      </c>
      <c r="AK36" s="51"/>
      <c r="AL36" s="161">
        <v>0.25</v>
      </c>
      <c r="AM36" s="51"/>
      <c r="AN36" s="161">
        <v>0.45</v>
      </c>
      <c r="AO36" s="51"/>
      <c r="AP36" s="175">
        <v>0.05</v>
      </c>
      <c r="AQ36" s="64"/>
      <c r="AR36" s="174">
        <v>0</v>
      </c>
      <c r="AS36" s="51"/>
      <c r="AT36" s="161">
        <v>0</v>
      </c>
      <c r="AU36" s="51"/>
      <c r="AV36" s="161">
        <v>0</v>
      </c>
      <c r="AW36" s="51"/>
      <c r="AX36" s="161">
        <v>0.45</v>
      </c>
      <c r="AY36" s="51"/>
      <c r="AZ36" s="175">
        <v>0.05</v>
      </c>
      <c r="BA36" s="64"/>
      <c r="BB36" s="174">
        <v>0</v>
      </c>
      <c r="BC36" s="51"/>
      <c r="BD36" s="161">
        <v>0</v>
      </c>
      <c r="BE36" s="51"/>
      <c r="BF36" s="161">
        <v>0</v>
      </c>
      <c r="BG36" s="51"/>
      <c r="BH36" s="161">
        <v>0.3</v>
      </c>
      <c r="BI36" s="51"/>
      <c r="BJ36" s="175">
        <v>0.05</v>
      </c>
      <c r="BK36" s="64"/>
      <c r="BL36" s="174">
        <v>0</v>
      </c>
      <c r="BM36" s="51"/>
      <c r="BN36" s="161">
        <v>0</v>
      </c>
      <c r="BO36" s="51"/>
      <c r="BP36" s="161">
        <v>0</v>
      </c>
      <c r="BQ36" s="51"/>
      <c r="BR36" s="161">
        <v>0.15</v>
      </c>
      <c r="BS36" s="51"/>
      <c r="BT36" s="175">
        <v>0.05</v>
      </c>
      <c r="BU36" s="64"/>
      <c r="BV36" s="174">
        <v>0</v>
      </c>
      <c r="BW36" s="51"/>
      <c r="BX36" s="161">
        <v>0</v>
      </c>
      <c r="BY36" s="51"/>
      <c r="BZ36" s="161">
        <v>0</v>
      </c>
      <c r="CA36" s="51"/>
      <c r="CB36" s="161">
        <v>0.1</v>
      </c>
      <c r="CC36" s="51"/>
      <c r="CD36" s="175">
        <v>0.05</v>
      </c>
      <c r="CE36" s="64"/>
      <c r="CF36" s="174">
        <v>0</v>
      </c>
      <c r="CG36" s="51"/>
      <c r="CH36" s="161">
        <v>0</v>
      </c>
      <c r="CI36" s="51"/>
      <c r="CJ36" s="161">
        <v>0</v>
      </c>
      <c r="CK36" s="51"/>
      <c r="CL36" s="161">
        <v>0.05</v>
      </c>
      <c r="CM36" s="51"/>
      <c r="CN36" s="175">
        <v>0.05</v>
      </c>
      <c r="CO36" s="156"/>
    </row>
    <row r="37" spans="1:93">
      <c r="A37" s="37">
        <v>40.049999999999997</v>
      </c>
      <c r="B37" s="56" t="s">
        <v>37</v>
      </c>
      <c r="C37" s="64"/>
      <c r="D37" s="174">
        <v>0.15</v>
      </c>
      <c r="E37" s="51"/>
      <c r="F37" s="161">
        <v>0.6</v>
      </c>
      <c r="G37" s="51"/>
      <c r="H37" s="161">
        <v>0.25</v>
      </c>
      <c r="I37" s="51"/>
      <c r="J37" s="161">
        <v>0.45</v>
      </c>
      <c r="K37" s="51"/>
      <c r="L37" s="175">
        <v>0.05</v>
      </c>
      <c r="M37" s="64"/>
      <c r="N37" s="174">
        <v>0.1</v>
      </c>
      <c r="O37" s="51"/>
      <c r="P37" s="161">
        <v>0.5</v>
      </c>
      <c r="Q37" s="51"/>
      <c r="R37" s="161">
        <v>0.25</v>
      </c>
      <c r="S37" s="51"/>
      <c r="T37" s="161">
        <v>0.45</v>
      </c>
      <c r="U37" s="51"/>
      <c r="V37" s="175">
        <v>0.05</v>
      </c>
      <c r="W37" s="64"/>
      <c r="X37" s="174">
        <f t="shared" si="5"/>
        <v>0</v>
      </c>
      <c r="Y37" s="51"/>
      <c r="Z37" s="161">
        <f t="shared" si="5"/>
        <v>0.3</v>
      </c>
      <c r="AA37" s="51"/>
      <c r="AB37" s="161">
        <f t="shared" si="5"/>
        <v>0.25</v>
      </c>
      <c r="AC37" s="51"/>
      <c r="AD37" s="161">
        <f t="shared" si="5"/>
        <v>0.45</v>
      </c>
      <c r="AE37" s="51"/>
      <c r="AF37" s="175">
        <f t="shared" si="5"/>
        <v>0.05</v>
      </c>
      <c r="AG37" s="64"/>
      <c r="AH37" s="174">
        <v>0</v>
      </c>
      <c r="AI37" s="51"/>
      <c r="AJ37" s="161">
        <v>0.05</v>
      </c>
      <c r="AK37" s="51"/>
      <c r="AL37" s="161">
        <v>0.25</v>
      </c>
      <c r="AM37" s="51"/>
      <c r="AN37" s="161">
        <v>0.45</v>
      </c>
      <c r="AO37" s="51"/>
      <c r="AP37" s="175">
        <v>0.05</v>
      </c>
      <c r="AQ37" s="64"/>
      <c r="AR37" s="174">
        <v>0</v>
      </c>
      <c r="AS37" s="51"/>
      <c r="AT37" s="161">
        <v>0</v>
      </c>
      <c r="AU37" s="51"/>
      <c r="AV37" s="161">
        <v>0</v>
      </c>
      <c r="AW37" s="51"/>
      <c r="AX37" s="161">
        <v>0.45</v>
      </c>
      <c r="AY37" s="51"/>
      <c r="AZ37" s="175">
        <v>0.05</v>
      </c>
      <c r="BA37" s="64"/>
      <c r="BB37" s="174">
        <v>0</v>
      </c>
      <c r="BC37" s="51"/>
      <c r="BD37" s="161">
        <v>0</v>
      </c>
      <c r="BE37" s="51"/>
      <c r="BF37" s="161">
        <v>0</v>
      </c>
      <c r="BG37" s="51"/>
      <c r="BH37" s="161">
        <v>0.3</v>
      </c>
      <c r="BI37" s="51"/>
      <c r="BJ37" s="175">
        <v>0.05</v>
      </c>
      <c r="BK37" s="64"/>
      <c r="BL37" s="174">
        <v>0</v>
      </c>
      <c r="BM37" s="51"/>
      <c r="BN37" s="161">
        <v>0</v>
      </c>
      <c r="BO37" s="51"/>
      <c r="BP37" s="161">
        <v>0</v>
      </c>
      <c r="BQ37" s="51"/>
      <c r="BR37" s="161">
        <v>0.15</v>
      </c>
      <c r="BS37" s="51"/>
      <c r="BT37" s="175">
        <v>0.05</v>
      </c>
      <c r="BU37" s="64"/>
      <c r="BV37" s="174">
        <v>0</v>
      </c>
      <c r="BW37" s="51"/>
      <c r="BX37" s="161">
        <v>0</v>
      </c>
      <c r="BY37" s="51"/>
      <c r="BZ37" s="161">
        <v>0</v>
      </c>
      <c r="CA37" s="51"/>
      <c r="CB37" s="161">
        <v>0.1</v>
      </c>
      <c r="CC37" s="51"/>
      <c r="CD37" s="175">
        <v>0.05</v>
      </c>
      <c r="CE37" s="64"/>
      <c r="CF37" s="174">
        <v>0</v>
      </c>
      <c r="CG37" s="51"/>
      <c r="CH37" s="161">
        <v>0</v>
      </c>
      <c r="CI37" s="51"/>
      <c r="CJ37" s="161">
        <v>0</v>
      </c>
      <c r="CK37" s="51"/>
      <c r="CL37" s="161">
        <v>0.05</v>
      </c>
      <c r="CM37" s="51"/>
      <c r="CN37" s="175">
        <v>0.05</v>
      </c>
      <c r="CO37" s="156"/>
    </row>
    <row r="38" spans="1:93">
      <c r="A38" s="37">
        <v>40.06</v>
      </c>
      <c r="B38" s="56" t="s">
        <v>38</v>
      </c>
      <c r="C38" s="64"/>
      <c r="D38" s="174">
        <v>0.15</v>
      </c>
      <c r="E38" s="51"/>
      <c r="F38" s="161">
        <v>0.6</v>
      </c>
      <c r="G38" s="51"/>
      <c r="H38" s="161">
        <v>0.25</v>
      </c>
      <c r="I38" s="51"/>
      <c r="J38" s="161">
        <v>0.45</v>
      </c>
      <c r="K38" s="51"/>
      <c r="L38" s="175">
        <v>0.05</v>
      </c>
      <c r="M38" s="64"/>
      <c r="N38" s="174">
        <v>0.1</v>
      </c>
      <c r="O38" s="51"/>
      <c r="P38" s="161">
        <v>0.5</v>
      </c>
      <c r="Q38" s="51"/>
      <c r="R38" s="161">
        <v>0.25</v>
      </c>
      <c r="S38" s="51"/>
      <c r="T38" s="161">
        <v>0.45</v>
      </c>
      <c r="U38" s="51"/>
      <c r="V38" s="175">
        <v>0.05</v>
      </c>
      <c r="W38" s="64"/>
      <c r="X38" s="174">
        <f t="shared" si="5"/>
        <v>0</v>
      </c>
      <c r="Y38" s="51"/>
      <c r="Z38" s="161">
        <f t="shared" si="5"/>
        <v>0.3</v>
      </c>
      <c r="AA38" s="51"/>
      <c r="AB38" s="161">
        <f t="shared" si="5"/>
        <v>0.25</v>
      </c>
      <c r="AC38" s="51"/>
      <c r="AD38" s="161">
        <f t="shared" si="5"/>
        <v>0.45</v>
      </c>
      <c r="AE38" s="51"/>
      <c r="AF38" s="175">
        <f t="shared" si="5"/>
        <v>0.05</v>
      </c>
      <c r="AG38" s="64"/>
      <c r="AH38" s="174">
        <v>0</v>
      </c>
      <c r="AI38" s="51"/>
      <c r="AJ38" s="161">
        <v>0.05</v>
      </c>
      <c r="AK38" s="51"/>
      <c r="AL38" s="161">
        <v>0.25</v>
      </c>
      <c r="AM38" s="51"/>
      <c r="AN38" s="161">
        <v>0.45</v>
      </c>
      <c r="AO38" s="51"/>
      <c r="AP38" s="175">
        <v>0.05</v>
      </c>
      <c r="AQ38" s="64"/>
      <c r="AR38" s="174">
        <v>0</v>
      </c>
      <c r="AS38" s="51"/>
      <c r="AT38" s="161">
        <v>0</v>
      </c>
      <c r="AU38" s="51"/>
      <c r="AV38" s="161">
        <v>0</v>
      </c>
      <c r="AW38" s="51"/>
      <c r="AX38" s="161">
        <v>0.45</v>
      </c>
      <c r="AY38" s="51"/>
      <c r="AZ38" s="175">
        <v>0.05</v>
      </c>
      <c r="BA38" s="64"/>
      <c r="BB38" s="174">
        <v>0</v>
      </c>
      <c r="BC38" s="51"/>
      <c r="BD38" s="161">
        <v>0</v>
      </c>
      <c r="BE38" s="51"/>
      <c r="BF38" s="161">
        <v>0</v>
      </c>
      <c r="BG38" s="51"/>
      <c r="BH38" s="161">
        <v>0.3</v>
      </c>
      <c r="BI38" s="51"/>
      <c r="BJ38" s="175">
        <v>0.05</v>
      </c>
      <c r="BK38" s="64"/>
      <c r="BL38" s="174">
        <v>0</v>
      </c>
      <c r="BM38" s="51"/>
      <c r="BN38" s="161">
        <v>0</v>
      </c>
      <c r="BO38" s="51"/>
      <c r="BP38" s="161">
        <v>0</v>
      </c>
      <c r="BQ38" s="51"/>
      <c r="BR38" s="161">
        <v>0.15</v>
      </c>
      <c r="BS38" s="51"/>
      <c r="BT38" s="175">
        <v>0.05</v>
      </c>
      <c r="BU38" s="64"/>
      <c r="BV38" s="174">
        <v>0</v>
      </c>
      <c r="BW38" s="51"/>
      <c r="BX38" s="161">
        <v>0</v>
      </c>
      <c r="BY38" s="51"/>
      <c r="BZ38" s="161">
        <v>0</v>
      </c>
      <c r="CA38" s="51"/>
      <c r="CB38" s="161">
        <v>0.1</v>
      </c>
      <c r="CC38" s="51"/>
      <c r="CD38" s="175">
        <v>0.05</v>
      </c>
      <c r="CE38" s="64"/>
      <c r="CF38" s="174">
        <v>0</v>
      </c>
      <c r="CG38" s="51"/>
      <c r="CH38" s="161">
        <v>0</v>
      </c>
      <c r="CI38" s="51"/>
      <c r="CJ38" s="161">
        <v>0</v>
      </c>
      <c r="CK38" s="51"/>
      <c r="CL38" s="161">
        <v>0.05</v>
      </c>
      <c r="CM38" s="51"/>
      <c r="CN38" s="175">
        <v>0.05</v>
      </c>
      <c r="CO38" s="156"/>
    </row>
    <row r="39" spans="1:93">
      <c r="A39" s="37">
        <v>40.07</v>
      </c>
      <c r="B39" s="56" t="s">
        <v>39</v>
      </c>
      <c r="C39" s="64"/>
      <c r="D39" s="174">
        <v>0.15</v>
      </c>
      <c r="E39" s="51"/>
      <c r="F39" s="161">
        <v>0.6</v>
      </c>
      <c r="G39" s="51"/>
      <c r="H39" s="161">
        <v>0.25</v>
      </c>
      <c r="I39" s="51"/>
      <c r="J39" s="161">
        <v>0.45</v>
      </c>
      <c r="K39" s="51"/>
      <c r="L39" s="175">
        <v>0.05</v>
      </c>
      <c r="M39" s="64"/>
      <c r="N39" s="174">
        <v>0.1</v>
      </c>
      <c r="O39" s="51"/>
      <c r="P39" s="161">
        <v>0.5</v>
      </c>
      <c r="Q39" s="51"/>
      <c r="R39" s="161">
        <v>0.25</v>
      </c>
      <c r="S39" s="51"/>
      <c r="T39" s="161">
        <v>0.45</v>
      </c>
      <c r="U39" s="51"/>
      <c r="V39" s="175">
        <v>0.05</v>
      </c>
      <c r="W39" s="64"/>
      <c r="X39" s="174">
        <f t="shared" si="5"/>
        <v>0</v>
      </c>
      <c r="Y39" s="51"/>
      <c r="Z39" s="161">
        <f t="shared" si="5"/>
        <v>0.3</v>
      </c>
      <c r="AA39" s="51"/>
      <c r="AB39" s="161">
        <f t="shared" si="5"/>
        <v>0.25</v>
      </c>
      <c r="AC39" s="51"/>
      <c r="AD39" s="161">
        <f t="shared" si="5"/>
        <v>0.45</v>
      </c>
      <c r="AE39" s="51"/>
      <c r="AF39" s="175">
        <f t="shared" si="5"/>
        <v>0.05</v>
      </c>
      <c r="AG39" s="64"/>
      <c r="AH39" s="174">
        <v>0</v>
      </c>
      <c r="AI39" s="51"/>
      <c r="AJ39" s="161">
        <v>0.05</v>
      </c>
      <c r="AK39" s="51"/>
      <c r="AL39" s="161">
        <v>0.25</v>
      </c>
      <c r="AM39" s="51"/>
      <c r="AN39" s="161">
        <v>0.45</v>
      </c>
      <c r="AO39" s="51"/>
      <c r="AP39" s="175">
        <v>0.05</v>
      </c>
      <c r="AQ39" s="64"/>
      <c r="AR39" s="174">
        <v>0</v>
      </c>
      <c r="AS39" s="51"/>
      <c r="AT39" s="161">
        <v>0</v>
      </c>
      <c r="AU39" s="51"/>
      <c r="AV39" s="161">
        <v>0</v>
      </c>
      <c r="AW39" s="51"/>
      <c r="AX39" s="161">
        <v>0.45</v>
      </c>
      <c r="AY39" s="51"/>
      <c r="AZ39" s="175">
        <v>0.05</v>
      </c>
      <c r="BA39" s="64"/>
      <c r="BB39" s="174">
        <v>0</v>
      </c>
      <c r="BC39" s="51"/>
      <c r="BD39" s="161">
        <v>0</v>
      </c>
      <c r="BE39" s="51"/>
      <c r="BF39" s="161">
        <v>0</v>
      </c>
      <c r="BG39" s="51"/>
      <c r="BH39" s="161">
        <v>0.3</v>
      </c>
      <c r="BI39" s="51"/>
      <c r="BJ39" s="175">
        <v>0.05</v>
      </c>
      <c r="BK39" s="64"/>
      <c r="BL39" s="174">
        <v>0</v>
      </c>
      <c r="BM39" s="51"/>
      <c r="BN39" s="161">
        <v>0</v>
      </c>
      <c r="BO39" s="51"/>
      <c r="BP39" s="161">
        <v>0</v>
      </c>
      <c r="BQ39" s="51"/>
      <c r="BR39" s="161">
        <v>0.15</v>
      </c>
      <c r="BS39" s="51"/>
      <c r="BT39" s="175">
        <v>0.05</v>
      </c>
      <c r="BU39" s="64"/>
      <c r="BV39" s="174">
        <v>0</v>
      </c>
      <c r="BW39" s="51"/>
      <c r="BX39" s="161">
        <v>0</v>
      </c>
      <c r="BY39" s="51"/>
      <c r="BZ39" s="161">
        <v>0</v>
      </c>
      <c r="CA39" s="51"/>
      <c r="CB39" s="161">
        <v>0.1</v>
      </c>
      <c r="CC39" s="51"/>
      <c r="CD39" s="175">
        <v>0.05</v>
      </c>
      <c r="CE39" s="64"/>
      <c r="CF39" s="174">
        <v>0</v>
      </c>
      <c r="CG39" s="51"/>
      <c r="CH39" s="161">
        <v>0</v>
      </c>
      <c r="CI39" s="51"/>
      <c r="CJ39" s="161">
        <v>0</v>
      </c>
      <c r="CK39" s="51"/>
      <c r="CL39" s="161">
        <v>0.05</v>
      </c>
      <c r="CM39" s="51"/>
      <c r="CN39" s="175">
        <v>0.05</v>
      </c>
      <c r="CO39" s="156"/>
    </row>
    <row r="40" spans="1:93">
      <c r="A40" s="37">
        <v>40.08</v>
      </c>
      <c r="B40" s="56" t="s">
        <v>40</v>
      </c>
      <c r="C40" s="64"/>
      <c r="D40" s="176">
        <v>0.15</v>
      </c>
      <c r="E40" s="51"/>
      <c r="F40" s="162">
        <v>0.6</v>
      </c>
      <c r="G40" s="51"/>
      <c r="H40" s="162">
        <v>0.25</v>
      </c>
      <c r="I40" s="51"/>
      <c r="J40" s="162">
        <v>0.45</v>
      </c>
      <c r="K40" s="51"/>
      <c r="L40" s="180">
        <v>0.05</v>
      </c>
      <c r="M40" s="64"/>
      <c r="N40" s="176">
        <v>0.1</v>
      </c>
      <c r="O40" s="51"/>
      <c r="P40" s="162">
        <v>0.5</v>
      </c>
      <c r="Q40" s="51"/>
      <c r="R40" s="162">
        <v>0.25</v>
      </c>
      <c r="S40" s="51"/>
      <c r="T40" s="162">
        <v>0.45</v>
      </c>
      <c r="U40" s="51"/>
      <c r="V40" s="180">
        <v>0.05</v>
      </c>
      <c r="W40" s="64"/>
      <c r="X40" s="176">
        <f t="shared" si="5"/>
        <v>0</v>
      </c>
      <c r="Y40" s="51"/>
      <c r="Z40" s="162">
        <f t="shared" si="5"/>
        <v>0.3</v>
      </c>
      <c r="AA40" s="51"/>
      <c r="AB40" s="162">
        <f t="shared" si="5"/>
        <v>0.25</v>
      </c>
      <c r="AC40" s="51"/>
      <c r="AD40" s="162">
        <f t="shared" si="5"/>
        <v>0.45</v>
      </c>
      <c r="AE40" s="51"/>
      <c r="AF40" s="180">
        <f t="shared" si="5"/>
        <v>0.05</v>
      </c>
      <c r="AG40" s="64"/>
      <c r="AH40" s="176">
        <v>0</v>
      </c>
      <c r="AI40" s="51"/>
      <c r="AJ40" s="162">
        <v>0.05</v>
      </c>
      <c r="AK40" s="51"/>
      <c r="AL40" s="162">
        <v>0.25</v>
      </c>
      <c r="AM40" s="51"/>
      <c r="AN40" s="162">
        <v>0.45</v>
      </c>
      <c r="AO40" s="51"/>
      <c r="AP40" s="180">
        <v>0.05</v>
      </c>
      <c r="AQ40" s="64"/>
      <c r="AR40" s="176">
        <v>0</v>
      </c>
      <c r="AS40" s="51"/>
      <c r="AT40" s="162">
        <v>0</v>
      </c>
      <c r="AU40" s="51"/>
      <c r="AV40" s="162">
        <v>0</v>
      </c>
      <c r="AW40" s="51"/>
      <c r="AX40" s="162">
        <v>0.45</v>
      </c>
      <c r="AY40" s="51"/>
      <c r="AZ40" s="180">
        <v>0.05</v>
      </c>
      <c r="BA40" s="64"/>
      <c r="BB40" s="176">
        <v>0</v>
      </c>
      <c r="BC40" s="51"/>
      <c r="BD40" s="162">
        <v>0</v>
      </c>
      <c r="BE40" s="51"/>
      <c r="BF40" s="162">
        <v>0</v>
      </c>
      <c r="BG40" s="51"/>
      <c r="BH40" s="162">
        <v>0.3</v>
      </c>
      <c r="BI40" s="51"/>
      <c r="BJ40" s="180">
        <v>0.05</v>
      </c>
      <c r="BK40" s="64"/>
      <c r="BL40" s="176">
        <v>0</v>
      </c>
      <c r="BM40" s="51"/>
      <c r="BN40" s="162">
        <v>0</v>
      </c>
      <c r="BO40" s="51"/>
      <c r="BP40" s="162">
        <v>0</v>
      </c>
      <c r="BQ40" s="51"/>
      <c r="BR40" s="162">
        <v>0.15</v>
      </c>
      <c r="BS40" s="51"/>
      <c r="BT40" s="180">
        <v>0.05</v>
      </c>
      <c r="BU40" s="64"/>
      <c r="BV40" s="176">
        <v>0</v>
      </c>
      <c r="BW40" s="51"/>
      <c r="BX40" s="162">
        <v>0</v>
      </c>
      <c r="BY40" s="51"/>
      <c r="BZ40" s="162">
        <v>0</v>
      </c>
      <c r="CA40" s="51"/>
      <c r="CB40" s="162">
        <v>0.1</v>
      </c>
      <c r="CC40" s="51"/>
      <c r="CD40" s="180">
        <v>0.05</v>
      </c>
      <c r="CE40" s="64"/>
      <c r="CF40" s="176">
        <v>0</v>
      </c>
      <c r="CG40" s="51"/>
      <c r="CH40" s="162">
        <v>0</v>
      </c>
      <c r="CI40" s="51"/>
      <c r="CJ40" s="162">
        <v>0</v>
      </c>
      <c r="CK40" s="51"/>
      <c r="CL40" s="162">
        <v>0.05</v>
      </c>
      <c r="CM40" s="51"/>
      <c r="CN40" s="180">
        <v>0.05</v>
      </c>
      <c r="CO40" s="156"/>
    </row>
    <row r="41" spans="1:93">
      <c r="A41" s="37" t="s">
        <v>170</v>
      </c>
      <c r="B41" s="56"/>
      <c r="C41" s="64"/>
      <c r="D41" s="177"/>
      <c r="E41" s="51"/>
      <c r="F41" s="159"/>
      <c r="G41" s="51"/>
      <c r="H41" s="159"/>
      <c r="I41" s="51"/>
      <c r="J41" s="157"/>
      <c r="K41" s="51"/>
      <c r="L41" s="171"/>
      <c r="M41" s="64"/>
      <c r="N41" s="177"/>
      <c r="O41" s="51"/>
      <c r="P41" s="159"/>
      <c r="Q41" s="51"/>
      <c r="R41" s="159"/>
      <c r="S41" s="51"/>
      <c r="T41" s="157"/>
      <c r="U41" s="51"/>
      <c r="V41" s="171"/>
      <c r="W41" s="64"/>
      <c r="X41" s="177"/>
      <c r="Y41" s="51"/>
      <c r="Z41" s="159"/>
      <c r="AA41" s="51"/>
      <c r="AB41" s="159"/>
      <c r="AC41" s="51"/>
      <c r="AD41" s="157"/>
      <c r="AE41" s="51"/>
      <c r="AF41" s="171"/>
      <c r="AG41" s="64"/>
      <c r="AH41" s="177"/>
      <c r="AI41" s="51"/>
      <c r="AJ41" s="159"/>
      <c r="AK41" s="51"/>
      <c r="AL41" s="159"/>
      <c r="AM41" s="51"/>
      <c r="AN41" s="157"/>
      <c r="AO41" s="51"/>
      <c r="AP41" s="171"/>
      <c r="AQ41" s="64"/>
      <c r="AR41" s="177"/>
      <c r="AS41" s="51"/>
      <c r="AT41" s="159"/>
      <c r="AU41" s="51"/>
      <c r="AV41" s="159"/>
      <c r="AW41" s="51"/>
      <c r="AX41" s="157"/>
      <c r="AY41" s="51"/>
      <c r="AZ41" s="171"/>
      <c r="BA41" s="64"/>
      <c r="BB41" s="177"/>
      <c r="BC41" s="51"/>
      <c r="BD41" s="159"/>
      <c r="BE41" s="51"/>
      <c r="BF41" s="159"/>
      <c r="BG41" s="51"/>
      <c r="BH41" s="157"/>
      <c r="BI41" s="51"/>
      <c r="BJ41" s="171"/>
      <c r="BK41" s="64"/>
      <c r="BL41" s="177"/>
      <c r="BM41" s="51"/>
      <c r="BN41" s="159"/>
      <c r="BO41" s="51"/>
      <c r="BP41" s="159"/>
      <c r="BQ41" s="51"/>
      <c r="BR41" s="157"/>
      <c r="BS41" s="51"/>
      <c r="BT41" s="171"/>
      <c r="BU41" s="64"/>
      <c r="BV41" s="177"/>
      <c r="BW41" s="51"/>
      <c r="BX41" s="159"/>
      <c r="BY41" s="51"/>
      <c r="BZ41" s="159"/>
      <c r="CA41" s="51"/>
      <c r="CB41" s="157"/>
      <c r="CC41" s="51"/>
      <c r="CD41" s="171"/>
      <c r="CE41" s="64"/>
      <c r="CF41" s="177"/>
      <c r="CG41" s="51"/>
      <c r="CH41" s="159"/>
      <c r="CI41" s="51"/>
      <c r="CJ41" s="159"/>
      <c r="CK41" s="51"/>
      <c r="CL41" s="157"/>
      <c r="CM41" s="51"/>
      <c r="CN41" s="171"/>
      <c r="CO41" s="156"/>
    </row>
    <row r="42" spans="1:93">
      <c r="A42" s="37">
        <v>50.01</v>
      </c>
      <c r="B42" s="56" t="s">
        <v>41</v>
      </c>
      <c r="C42" s="64"/>
      <c r="D42" s="179">
        <v>0.15</v>
      </c>
      <c r="E42" s="51"/>
      <c r="F42" s="163">
        <v>0.6</v>
      </c>
      <c r="G42" s="51"/>
      <c r="H42" s="163">
        <v>0.25</v>
      </c>
      <c r="I42" s="51"/>
      <c r="J42" s="163">
        <v>0.45</v>
      </c>
      <c r="K42" s="51"/>
      <c r="L42" s="181">
        <v>0.05</v>
      </c>
      <c r="M42" s="64"/>
      <c r="N42" s="179">
        <v>0.1</v>
      </c>
      <c r="O42" s="51"/>
      <c r="P42" s="163">
        <v>0.5</v>
      </c>
      <c r="Q42" s="51"/>
      <c r="R42" s="163">
        <v>0.25</v>
      </c>
      <c r="S42" s="51"/>
      <c r="T42" s="163">
        <v>0.45</v>
      </c>
      <c r="U42" s="51"/>
      <c r="V42" s="181">
        <v>0.05</v>
      </c>
      <c r="W42" s="64"/>
      <c r="X42" s="179">
        <f t="shared" ref="X42:AF48" si="6">X$5</f>
        <v>0</v>
      </c>
      <c r="Y42" s="51"/>
      <c r="Z42" s="163">
        <f t="shared" si="6"/>
        <v>0.3</v>
      </c>
      <c r="AA42" s="51"/>
      <c r="AB42" s="163">
        <f t="shared" si="6"/>
        <v>0.25</v>
      </c>
      <c r="AC42" s="51"/>
      <c r="AD42" s="163">
        <f t="shared" si="6"/>
        <v>0.45</v>
      </c>
      <c r="AE42" s="51"/>
      <c r="AF42" s="181">
        <f t="shared" si="6"/>
        <v>0.05</v>
      </c>
      <c r="AG42" s="64"/>
      <c r="AH42" s="179">
        <v>0</v>
      </c>
      <c r="AI42" s="51"/>
      <c r="AJ42" s="163">
        <v>0.05</v>
      </c>
      <c r="AK42" s="51"/>
      <c r="AL42" s="163">
        <v>0.25</v>
      </c>
      <c r="AM42" s="51"/>
      <c r="AN42" s="163">
        <v>0.45</v>
      </c>
      <c r="AO42" s="51"/>
      <c r="AP42" s="181">
        <v>0.05</v>
      </c>
      <c r="AQ42" s="64"/>
      <c r="AR42" s="179">
        <v>0</v>
      </c>
      <c r="AS42" s="51"/>
      <c r="AT42" s="163">
        <v>0</v>
      </c>
      <c r="AU42" s="51"/>
      <c r="AV42" s="163">
        <v>0</v>
      </c>
      <c r="AW42" s="51"/>
      <c r="AX42" s="163">
        <v>0.45</v>
      </c>
      <c r="AY42" s="51"/>
      <c r="AZ42" s="181">
        <v>0.05</v>
      </c>
      <c r="BA42" s="64"/>
      <c r="BB42" s="179">
        <v>0</v>
      </c>
      <c r="BC42" s="51"/>
      <c r="BD42" s="163">
        <v>0</v>
      </c>
      <c r="BE42" s="51"/>
      <c r="BF42" s="163">
        <v>0</v>
      </c>
      <c r="BG42" s="51"/>
      <c r="BH42" s="163">
        <v>0.3</v>
      </c>
      <c r="BI42" s="51"/>
      <c r="BJ42" s="181">
        <v>0.05</v>
      </c>
      <c r="BK42" s="64"/>
      <c r="BL42" s="179">
        <v>0</v>
      </c>
      <c r="BM42" s="51"/>
      <c r="BN42" s="163">
        <v>0</v>
      </c>
      <c r="BO42" s="51"/>
      <c r="BP42" s="163">
        <v>0</v>
      </c>
      <c r="BQ42" s="51"/>
      <c r="BR42" s="163">
        <v>0.15</v>
      </c>
      <c r="BS42" s="51"/>
      <c r="BT42" s="181">
        <v>0.05</v>
      </c>
      <c r="BU42" s="64"/>
      <c r="BV42" s="179">
        <v>0</v>
      </c>
      <c r="BW42" s="51"/>
      <c r="BX42" s="163">
        <v>0</v>
      </c>
      <c r="BY42" s="51"/>
      <c r="BZ42" s="163">
        <v>0</v>
      </c>
      <c r="CA42" s="51"/>
      <c r="CB42" s="163">
        <v>0.1</v>
      </c>
      <c r="CC42" s="51"/>
      <c r="CD42" s="181">
        <v>0.05</v>
      </c>
      <c r="CE42" s="64"/>
      <c r="CF42" s="179">
        <v>0</v>
      </c>
      <c r="CG42" s="51"/>
      <c r="CH42" s="163">
        <v>0</v>
      </c>
      <c r="CI42" s="51"/>
      <c r="CJ42" s="163">
        <v>0</v>
      </c>
      <c r="CK42" s="51"/>
      <c r="CL42" s="163">
        <v>0.05</v>
      </c>
      <c r="CM42" s="51"/>
      <c r="CN42" s="181">
        <v>0.05</v>
      </c>
      <c r="CO42" s="156"/>
    </row>
    <row r="43" spans="1:93">
      <c r="A43" s="37">
        <v>50.02</v>
      </c>
      <c r="B43" s="56" t="s">
        <v>42</v>
      </c>
      <c r="C43" s="64"/>
      <c r="D43" s="174">
        <v>0.15</v>
      </c>
      <c r="E43" s="51"/>
      <c r="F43" s="161">
        <v>0.6</v>
      </c>
      <c r="G43" s="51"/>
      <c r="H43" s="161">
        <v>0.25</v>
      </c>
      <c r="I43" s="51"/>
      <c r="J43" s="161">
        <v>0.45</v>
      </c>
      <c r="K43" s="51"/>
      <c r="L43" s="175">
        <v>0.05</v>
      </c>
      <c r="M43" s="64"/>
      <c r="N43" s="174">
        <v>0.1</v>
      </c>
      <c r="O43" s="51"/>
      <c r="P43" s="161">
        <v>0.5</v>
      </c>
      <c r="Q43" s="51"/>
      <c r="R43" s="161">
        <v>0.25</v>
      </c>
      <c r="S43" s="51"/>
      <c r="T43" s="161">
        <v>0.45</v>
      </c>
      <c r="U43" s="51"/>
      <c r="V43" s="175">
        <v>0.05</v>
      </c>
      <c r="W43" s="64"/>
      <c r="X43" s="174">
        <f t="shared" si="6"/>
        <v>0</v>
      </c>
      <c r="Y43" s="51"/>
      <c r="Z43" s="161">
        <f t="shared" si="6"/>
        <v>0.3</v>
      </c>
      <c r="AA43" s="51"/>
      <c r="AB43" s="161">
        <f t="shared" si="6"/>
        <v>0.25</v>
      </c>
      <c r="AC43" s="51"/>
      <c r="AD43" s="161">
        <f t="shared" si="6"/>
        <v>0.45</v>
      </c>
      <c r="AE43" s="51"/>
      <c r="AF43" s="175">
        <f t="shared" si="6"/>
        <v>0.05</v>
      </c>
      <c r="AG43" s="64"/>
      <c r="AH43" s="174">
        <v>0</v>
      </c>
      <c r="AI43" s="51"/>
      <c r="AJ43" s="161">
        <v>0.05</v>
      </c>
      <c r="AK43" s="51"/>
      <c r="AL43" s="161">
        <v>0.25</v>
      </c>
      <c r="AM43" s="51"/>
      <c r="AN43" s="161">
        <v>0.45</v>
      </c>
      <c r="AO43" s="51"/>
      <c r="AP43" s="175">
        <v>0.05</v>
      </c>
      <c r="AQ43" s="64"/>
      <c r="AR43" s="174">
        <v>0</v>
      </c>
      <c r="AS43" s="51"/>
      <c r="AT43" s="161">
        <v>0</v>
      </c>
      <c r="AU43" s="51"/>
      <c r="AV43" s="161">
        <v>0</v>
      </c>
      <c r="AW43" s="51"/>
      <c r="AX43" s="161">
        <v>0.45</v>
      </c>
      <c r="AY43" s="51"/>
      <c r="AZ43" s="175">
        <v>0.05</v>
      </c>
      <c r="BA43" s="64"/>
      <c r="BB43" s="174">
        <v>0</v>
      </c>
      <c r="BC43" s="51"/>
      <c r="BD43" s="161">
        <v>0</v>
      </c>
      <c r="BE43" s="51"/>
      <c r="BF43" s="161">
        <v>0</v>
      </c>
      <c r="BG43" s="51"/>
      <c r="BH43" s="161">
        <v>0.3</v>
      </c>
      <c r="BI43" s="51"/>
      <c r="BJ43" s="175">
        <v>0.05</v>
      </c>
      <c r="BK43" s="64"/>
      <c r="BL43" s="174">
        <v>0</v>
      </c>
      <c r="BM43" s="51"/>
      <c r="BN43" s="161">
        <v>0</v>
      </c>
      <c r="BO43" s="51"/>
      <c r="BP43" s="161">
        <v>0</v>
      </c>
      <c r="BQ43" s="51"/>
      <c r="BR43" s="161">
        <v>0.15</v>
      </c>
      <c r="BS43" s="51"/>
      <c r="BT43" s="175">
        <v>0.05</v>
      </c>
      <c r="BU43" s="64"/>
      <c r="BV43" s="174">
        <v>0</v>
      </c>
      <c r="BW43" s="51"/>
      <c r="BX43" s="161">
        <v>0</v>
      </c>
      <c r="BY43" s="51"/>
      <c r="BZ43" s="161">
        <v>0</v>
      </c>
      <c r="CA43" s="51"/>
      <c r="CB43" s="161">
        <v>0.1</v>
      </c>
      <c r="CC43" s="51"/>
      <c r="CD43" s="175">
        <v>0.05</v>
      </c>
      <c r="CE43" s="64"/>
      <c r="CF43" s="174">
        <v>0</v>
      </c>
      <c r="CG43" s="51"/>
      <c r="CH43" s="161">
        <v>0</v>
      </c>
      <c r="CI43" s="51"/>
      <c r="CJ43" s="161">
        <v>0</v>
      </c>
      <c r="CK43" s="51"/>
      <c r="CL43" s="161">
        <v>0.05</v>
      </c>
      <c r="CM43" s="51"/>
      <c r="CN43" s="175">
        <v>0.05</v>
      </c>
      <c r="CO43" s="156"/>
    </row>
    <row r="44" spans="1:93">
      <c r="A44" s="37">
        <v>50.03</v>
      </c>
      <c r="B44" s="56" t="s">
        <v>43</v>
      </c>
      <c r="C44" s="64"/>
      <c r="D44" s="174">
        <v>0.15</v>
      </c>
      <c r="E44" s="51"/>
      <c r="F44" s="161">
        <v>0.6</v>
      </c>
      <c r="G44" s="51"/>
      <c r="H44" s="161">
        <v>0.25</v>
      </c>
      <c r="I44" s="51"/>
      <c r="J44" s="161">
        <v>0.45</v>
      </c>
      <c r="K44" s="51"/>
      <c r="L44" s="175">
        <v>0.05</v>
      </c>
      <c r="M44" s="64"/>
      <c r="N44" s="174">
        <v>0.1</v>
      </c>
      <c r="O44" s="51"/>
      <c r="P44" s="161">
        <v>0.5</v>
      </c>
      <c r="Q44" s="51"/>
      <c r="R44" s="161">
        <v>0.25</v>
      </c>
      <c r="S44" s="51"/>
      <c r="T44" s="161">
        <v>0.45</v>
      </c>
      <c r="U44" s="51"/>
      <c r="V44" s="175">
        <v>0.05</v>
      </c>
      <c r="W44" s="64"/>
      <c r="X44" s="174">
        <f t="shared" si="6"/>
        <v>0</v>
      </c>
      <c r="Y44" s="51"/>
      <c r="Z44" s="161">
        <f t="shared" si="6"/>
        <v>0.3</v>
      </c>
      <c r="AA44" s="51"/>
      <c r="AB44" s="161">
        <f t="shared" si="6"/>
        <v>0.25</v>
      </c>
      <c r="AC44" s="51"/>
      <c r="AD44" s="161">
        <f t="shared" si="6"/>
        <v>0.45</v>
      </c>
      <c r="AE44" s="51"/>
      <c r="AF44" s="175">
        <f t="shared" si="6"/>
        <v>0.05</v>
      </c>
      <c r="AG44" s="64"/>
      <c r="AH44" s="174">
        <v>0</v>
      </c>
      <c r="AI44" s="51"/>
      <c r="AJ44" s="161">
        <v>0.05</v>
      </c>
      <c r="AK44" s="51"/>
      <c r="AL44" s="161">
        <v>0.25</v>
      </c>
      <c r="AM44" s="51"/>
      <c r="AN44" s="161">
        <v>0.45</v>
      </c>
      <c r="AO44" s="51"/>
      <c r="AP44" s="175">
        <v>0.05</v>
      </c>
      <c r="AQ44" s="64"/>
      <c r="AR44" s="174">
        <v>0</v>
      </c>
      <c r="AS44" s="51"/>
      <c r="AT44" s="161">
        <v>0</v>
      </c>
      <c r="AU44" s="51"/>
      <c r="AV44" s="161">
        <v>0</v>
      </c>
      <c r="AW44" s="51"/>
      <c r="AX44" s="161">
        <v>0.45</v>
      </c>
      <c r="AY44" s="51"/>
      <c r="AZ44" s="175">
        <v>0.05</v>
      </c>
      <c r="BA44" s="64"/>
      <c r="BB44" s="174">
        <v>0</v>
      </c>
      <c r="BC44" s="51"/>
      <c r="BD44" s="161">
        <v>0</v>
      </c>
      <c r="BE44" s="51"/>
      <c r="BF44" s="161">
        <v>0</v>
      </c>
      <c r="BG44" s="51"/>
      <c r="BH44" s="161">
        <v>0.3</v>
      </c>
      <c r="BI44" s="51"/>
      <c r="BJ44" s="175">
        <v>0.05</v>
      </c>
      <c r="BK44" s="64"/>
      <c r="BL44" s="174">
        <v>0</v>
      </c>
      <c r="BM44" s="51"/>
      <c r="BN44" s="161">
        <v>0</v>
      </c>
      <c r="BO44" s="51"/>
      <c r="BP44" s="161">
        <v>0</v>
      </c>
      <c r="BQ44" s="51"/>
      <c r="BR44" s="161">
        <v>0.15</v>
      </c>
      <c r="BS44" s="51"/>
      <c r="BT44" s="175">
        <v>0.05</v>
      </c>
      <c r="BU44" s="64"/>
      <c r="BV44" s="174">
        <v>0</v>
      </c>
      <c r="BW44" s="51"/>
      <c r="BX44" s="161">
        <v>0</v>
      </c>
      <c r="BY44" s="51"/>
      <c r="BZ44" s="161">
        <v>0</v>
      </c>
      <c r="CA44" s="51"/>
      <c r="CB44" s="161">
        <v>0.1</v>
      </c>
      <c r="CC44" s="51"/>
      <c r="CD44" s="175">
        <v>0.05</v>
      </c>
      <c r="CE44" s="64"/>
      <c r="CF44" s="174">
        <v>0</v>
      </c>
      <c r="CG44" s="51"/>
      <c r="CH44" s="161">
        <v>0</v>
      </c>
      <c r="CI44" s="51"/>
      <c r="CJ44" s="161">
        <v>0</v>
      </c>
      <c r="CK44" s="51"/>
      <c r="CL44" s="161">
        <v>0.05</v>
      </c>
      <c r="CM44" s="51"/>
      <c r="CN44" s="175">
        <v>0.05</v>
      </c>
      <c r="CO44" s="156"/>
    </row>
    <row r="45" spans="1:93">
      <c r="A45" s="37">
        <v>50.04</v>
      </c>
      <c r="B45" s="56" t="s">
        <v>44</v>
      </c>
      <c r="C45" s="64"/>
      <c r="D45" s="174">
        <v>0.15</v>
      </c>
      <c r="E45" s="51"/>
      <c r="F45" s="161">
        <v>0.6</v>
      </c>
      <c r="G45" s="51"/>
      <c r="H45" s="161">
        <v>0.25</v>
      </c>
      <c r="I45" s="51"/>
      <c r="J45" s="161">
        <v>0.45</v>
      </c>
      <c r="K45" s="51"/>
      <c r="L45" s="175">
        <v>0.05</v>
      </c>
      <c r="M45" s="64"/>
      <c r="N45" s="174">
        <v>0.1</v>
      </c>
      <c r="O45" s="51"/>
      <c r="P45" s="161">
        <v>0.5</v>
      </c>
      <c r="Q45" s="51"/>
      <c r="R45" s="161">
        <v>0.25</v>
      </c>
      <c r="S45" s="51"/>
      <c r="T45" s="161">
        <v>0.45</v>
      </c>
      <c r="U45" s="51"/>
      <c r="V45" s="175">
        <v>0.05</v>
      </c>
      <c r="W45" s="64"/>
      <c r="X45" s="174">
        <f t="shared" si="6"/>
        <v>0</v>
      </c>
      <c r="Y45" s="51"/>
      <c r="Z45" s="161">
        <f t="shared" si="6"/>
        <v>0.3</v>
      </c>
      <c r="AA45" s="51"/>
      <c r="AB45" s="161">
        <f t="shared" si="6"/>
        <v>0.25</v>
      </c>
      <c r="AC45" s="51"/>
      <c r="AD45" s="161">
        <f t="shared" si="6"/>
        <v>0.45</v>
      </c>
      <c r="AE45" s="51"/>
      <c r="AF45" s="175">
        <f t="shared" si="6"/>
        <v>0.05</v>
      </c>
      <c r="AG45" s="64"/>
      <c r="AH45" s="174">
        <v>0</v>
      </c>
      <c r="AI45" s="51"/>
      <c r="AJ45" s="161">
        <v>0.05</v>
      </c>
      <c r="AK45" s="51"/>
      <c r="AL45" s="161">
        <v>0.25</v>
      </c>
      <c r="AM45" s="51"/>
      <c r="AN45" s="161">
        <v>0.45</v>
      </c>
      <c r="AO45" s="51"/>
      <c r="AP45" s="175">
        <v>0.05</v>
      </c>
      <c r="AQ45" s="64"/>
      <c r="AR45" s="174">
        <v>0</v>
      </c>
      <c r="AS45" s="51"/>
      <c r="AT45" s="161">
        <v>0</v>
      </c>
      <c r="AU45" s="51"/>
      <c r="AV45" s="161">
        <v>0</v>
      </c>
      <c r="AW45" s="51"/>
      <c r="AX45" s="161">
        <v>0.45</v>
      </c>
      <c r="AY45" s="51"/>
      <c r="AZ45" s="175">
        <v>0.05</v>
      </c>
      <c r="BA45" s="64"/>
      <c r="BB45" s="174">
        <v>0</v>
      </c>
      <c r="BC45" s="51"/>
      <c r="BD45" s="161">
        <v>0</v>
      </c>
      <c r="BE45" s="51"/>
      <c r="BF45" s="161">
        <v>0</v>
      </c>
      <c r="BG45" s="51"/>
      <c r="BH45" s="161">
        <v>0.3</v>
      </c>
      <c r="BI45" s="51"/>
      <c r="BJ45" s="175">
        <v>0.05</v>
      </c>
      <c r="BK45" s="64"/>
      <c r="BL45" s="174">
        <v>0</v>
      </c>
      <c r="BM45" s="51"/>
      <c r="BN45" s="161">
        <v>0</v>
      </c>
      <c r="BO45" s="51"/>
      <c r="BP45" s="161">
        <v>0</v>
      </c>
      <c r="BQ45" s="51"/>
      <c r="BR45" s="161">
        <v>0.15</v>
      </c>
      <c r="BS45" s="51"/>
      <c r="BT45" s="175">
        <v>0.05</v>
      </c>
      <c r="BU45" s="64"/>
      <c r="BV45" s="174">
        <v>0</v>
      </c>
      <c r="BW45" s="51"/>
      <c r="BX45" s="161">
        <v>0</v>
      </c>
      <c r="BY45" s="51"/>
      <c r="BZ45" s="161">
        <v>0</v>
      </c>
      <c r="CA45" s="51"/>
      <c r="CB45" s="161">
        <v>0.1</v>
      </c>
      <c r="CC45" s="51"/>
      <c r="CD45" s="175">
        <v>0.05</v>
      </c>
      <c r="CE45" s="64"/>
      <c r="CF45" s="174">
        <v>0</v>
      </c>
      <c r="CG45" s="51"/>
      <c r="CH45" s="161">
        <v>0</v>
      </c>
      <c r="CI45" s="51"/>
      <c r="CJ45" s="161">
        <v>0</v>
      </c>
      <c r="CK45" s="51"/>
      <c r="CL45" s="161">
        <v>0.05</v>
      </c>
      <c r="CM45" s="51"/>
      <c r="CN45" s="175">
        <v>0.05</v>
      </c>
      <c r="CO45" s="156"/>
    </row>
    <row r="46" spans="1:93">
      <c r="A46" s="37">
        <v>50.05</v>
      </c>
      <c r="B46" s="56" t="s">
        <v>45</v>
      </c>
      <c r="C46" s="64"/>
      <c r="D46" s="174">
        <v>0.15</v>
      </c>
      <c r="E46" s="51"/>
      <c r="F46" s="161">
        <v>0.6</v>
      </c>
      <c r="G46" s="51"/>
      <c r="H46" s="161">
        <v>0.25</v>
      </c>
      <c r="I46" s="51"/>
      <c r="J46" s="161">
        <v>0.45</v>
      </c>
      <c r="K46" s="51"/>
      <c r="L46" s="175">
        <v>0.05</v>
      </c>
      <c r="M46" s="64"/>
      <c r="N46" s="174">
        <v>0.1</v>
      </c>
      <c r="O46" s="51"/>
      <c r="P46" s="161">
        <v>0.5</v>
      </c>
      <c r="Q46" s="51"/>
      <c r="R46" s="161">
        <v>0.25</v>
      </c>
      <c r="S46" s="51"/>
      <c r="T46" s="161">
        <v>0.45</v>
      </c>
      <c r="U46" s="51"/>
      <c r="V46" s="175">
        <v>0.05</v>
      </c>
      <c r="W46" s="64"/>
      <c r="X46" s="174">
        <f t="shared" si="6"/>
        <v>0</v>
      </c>
      <c r="Y46" s="51"/>
      <c r="Z46" s="161">
        <f t="shared" si="6"/>
        <v>0.3</v>
      </c>
      <c r="AA46" s="51"/>
      <c r="AB46" s="161">
        <f t="shared" si="6"/>
        <v>0.25</v>
      </c>
      <c r="AC46" s="51"/>
      <c r="AD46" s="161">
        <f t="shared" si="6"/>
        <v>0.45</v>
      </c>
      <c r="AE46" s="51"/>
      <c r="AF46" s="175">
        <f t="shared" si="6"/>
        <v>0.05</v>
      </c>
      <c r="AG46" s="64"/>
      <c r="AH46" s="174">
        <v>0</v>
      </c>
      <c r="AI46" s="51"/>
      <c r="AJ46" s="161">
        <v>0.05</v>
      </c>
      <c r="AK46" s="51"/>
      <c r="AL46" s="161">
        <v>0.25</v>
      </c>
      <c r="AM46" s="51"/>
      <c r="AN46" s="161">
        <v>0.45</v>
      </c>
      <c r="AO46" s="51"/>
      <c r="AP46" s="175">
        <v>0.05</v>
      </c>
      <c r="AQ46" s="64"/>
      <c r="AR46" s="174">
        <v>0</v>
      </c>
      <c r="AS46" s="51"/>
      <c r="AT46" s="161">
        <v>0</v>
      </c>
      <c r="AU46" s="51"/>
      <c r="AV46" s="161">
        <v>0</v>
      </c>
      <c r="AW46" s="51"/>
      <c r="AX46" s="161">
        <v>0.45</v>
      </c>
      <c r="AY46" s="51"/>
      <c r="AZ46" s="175">
        <v>0.05</v>
      </c>
      <c r="BA46" s="64"/>
      <c r="BB46" s="174">
        <v>0</v>
      </c>
      <c r="BC46" s="51"/>
      <c r="BD46" s="161">
        <v>0</v>
      </c>
      <c r="BE46" s="51"/>
      <c r="BF46" s="161">
        <v>0</v>
      </c>
      <c r="BG46" s="51"/>
      <c r="BH46" s="161">
        <v>0.3</v>
      </c>
      <c r="BI46" s="51"/>
      <c r="BJ46" s="175">
        <v>0.05</v>
      </c>
      <c r="BK46" s="64"/>
      <c r="BL46" s="174">
        <v>0</v>
      </c>
      <c r="BM46" s="51"/>
      <c r="BN46" s="161">
        <v>0</v>
      </c>
      <c r="BO46" s="51"/>
      <c r="BP46" s="161">
        <v>0</v>
      </c>
      <c r="BQ46" s="51"/>
      <c r="BR46" s="161">
        <v>0.15</v>
      </c>
      <c r="BS46" s="51"/>
      <c r="BT46" s="175">
        <v>0.05</v>
      </c>
      <c r="BU46" s="64"/>
      <c r="BV46" s="174">
        <v>0</v>
      </c>
      <c r="BW46" s="51"/>
      <c r="BX46" s="161">
        <v>0</v>
      </c>
      <c r="BY46" s="51"/>
      <c r="BZ46" s="161">
        <v>0</v>
      </c>
      <c r="CA46" s="51"/>
      <c r="CB46" s="161">
        <v>0.1</v>
      </c>
      <c r="CC46" s="51"/>
      <c r="CD46" s="175">
        <v>0.05</v>
      </c>
      <c r="CE46" s="64"/>
      <c r="CF46" s="174">
        <v>0</v>
      </c>
      <c r="CG46" s="51"/>
      <c r="CH46" s="161">
        <v>0</v>
      </c>
      <c r="CI46" s="51"/>
      <c r="CJ46" s="161">
        <v>0</v>
      </c>
      <c r="CK46" s="51"/>
      <c r="CL46" s="161">
        <v>0.05</v>
      </c>
      <c r="CM46" s="51"/>
      <c r="CN46" s="175">
        <v>0.05</v>
      </c>
      <c r="CO46" s="156"/>
    </row>
    <row r="47" spans="1:93">
      <c r="A47" s="37">
        <v>50.06</v>
      </c>
      <c r="B47" s="56" t="s">
        <v>46</v>
      </c>
      <c r="C47" s="64"/>
      <c r="D47" s="174">
        <v>0.15</v>
      </c>
      <c r="E47" s="51"/>
      <c r="F47" s="161">
        <v>0.6</v>
      </c>
      <c r="G47" s="51"/>
      <c r="H47" s="161">
        <v>0.25</v>
      </c>
      <c r="I47" s="51"/>
      <c r="J47" s="161">
        <v>0.45</v>
      </c>
      <c r="K47" s="51"/>
      <c r="L47" s="175">
        <v>0.05</v>
      </c>
      <c r="M47" s="64"/>
      <c r="N47" s="174">
        <v>0.1</v>
      </c>
      <c r="O47" s="51"/>
      <c r="P47" s="161">
        <v>0.5</v>
      </c>
      <c r="Q47" s="51"/>
      <c r="R47" s="161">
        <v>0.25</v>
      </c>
      <c r="S47" s="51"/>
      <c r="T47" s="161">
        <v>0.45</v>
      </c>
      <c r="U47" s="51"/>
      <c r="V47" s="175">
        <v>0.05</v>
      </c>
      <c r="W47" s="64"/>
      <c r="X47" s="174">
        <f t="shared" si="6"/>
        <v>0</v>
      </c>
      <c r="Y47" s="51"/>
      <c r="Z47" s="161">
        <f t="shared" si="6"/>
        <v>0.3</v>
      </c>
      <c r="AA47" s="51"/>
      <c r="AB47" s="161">
        <f t="shared" si="6"/>
        <v>0.25</v>
      </c>
      <c r="AC47" s="51"/>
      <c r="AD47" s="161">
        <f t="shared" si="6"/>
        <v>0.45</v>
      </c>
      <c r="AE47" s="51"/>
      <c r="AF47" s="175">
        <f t="shared" si="6"/>
        <v>0.05</v>
      </c>
      <c r="AG47" s="64"/>
      <c r="AH47" s="174">
        <v>0</v>
      </c>
      <c r="AI47" s="51"/>
      <c r="AJ47" s="161">
        <v>0.05</v>
      </c>
      <c r="AK47" s="51"/>
      <c r="AL47" s="161">
        <v>0.25</v>
      </c>
      <c r="AM47" s="51"/>
      <c r="AN47" s="161">
        <v>0.45</v>
      </c>
      <c r="AO47" s="51"/>
      <c r="AP47" s="175">
        <v>0.05</v>
      </c>
      <c r="AQ47" s="64"/>
      <c r="AR47" s="174">
        <v>0</v>
      </c>
      <c r="AS47" s="51"/>
      <c r="AT47" s="161">
        <v>0</v>
      </c>
      <c r="AU47" s="51"/>
      <c r="AV47" s="161">
        <v>0</v>
      </c>
      <c r="AW47" s="51"/>
      <c r="AX47" s="161">
        <v>0.45</v>
      </c>
      <c r="AY47" s="51"/>
      <c r="AZ47" s="175">
        <v>0.05</v>
      </c>
      <c r="BA47" s="64"/>
      <c r="BB47" s="174">
        <v>0</v>
      </c>
      <c r="BC47" s="51"/>
      <c r="BD47" s="161">
        <v>0</v>
      </c>
      <c r="BE47" s="51"/>
      <c r="BF47" s="161">
        <v>0</v>
      </c>
      <c r="BG47" s="51"/>
      <c r="BH47" s="161">
        <v>0.3</v>
      </c>
      <c r="BI47" s="51"/>
      <c r="BJ47" s="175">
        <v>0.05</v>
      </c>
      <c r="BK47" s="64"/>
      <c r="BL47" s="174">
        <v>0</v>
      </c>
      <c r="BM47" s="51"/>
      <c r="BN47" s="161">
        <v>0</v>
      </c>
      <c r="BO47" s="51"/>
      <c r="BP47" s="161">
        <v>0</v>
      </c>
      <c r="BQ47" s="51"/>
      <c r="BR47" s="161">
        <v>0.15</v>
      </c>
      <c r="BS47" s="51"/>
      <c r="BT47" s="175">
        <v>0.05</v>
      </c>
      <c r="BU47" s="64"/>
      <c r="BV47" s="174">
        <v>0</v>
      </c>
      <c r="BW47" s="51"/>
      <c r="BX47" s="161">
        <v>0</v>
      </c>
      <c r="BY47" s="51"/>
      <c r="BZ47" s="161">
        <v>0</v>
      </c>
      <c r="CA47" s="51"/>
      <c r="CB47" s="161">
        <v>0.1</v>
      </c>
      <c r="CC47" s="51"/>
      <c r="CD47" s="175">
        <v>0.05</v>
      </c>
      <c r="CE47" s="64"/>
      <c r="CF47" s="174">
        <v>0</v>
      </c>
      <c r="CG47" s="51"/>
      <c r="CH47" s="161">
        <v>0</v>
      </c>
      <c r="CI47" s="51"/>
      <c r="CJ47" s="161">
        <v>0</v>
      </c>
      <c r="CK47" s="51"/>
      <c r="CL47" s="161">
        <v>0.05</v>
      </c>
      <c r="CM47" s="51"/>
      <c r="CN47" s="175">
        <v>0.05</v>
      </c>
      <c r="CO47" s="156"/>
    </row>
    <row r="48" spans="1:93">
      <c r="A48" s="37">
        <v>50.07</v>
      </c>
      <c r="B48" s="56" t="s">
        <v>47</v>
      </c>
      <c r="C48" s="64"/>
      <c r="D48" s="176">
        <v>0.15</v>
      </c>
      <c r="E48" s="51"/>
      <c r="F48" s="162">
        <v>0.6</v>
      </c>
      <c r="G48" s="51"/>
      <c r="H48" s="162">
        <v>0.25</v>
      </c>
      <c r="I48" s="51"/>
      <c r="J48" s="162">
        <v>0.45</v>
      </c>
      <c r="K48" s="51"/>
      <c r="L48" s="180">
        <v>0.05</v>
      </c>
      <c r="M48" s="64"/>
      <c r="N48" s="176">
        <v>0.1</v>
      </c>
      <c r="O48" s="51"/>
      <c r="P48" s="162">
        <v>0.5</v>
      </c>
      <c r="Q48" s="51"/>
      <c r="R48" s="162">
        <v>0.25</v>
      </c>
      <c r="S48" s="51"/>
      <c r="T48" s="162">
        <v>0.45</v>
      </c>
      <c r="U48" s="51"/>
      <c r="V48" s="180">
        <v>0.05</v>
      </c>
      <c r="W48" s="64"/>
      <c r="X48" s="176">
        <f t="shared" si="6"/>
        <v>0</v>
      </c>
      <c r="Y48" s="51"/>
      <c r="Z48" s="162">
        <f t="shared" si="6"/>
        <v>0.3</v>
      </c>
      <c r="AA48" s="51"/>
      <c r="AB48" s="162">
        <f t="shared" si="6"/>
        <v>0.25</v>
      </c>
      <c r="AC48" s="51"/>
      <c r="AD48" s="162">
        <f t="shared" si="6"/>
        <v>0.45</v>
      </c>
      <c r="AE48" s="51"/>
      <c r="AF48" s="180">
        <f t="shared" si="6"/>
        <v>0.05</v>
      </c>
      <c r="AG48" s="64"/>
      <c r="AH48" s="176">
        <v>0</v>
      </c>
      <c r="AI48" s="51"/>
      <c r="AJ48" s="162">
        <v>0.05</v>
      </c>
      <c r="AK48" s="51"/>
      <c r="AL48" s="162">
        <v>0.25</v>
      </c>
      <c r="AM48" s="51"/>
      <c r="AN48" s="162">
        <v>0.45</v>
      </c>
      <c r="AO48" s="51"/>
      <c r="AP48" s="180">
        <v>0.05</v>
      </c>
      <c r="AQ48" s="64"/>
      <c r="AR48" s="176">
        <v>0</v>
      </c>
      <c r="AS48" s="51"/>
      <c r="AT48" s="162">
        <v>0</v>
      </c>
      <c r="AU48" s="51"/>
      <c r="AV48" s="162">
        <v>0</v>
      </c>
      <c r="AW48" s="51"/>
      <c r="AX48" s="162">
        <v>0.45</v>
      </c>
      <c r="AY48" s="51"/>
      <c r="AZ48" s="180">
        <v>0.05</v>
      </c>
      <c r="BA48" s="64"/>
      <c r="BB48" s="176">
        <v>0</v>
      </c>
      <c r="BC48" s="51"/>
      <c r="BD48" s="162">
        <v>0</v>
      </c>
      <c r="BE48" s="51"/>
      <c r="BF48" s="162">
        <v>0</v>
      </c>
      <c r="BG48" s="51"/>
      <c r="BH48" s="162">
        <v>0.3</v>
      </c>
      <c r="BI48" s="51"/>
      <c r="BJ48" s="180">
        <v>0.05</v>
      </c>
      <c r="BK48" s="64"/>
      <c r="BL48" s="176">
        <v>0</v>
      </c>
      <c r="BM48" s="51"/>
      <c r="BN48" s="162">
        <v>0</v>
      </c>
      <c r="BO48" s="51"/>
      <c r="BP48" s="162">
        <v>0</v>
      </c>
      <c r="BQ48" s="51"/>
      <c r="BR48" s="162">
        <v>0.15</v>
      </c>
      <c r="BS48" s="51"/>
      <c r="BT48" s="180">
        <v>0.05</v>
      </c>
      <c r="BU48" s="64"/>
      <c r="BV48" s="176">
        <v>0</v>
      </c>
      <c r="BW48" s="51"/>
      <c r="BX48" s="162">
        <v>0</v>
      </c>
      <c r="BY48" s="51"/>
      <c r="BZ48" s="162">
        <v>0</v>
      </c>
      <c r="CA48" s="51"/>
      <c r="CB48" s="162">
        <v>0.1</v>
      </c>
      <c r="CC48" s="51"/>
      <c r="CD48" s="180">
        <v>0.05</v>
      </c>
      <c r="CE48" s="64"/>
      <c r="CF48" s="176">
        <v>0</v>
      </c>
      <c r="CG48" s="51"/>
      <c r="CH48" s="162">
        <v>0</v>
      </c>
      <c r="CI48" s="51"/>
      <c r="CJ48" s="162">
        <v>0</v>
      </c>
      <c r="CK48" s="51"/>
      <c r="CL48" s="162">
        <v>0.05</v>
      </c>
      <c r="CM48" s="51"/>
      <c r="CN48" s="180">
        <v>0.05</v>
      </c>
      <c r="CO48" s="156"/>
    </row>
    <row r="49" spans="1:93">
      <c r="A49" s="37"/>
      <c r="B49" s="56"/>
      <c r="C49" s="64"/>
      <c r="D49" s="64"/>
      <c r="E49" s="51"/>
      <c r="F49" s="51"/>
      <c r="G49" s="51"/>
      <c r="H49" s="51"/>
      <c r="I49" s="51"/>
      <c r="J49" s="51"/>
      <c r="K49" s="51"/>
      <c r="L49" s="187"/>
      <c r="M49" s="64"/>
      <c r="N49" s="64"/>
      <c r="O49" s="51"/>
      <c r="P49" s="51"/>
      <c r="Q49" s="51"/>
      <c r="R49" s="51"/>
      <c r="S49" s="51"/>
      <c r="T49" s="51"/>
      <c r="U49" s="51"/>
      <c r="V49" s="187"/>
      <c r="W49" s="64"/>
      <c r="X49" s="64"/>
      <c r="Y49" s="51"/>
      <c r="Z49" s="51"/>
      <c r="AA49" s="51"/>
      <c r="AB49" s="51"/>
      <c r="AC49" s="51"/>
      <c r="AD49" s="51"/>
      <c r="AE49" s="51"/>
      <c r="AF49" s="187"/>
      <c r="AG49" s="64"/>
      <c r="AH49" s="64"/>
      <c r="AI49" s="51"/>
      <c r="AJ49" s="51"/>
      <c r="AK49" s="51"/>
      <c r="AL49" s="51"/>
      <c r="AM49" s="51"/>
      <c r="AN49" s="51"/>
      <c r="AO49" s="51"/>
      <c r="AP49" s="187"/>
      <c r="AQ49" s="64"/>
      <c r="AR49" s="64"/>
      <c r="AS49" s="51"/>
      <c r="AT49" s="51"/>
      <c r="AU49" s="51"/>
      <c r="AV49" s="51"/>
      <c r="AW49" s="51"/>
      <c r="AX49" s="51"/>
      <c r="AY49" s="51"/>
      <c r="AZ49" s="187"/>
      <c r="BA49" s="64"/>
      <c r="BB49" s="64"/>
      <c r="BC49" s="51"/>
      <c r="BD49" s="51"/>
      <c r="BE49" s="51"/>
      <c r="BF49" s="51"/>
      <c r="BG49" s="51"/>
      <c r="BH49" s="51"/>
      <c r="BI49" s="51"/>
      <c r="BJ49" s="187"/>
      <c r="BK49" s="64"/>
      <c r="BL49" s="64"/>
      <c r="BM49" s="51"/>
      <c r="BN49" s="51"/>
      <c r="BO49" s="51"/>
      <c r="BP49" s="51"/>
      <c r="BQ49" s="51"/>
      <c r="BR49" s="51"/>
      <c r="BS49" s="51"/>
      <c r="BT49" s="187"/>
      <c r="BU49" s="64"/>
      <c r="BV49" s="64"/>
      <c r="BW49" s="51"/>
      <c r="BX49" s="51"/>
      <c r="BY49" s="51"/>
      <c r="BZ49" s="51"/>
      <c r="CA49" s="51"/>
      <c r="CB49" s="51"/>
      <c r="CC49" s="51"/>
      <c r="CD49" s="187"/>
      <c r="CE49" s="64"/>
      <c r="CF49" s="64"/>
      <c r="CG49" s="51"/>
      <c r="CH49" s="51"/>
      <c r="CI49" s="51"/>
      <c r="CJ49" s="51"/>
      <c r="CK49" s="51"/>
      <c r="CL49" s="51"/>
      <c r="CM49" s="51"/>
      <c r="CN49" s="187"/>
      <c r="CO49" s="156"/>
    </row>
    <row r="50" spans="1:93">
      <c r="A50" s="37" t="s">
        <v>172</v>
      </c>
      <c r="B50" s="56"/>
      <c r="C50" s="64"/>
      <c r="D50" s="64"/>
      <c r="E50" s="51"/>
      <c r="F50" s="51"/>
      <c r="G50" s="51"/>
      <c r="H50" s="51"/>
      <c r="I50" s="51"/>
      <c r="J50" s="51"/>
      <c r="K50" s="51"/>
      <c r="L50" s="188"/>
      <c r="M50" s="64"/>
      <c r="N50" s="64"/>
      <c r="O50" s="51"/>
      <c r="P50" s="51"/>
      <c r="Q50" s="51"/>
      <c r="R50" s="51"/>
      <c r="S50" s="51"/>
      <c r="T50" s="51"/>
      <c r="U50" s="51"/>
      <c r="V50" s="188"/>
      <c r="W50" s="64"/>
      <c r="X50" s="64"/>
      <c r="Y50" s="51"/>
      <c r="Z50" s="51"/>
      <c r="AA50" s="51"/>
      <c r="AB50" s="51"/>
      <c r="AC50" s="51"/>
      <c r="AD50" s="51"/>
      <c r="AE50" s="51"/>
      <c r="AF50" s="188"/>
      <c r="AG50" s="64"/>
      <c r="AH50" s="64"/>
      <c r="AI50" s="51"/>
      <c r="AJ50" s="51"/>
      <c r="AK50" s="51"/>
      <c r="AL50" s="51"/>
      <c r="AM50" s="51"/>
      <c r="AN50" s="51"/>
      <c r="AO50" s="51"/>
      <c r="AP50" s="188"/>
      <c r="AQ50" s="64"/>
      <c r="AR50" s="64"/>
      <c r="AS50" s="51"/>
      <c r="AT50" s="51"/>
      <c r="AU50" s="51"/>
      <c r="AV50" s="51"/>
      <c r="AW50" s="51"/>
      <c r="AX50" s="51"/>
      <c r="AY50" s="51"/>
      <c r="AZ50" s="188"/>
      <c r="BA50" s="64"/>
      <c r="BB50" s="64"/>
      <c r="BC50" s="51"/>
      <c r="BD50" s="51"/>
      <c r="BE50" s="51"/>
      <c r="BF50" s="51"/>
      <c r="BG50" s="51"/>
      <c r="BH50" s="51"/>
      <c r="BI50" s="51"/>
      <c r="BJ50" s="188"/>
      <c r="BK50" s="64"/>
      <c r="BL50" s="64"/>
      <c r="BM50" s="51"/>
      <c r="BN50" s="51"/>
      <c r="BO50" s="51"/>
      <c r="BP50" s="51"/>
      <c r="BQ50" s="51"/>
      <c r="BR50" s="51"/>
      <c r="BS50" s="51"/>
      <c r="BT50" s="188"/>
      <c r="BU50" s="64"/>
      <c r="BV50" s="64"/>
      <c r="BW50" s="51"/>
      <c r="BX50" s="51"/>
      <c r="BY50" s="51"/>
      <c r="BZ50" s="51"/>
      <c r="CA50" s="51"/>
      <c r="CB50" s="51"/>
      <c r="CC50" s="51"/>
      <c r="CD50" s="188"/>
      <c r="CE50" s="64"/>
      <c r="CF50" s="64"/>
      <c r="CG50" s="51"/>
      <c r="CH50" s="51"/>
      <c r="CI50" s="51"/>
      <c r="CJ50" s="51"/>
      <c r="CK50" s="51"/>
      <c r="CL50" s="51"/>
      <c r="CM50" s="51"/>
      <c r="CN50" s="188"/>
      <c r="CO50" s="156"/>
    </row>
    <row r="51" spans="1:93">
      <c r="A51" s="37">
        <v>60.01</v>
      </c>
      <c r="B51" s="56" t="s">
        <v>48</v>
      </c>
      <c r="C51" s="64"/>
      <c r="D51" s="64"/>
      <c r="E51" s="160">
        <v>0</v>
      </c>
      <c r="F51" s="51"/>
      <c r="G51" s="160">
        <v>1.1499999999999999</v>
      </c>
      <c r="H51" s="51"/>
      <c r="I51" s="160">
        <v>0.8</v>
      </c>
      <c r="J51" s="51"/>
      <c r="K51" s="160">
        <v>0.25</v>
      </c>
      <c r="L51" s="173">
        <v>0.05</v>
      </c>
      <c r="M51" s="64"/>
      <c r="N51" s="64"/>
      <c r="O51" s="160">
        <f>AVERAGE(E51,Y51)</f>
        <v>0</v>
      </c>
      <c r="P51" s="51"/>
      <c r="Q51" s="160">
        <f>AVERAGE(G51,AA51)</f>
        <v>1.0249999999999999</v>
      </c>
      <c r="R51" s="51"/>
      <c r="S51" s="160">
        <f>AVERAGE(I51,AC51)</f>
        <v>0.8</v>
      </c>
      <c r="T51" s="51"/>
      <c r="U51" s="160">
        <f>AVERAGE(K51,AE51)</f>
        <v>0.25</v>
      </c>
      <c r="V51" s="173">
        <f>AVERAGE(L51,AF51)</f>
        <v>0.05</v>
      </c>
      <c r="W51" s="64"/>
      <c r="X51" s="64"/>
      <c r="Y51" s="160">
        <v>0</v>
      </c>
      <c r="Z51" s="51"/>
      <c r="AA51" s="160">
        <v>0.9</v>
      </c>
      <c r="AB51" s="51"/>
      <c r="AC51" s="160">
        <v>0.8</v>
      </c>
      <c r="AD51" s="51"/>
      <c r="AE51" s="160">
        <v>0.25</v>
      </c>
      <c r="AF51" s="173">
        <v>0.05</v>
      </c>
      <c r="AG51" s="64"/>
      <c r="AH51" s="64"/>
      <c r="AI51" s="160">
        <v>0</v>
      </c>
      <c r="AJ51" s="51"/>
      <c r="AK51" s="160">
        <v>0.4</v>
      </c>
      <c r="AL51" s="51"/>
      <c r="AM51" s="160">
        <v>0.8</v>
      </c>
      <c r="AN51" s="51"/>
      <c r="AO51" s="160">
        <v>0.25</v>
      </c>
      <c r="AP51" s="173">
        <v>0.05</v>
      </c>
      <c r="AQ51" s="64"/>
      <c r="AR51" s="64"/>
      <c r="AS51" s="160">
        <v>0</v>
      </c>
      <c r="AT51" s="51"/>
      <c r="AU51" s="160">
        <v>0.25</v>
      </c>
      <c r="AV51" s="51"/>
      <c r="AW51" s="160">
        <v>0.5</v>
      </c>
      <c r="AX51" s="51"/>
      <c r="AY51" s="160">
        <v>0.25</v>
      </c>
      <c r="AZ51" s="173">
        <v>0.05</v>
      </c>
      <c r="BA51" s="64"/>
      <c r="BB51" s="64"/>
      <c r="BC51" s="160">
        <v>0</v>
      </c>
      <c r="BD51" s="51"/>
      <c r="BE51" s="160">
        <v>0.15</v>
      </c>
      <c r="BF51" s="51"/>
      <c r="BG51" s="160">
        <v>0.4</v>
      </c>
      <c r="BH51" s="51"/>
      <c r="BI51" s="160">
        <v>0.2</v>
      </c>
      <c r="BJ51" s="173">
        <v>0.05</v>
      </c>
      <c r="BK51" s="64"/>
      <c r="BL51" s="64"/>
      <c r="BM51" s="160">
        <v>0</v>
      </c>
      <c r="BN51" s="51"/>
      <c r="BO51" s="160">
        <v>0.1</v>
      </c>
      <c r="BP51" s="51"/>
      <c r="BQ51" s="160">
        <v>0.3</v>
      </c>
      <c r="BR51" s="51"/>
      <c r="BS51" s="160">
        <v>0.15</v>
      </c>
      <c r="BT51" s="173">
        <v>0.05</v>
      </c>
      <c r="BU51" s="64"/>
      <c r="BV51" s="64"/>
      <c r="BW51" s="160">
        <v>0</v>
      </c>
      <c r="BX51" s="51"/>
      <c r="BY51" s="160">
        <v>0.05</v>
      </c>
      <c r="BZ51" s="51"/>
      <c r="CA51" s="160">
        <v>0.15</v>
      </c>
      <c r="CB51" s="51"/>
      <c r="CC51" s="160">
        <v>0.1</v>
      </c>
      <c r="CD51" s="173">
        <v>0.05</v>
      </c>
      <c r="CE51" s="64"/>
      <c r="CF51" s="64"/>
      <c r="CG51" s="160">
        <v>0</v>
      </c>
      <c r="CH51" s="51"/>
      <c r="CI51" s="160">
        <v>0</v>
      </c>
      <c r="CJ51" s="51"/>
      <c r="CK51" s="160">
        <v>0.05</v>
      </c>
      <c r="CL51" s="51"/>
      <c r="CM51" s="160">
        <v>0.05</v>
      </c>
      <c r="CN51" s="173">
        <v>0.05</v>
      </c>
      <c r="CO51" s="156"/>
    </row>
    <row r="52" spans="1:93">
      <c r="A52" s="37">
        <v>60.02</v>
      </c>
      <c r="B52" s="56" t="s">
        <v>49</v>
      </c>
      <c r="C52" s="64"/>
      <c r="D52" s="64"/>
      <c r="E52" s="162">
        <f>E$51</f>
        <v>0</v>
      </c>
      <c r="F52" s="51"/>
      <c r="G52" s="162">
        <f>G$51</f>
        <v>1.1499999999999999</v>
      </c>
      <c r="H52" s="51"/>
      <c r="I52" s="162">
        <f>I$51</f>
        <v>0.8</v>
      </c>
      <c r="J52" s="51"/>
      <c r="K52" s="162">
        <f>K$51</f>
        <v>0.25</v>
      </c>
      <c r="L52" s="180">
        <f>L$51</f>
        <v>0.05</v>
      </c>
      <c r="M52" s="64"/>
      <c r="N52" s="64"/>
      <c r="O52" s="162">
        <f>O$51</f>
        <v>0</v>
      </c>
      <c r="P52" s="51"/>
      <c r="Q52" s="162">
        <f>Q$51</f>
        <v>1.0249999999999999</v>
      </c>
      <c r="R52" s="51"/>
      <c r="S52" s="162">
        <f>S$51</f>
        <v>0.8</v>
      </c>
      <c r="T52" s="51"/>
      <c r="U52" s="162">
        <f>U$51</f>
        <v>0.25</v>
      </c>
      <c r="V52" s="180">
        <f>V$51</f>
        <v>0.05</v>
      </c>
      <c r="W52" s="64"/>
      <c r="X52" s="64"/>
      <c r="Y52" s="162">
        <f>Y$51</f>
        <v>0</v>
      </c>
      <c r="Z52" s="51"/>
      <c r="AA52" s="162">
        <f>AA$51</f>
        <v>0.9</v>
      </c>
      <c r="AB52" s="51"/>
      <c r="AC52" s="162">
        <f>AC$51</f>
        <v>0.8</v>
      </c>
      <c r="AD52" s="51"/>
      <c r="AE52" s="162">
        <f>AE$51</f>
        <v>0.25</v>
      </c>
      <c r="AF52" s="180">
        <f>AF$51</f>
        <v>0.05</v>
      </c>
      <c r="AG52" s="64"/>
      <c r="AH52" s="64"/>
      <c r="AI52" s="162">
        <f>AI$51</f>
        <v>0</v>
      </c>
      <c r="AJ52" s="51"/>
      <c r="AK52" s="162">
        <f>AK$51</f>
        <v>0.4</v>
      </c>
      <c r="AL52" s="51"/>
      <c r="AM52" s="162">
        <f>AM$51</f>
        <v>0.8</v>
      </c>
      <c r="AN52" s="51"/>
      <c r="AO52" s="162">
        <f>AO$51</f>
        <v>0.25</v>
      </c>
      <c r="AP52" s="180">
        <f>AP$51</f>
        <v>0.05</v>
      </c>
      <c r="AQ52" s="64"/>
      <c r="AR52" s="64"/>
      <c r="AS52" s="162">
        <f>AS$51</f>
        <v>0</v>
      </c>
      <c r="AT52" s="51"/>
      <c r="AU52" s="162">
        <f>AU$51</f>
        <v>0.25</v>
      </c>
      <c r="AV52" s="51"/>
      <c r="AW52" s="162">
        <f>AW$51</f>
        <v>0.5</v>
      </c>
      <c r="AX52" s="51"/>
      <c r="AY52" s="162">
        <f>AY$51</f>
        <v>0.25</v>
      </c>
      <c r="AZ52" s="180">
        <f>AZ$51</f>
        <v>0.05</v>
      </c>
      <c r="BA52" s="64"/>
      <c r="BB52" s="64"/>
      <c r="BC52" s="162">
        <f>BC$51</f>
        <v>0</v>
      </c>
      <c r="BD52" s="51"/>
      <c r="BE52" s="162">
        <f>BE$51</f>
        <v>0.15</v>
      </c>
      <c r="BF52" s="51"/>
      <c r="BG52" s="162">
        <f>BG$51</f>
        <v>0.4</v>
      </c>
      <c r="BH52" s="51"/>
      <c r="BI52" s="162">
        <f>BI$51</f>
        <v>0.2</v>
      </c>
      <c r="BJ52" s="180">
        <f>BJ$51</f>
        <v>0.05</v>
      </c>
      <c r="BK52" s="64"/>
      <c r="BL52" s="64"/>
      <c r="BM52" s="162">
        <f>BM$51</f>
        <v>0</v>
      </c>
      <c r="BN52" s="51"/>
      <c r="BO52" s="162">
        <f>BO$51</f>
        <v>0.1</v>
      </c>
      <c r="BP52" s="51"/>
      <c r="BQ52" s="162">
        <f>BQ$51</f>
        <v>0.3</v>
      </c>
      <c r="BR52" s="51"/>
      <c r="BS52" s="162">
        <f>BS$51</f>
        <v>0.15</v>
      </c>
      <c r="BT52" s="180">
        <f>BT$51</f>
        <v>0.05</v>
      </c>
      <c r="BU52" s="64"/>
      <c r="BV52" s="64"/>
      <c r="BW52" s="162">
        <f>BW$51</f>
        <v>0</v>
      </c>
      <c r="BX52" s="51"/>
      <c r="BY52" s="162">
        <f>BY$51</f>
        <v>0.05</v>
      </c>
      <c r="BZ52" s="51"/>
      <c r="CA52" s="162">
        <f>CA$51</f>
        <v>0.15</v>
      </c>
      <c r="CB52" s="51"/>
      <c r="CC52" s="162">
        <f>CC$51</f>
        <v>0.1</v>
      </c>
      <c r="CD52" s="180">
        <f>CD$51</f>
        <v>0.05</v>
      </c>
      <c r="CE52" s="64"/>
      <c r="CF52" s="64"/>
      <c r="CG52" s="162">
        <f>CG$51</f>
        <v>0</v>
      </c>
      <c r="CH52" s="51"/>
      <c r="CI52" s="162">
        <f>CI$51</f>
        <v>0</v>
      </c>
      <c r="CJ52" s="51"/>
      <c r="CK52" s="162">
        <f>CK$51</f>
        <v>0.05</v>
      </c>
      <c r="CL52" s="51"/>
      <c r="CM52" s="162">
        <f>CM$51</f>
        <v>0.05</v>
      </c>
      <c r="CN52" s="180">
        <f>CN$51</f>
        <v>0.05</v>
      </c>
      <c r="CO52" s="156"/>
    </row>
    <row r="53" spans="1:93">
      <c r="A53" s="37" t="s">
        <v>173</v>
      </c>
      <c r="B53" s="56"/>
      <c r="C53" s="64"/>
      <c r="D53" s="64"/>
      <c r="E53" s="165"/>
      <c r="F53" s="51"/>
      <c r="G53" s="165"/>
      <c r="H53" s="51"/>
      <c r="I53" s="165"/>
      <c r="J53" s="51"/>
      <c r="K53" s="165"/>
      <c r="L53" s="178"/>
      <c r="M53" s="64"/>
      <c r="N53" s="64"/>
      <c r="O53" s="165"/>
      <c r="P53" s="51"/>
      <c r="Q53" s="165"/>
      <c r="R53" s="51"/>
      <c r="S53" s="165"/>
      <c r="T53" s="51"/>
      <c r="U53" s="165"/>
      <c r="V53" s="178"/>
      <c r="W53" s="64"/>
      <c r="X53" s="64"/>
      <c r="Y53" s="165"/>
      <c r="Z53" s="51"/>
      <c r="AA53" s="165"/>
      <c r="AB53" s="51"/>
      <c r="AC53" s="165"/>
      <c r="AD53" s="51"/>
      <c r="AE53" s="165"/>
      <c r="AF53" s="178"/>
      <c r="AG53" s="64"/>
      <c r="AH53" s="64"/>
      <c r="AI53" s="165"/>
      <c r="AJ53" s="51"/>
      <c r="AK53" s="165"/>
      <c r="AL53" s="51"/>
      <c r="AM53" s="165"/>
      <c r="AN53" s="51"/>
      <c r="AO53" s="165"/>
      <c r="AP53" s="178"/>
      <c r="AQ53" s="64"/>
      <c r="AR53" s="64"/>
      <c r="AS53" s="165"/>
      <c r="AT53" s="51"/>
      <c r="AU53" s="165"/>
      <c r="AV53" s="51"/>
      <c r="AW53" s="165"/>
      <c r="AX53" s="51"/>
      <c r="AY53" s="165"/>
      <c r="AZ53" s="178"/>
      <c r="BA53" s="64"/>
      <c r="BB53" s="64"/>
      <c r="BC53" s="165"/>
      <c r="BD53" s="51"/>
      <c r="BE53" s="165"/>
      <c r="BF53" s="51"/>
      <c r="BG53" s="165"/>
      <c r="BH53" s="51"/>
      <c r="BI53" s="165"/>
      <c r="BJ53" s="178"/>
      <c r="BK53" s="64"/>
      <c r="BL53" s="64"/>
      <c r="BM53" s="165"/>
      <c r="BN53" s="51"/>
      <c r="BO53" s="165"/>
      <c r="BP53" s="51"/>
      <c r="BQ53" s="165"/>
      <c r="BR53" s="51"/>
      <c r="BS53" s="165"/>
      <c r="BT53" s="178"/>
      <c r="BU53" s="64"/>
      <c r="BV53" s="64"/>
      <c r="BW53" s="165"/>
      <c r="BX53" s="51"/>
      <c r="BY53" s="165"/>
      <c r="BZ53" s="51"/>
      <c r="CA53" s="165"/>
      <c r="CB53" s="51"/>
      <c r="CC53" s="165"/>
      <c r="CD53" s="178"/>
      <c r="CE53" s="64"/>
      <c r="CF53" s="64"/>
      <c r="CG53" s="165"/>
      <c r="CH53" s="51"/>
      <c r="CI53" s="165"/>
      <c r="CJ53" s="51"/>
      <c r="CK53" s="165"/>
      <c r="CL53" s="51"/>
      <c r="CM53" s="165"/>
      <c r="CN53" s="178"/>
      <c r="CO53" s="156"/>
    </row>
    <row r="54" spans="1:93">
      <c r="A54" s="37">
        <v>70.010000000000005</v>
      </c>
      <c r="B54" s="56" t="s">
        <v>50</v>
      </c>
      <c r="C54" s="64"/>
      <c r="D54" s="64"/>
      <c r="E54" s="160">
        <v>0</v>
      </c>
      <c r="F54" s="51"/>
      <c r="G54" s="160">
        <v>0.45</v>
      </c>
      <c r="H54" s="51"/>
      <c r="I54" s="160">
        <v>0.25</v>
      </c>
      <c r="J54" s="51"/>
      <c r="K54" s="160">
        <v>0.25</v>
      </c>
      <c r="L54" s="173">
        <v>0.05</v>
      </c>
      <c r="M54" s="64"/>
      <c r="N54" s="64"/>
      <c r="O54" s="160">
        <f>AVERAGE(E54,Y54)</f>
        <v>0</v>
      </c>
      <c r="P54" s="51"/>
      <c r="Q54" s="160">
        <f>AVERAGE(G54,AA54)</f>
        <v>0.4</v>
      </c>
      <c r="R54" s="51"/>
      <c r="S54" s="160">
        <f>AVERAGE(I54,AC54)</f>
        <v>0.25</v>
      </c>
      <c r="T54" s="51"/>
      <c r="U54" s="160">
        <f>AVERAGE(K54,AE54)</f>
        <v>0.25</v>
      </c>
      <c r="V54" s="173">
        <f>AVERAGE(L54,AF54)</f>
        <v>0.05</v>
      </c>
      <c r="W54" s="64"/>
      <c r="X54" s="64"/>
      <c r="Y54" s="160">
        <v>0</v>
      </c>
      <c r="Z54" s="51"/>
      <c r="AA54" s="160">
        <v>0.35</v>
      </c>
      <c r="AB54" s="51"/>
      <c r="AC54" s="160">
        <v>0.25</v>
      </c>
      <c r="AD54" s="51"/>
      <c r="AE54" s="160">
        <v>0.25</v>
      </c>
      <c r="AF54" s="173">
        <v>0.05</v>
      </c>
      <c r="AG54" s="64"/>
      <c r="AH54" s="64"/>
      <c r="AI54" s="160">
        <v>0</v>
      </c>
      <c r="AJ54" s="51"/>
      <c r="AK54" s="160">
        <v>0.15</v>
      </c>
      <c r="AL54" s="51"/>
      <c r="AM54" s="160">
        <v>0.15</v>
      </c>
      <c r="AN54" s="51"/>
      <c r="AO54" s="160">
        <v>0.25</v>
      </c>
      <c r="AP54" s="173">
        <v>0.05</v>
      </c>
      <c r="AQ54" s="64"/>
      <c r="AR54" s="64"/>
      <c r="AS54" s="160">
        <v>0</v>
      </c>
      <c r="AT54" s="51"/>
      <c r="AU54" s="160">
        <v>0.05</v>
      </c>
      <c r="AV54" s="51"/>
      <c r="AW54" s="160">
        <v>0.15</v>
      </c>
      <c r="AX54" s="51"/>
      <c r="AY54" s="160">
        <v>0.25</v>
      </c>
      <c r="AZ54" s="173">
        <v>0.05</v>
      </c>
      <c r="BA54" s="64"/>
      <c r="BB54" s="64"/>
      <c r="BC54" s="160">
        <v>0</v>
      </c>
      <c r="BD54" s="51"/>
      <c r="BE54" s="160">
        <v>0</v>
      </c>
      <c r="BF54" s="51"/>
      <c r="BG54" s="160">
        <v>0.1</v>
      </c>
      <c r="BH54" s="51"/>
      <c r="BI54" s="160">
        <v>0.25</v>
      </c>
      <c r="BJ54" s="173">
        <v>0.05</v>
      </c>
      <c r="BK54" s="64"/>
      <c r="BL54" s="64"/>
      <c r="BM54" s="160">
        <v>0</v>
      </c>
      <c r="BN54" s="51"/>
      <c r="BO54" s="160">
        <v>0</v>
      </c>
      <c r="BP54" s="51"/>
      <c r="BQ54" s="160">
        <v>0</v>
      </c>
      <c r="BR54" s="51"/>
      <c r="BS54" s="160">
        <v>0.15</v>
      </c>
      <c r="BT54" s="173">
        <v>0.05</v>
      </c>
      <c r="BU54" s="64"/>
      <c r="BV54" s="64"/>
      <c r="BW54" s="160">
        <v>0</v>
      </c>
      <c r="BX54" s="51"/>
      <c r="BY54" s="160">
        <v>0</v>
      </c>
      <c r="BZ54" s="51"/>
      <c r="CA54" s="160">
        <v>0</v>
      </c>
      <c r="CB54" s="51"/>
      <c r="CC54" s="160">
        <v>0.05</v>
      </c>
      <c r="CD54" s="173">
        <v>0.05</v>
      </c>
      <c r="CE54" s="64"/>
      <c r="CF54" s="64"/>
      <c r="CG54" s="160">
        <v>0</v>
      </c>
      <c r="CH54" s="51"/>
      <c r="CI54" s="160">
        <v>0</v>
      </c>
      <c r="CJ54" s="51"/>
      <c r="CK54" s="160">
        <v>0</v>
      </c>
      <c r="CL54" s="51"/>
      <c r="CM54" s="160">
        <v>0</v>
      </c>
      <c r="CN54" s="173">
        <v>0.05</v>
      </c>
      <c r="CO54" s="156"/>
    </row>
    <row r="55" spans="1:93">
      <c r="A55" s="37">
        <v>70.02</v>
      </c>
      <c r="B55" s="56" t="s">
        <v>51</v>
      </c>
      <c r="C55" s="64"/>
      <c r="D55" s="64"/>
      <c r="E55" s="161">
        <f t="shared" ref="E55:E60" si="7">E$54</f>
        <v>0</v>
      </c>
      <c r="F55" s="51"/>
      <c r="G55" s="161">
        <f t="shared" ref="G55:G60" si="8">G$54</f>
        <v>0.45</v>
      </c>
      <c r="H55" s="51"/>
      <c r="I55" s="161">
        <f t="shared" ref="I55:I60" si="9">I$54</f>
        <v>0.25</v>
      </c>
      <c r="J55" s="51"/>
      <c r="K55" s="161">
        <f t="shared" ref="K55:K60" si="10">K$54</f>
        <v>0.25</v>
      </c>
      <c r="L55" s="175">
        <f t="shared" ref="L55:L60" si="11">L$54</f>
        <v>0.05</v>
      </c>
      <c r="M55" s="64"/>
      <c r="N55" s="64"/>
      <c r="O55" s="161">
        <f t="shared" ref="O55:O60" si="12">O$54</f>
        <v>0</v>
      </c>
      <c r="P55" s="51"/>
      <c r="Q55" s="161">
        <f t="shared" ref="Q55:Q60" si="13">Q$54</f>
        <v>0.4</v>
      </c>
      <c r="R55" s="51"/>
      <c r="S55" s="161">
        <f t="shared" ref="S55:S60" si="14">S$54</f>
        <v>0.25</v>
      </c>
      <c r="T55" s="51"/>
      <c r="U55" s="161">
        <f t="shared" ref="U55:U60" si="15">U$54</f>
        <v>0.25</v>
      </c>
      <c r="V55" s="175">
        <f t="shared" ref="V55:V60" si="16">V$54</f>
        <v>0.05</v>
      </c>
      <c r="W55" s="64"/>
      <c r="X55" s="64"/>
      <c r="Y55" s="161">
        <f t="shared" ref="Y55:Y60" si="17">Y$54</f>
        <v>0</v>
      </c>
      <c r="Z55" s="51"/>
      <c r="AA55" s="161">
        <f t="shared" ref="AA55:AA60" si="18">AA$54</f>
        <v>0.35</v>
      </c>
      <c r="AB55" s="51"/>
      <c r="AC55" s="161">
        <f t="shared" ref="AC55:AC60" si="19">AC$54</f>
        <v>0.25</v>
      </c>
      <c r="AD55" s="51"/>
      <c r="AE55" s="161">
        <f t="shared" ref="AE55:AE60" si="20">AE$54</f>
        <v>0.25</v>
      </c>
      <c r="AF55" s="175">
        <f t="shared" ref="AF55:AF60" si="21">AF$54</f>
        <v>0.05</v>
      </c>
      <c r="AG55" s="64"/>
      <c r="AH55" s="64"/>
      <c r="AI55" s="161">
        <f t="shared" ref="AI55:AI60" si="22">AI$54</f>
        <v>0</v>
      </c>
      <c r="AJ55" s="51"/>
      <c r="AK55" s="161">
        <f t="shared" ref="AK55:AK60" si="23">AK$54</f>
        <v>0.15</v>
      </c>
      <c r="AL55" s="51"/>
      <c r="AM55" s="161">
        <f t="shared" ref="AM55:AM60" si="24">AM$54</f>
        <v>0.15</v>
      </c>
      <c r="AN55" s="51"/>
      <c r="AO55" s="161">
        <f t="shared" ref="AO55:AO60" si="25">AO$54</f>
        <v>0.25</v>
      </c>
      <c r="AP55" s="175">
        <f t="shared" ref="AP55:AP60" si="26">AP$54</f>
        <v>0.05</v>
      </c>
      <c r="AQ55" s="64"/>
      <c r="AR55" s="64"/>
      <c r="AS55" s="161">
        <f t="shared" ref="AS55:AS60" si="27">AS$54</f>
        <v>0</v>
      </c>
      <c r="AT55" s="51"/>
      <c r="AU55" s="161">
        <f t="shared" ref="AU55:AU60" si="28">AU$54</f>
        <v>0.05</v>
      </c>
      <c r="AV55" s="51"/>
      <c r="AW55" s="161">
        <f t="shared" ref="AW55:AW60" si="29">AW$54</f>
        <v>0.15</v>
      </c>
      <c r="AX55" s="51"/>
      <c r="AY55" s="161">
        <f t="shared" ref="AY55:AY60" si="30">AY$54</f>
        <v>0.25</v>
      </c>
      <c r="AZ55" s="175">
        <f t="shared" ref="AZ55:AZ60" si="31">AZ$54</f>
        <v>0.05</v>
      </c>
      <c r="BA55" s="64"/>
      <c r="BB55" s="64"/>
      <c r="BC55" s="161">
        <f t="shared" ref="BC55:BC60" si="32">BC$54</f>
        <v>0</v>
      </c>
      <c r="BD55" s="51"/>
      <c r="BE55" s="161">
        <f t="shared" ref="BE55:BE60" si="33">BE$54</f>
        <v>0</v>
      </c>
      <c r="BF55" s="51"/>
      <c r="BG55" s="161">
        <f t="shared" ref="BG55:BG60" si="34">BG$54</f>
        <v>0.1</v>
      </c>
      <c r="BH55" s="51"/>
      <c r="BI55" s="161">
        <f t="shared" ref="BI55:BI60" si="35">BI$54</f>
        <v>0.25</v>
      </c>
      <c r="BJ55" s="175">
        <f t="shared" ref="BJ55:BJ60" si="36">BJ$54</f>
        <v>0.05</v>
      </c>
      <c r="BK55" s="64"/>
      <c r="BL55" s="64"/>
      <c r="BM55" s="161">
        <f t="shared" ref="BM55:BM60" si="37">BM$54</f>
        <v>0</v>
      </c>
      <c r="BN55" s="51"/>
      <c r="BO55" s="161">
        <f t="shared" ref="BO55:BO60" si="38">BO$54</f>
        <v>0</v>
      </c>
      <c r="BP55" s="51"/>
      <c r="BQ55" s="161">
        <f t="shared" ref="BQ55:BQ60" si="39">BQ$54</f>
        <v>0</v>
      </c>
      <c r="BR55" s="51"/>
      <c r="BS55" s="161">
        <f t="shared" ref="BS55:BS60" si="40">BS$54</f>
        <v>0.15</v>
      </c>
      <c r="BT55" s="175">
        <f t="shared" ref="BT55:BT60" si="41">BT$54</f>
        <v>0.05</v>
      </c>
      <c r="BU55" s="64"/>
      <c r="BV55" s="64"/>
      <c r="BW55" s="161">
        <f t="shared" ref="BW55:BW60" si="42">BW$54</f>
        <v>0</v>
      </c>
      <c r="BX55" s="51"/>
      <c r="BY55" s="161">
        <f t="shared" ref="BY55:BY60" si="43">BY$54</f>
        <v>0</v>
      </c>
      <c r="BZ55" s="51"/>
      <c r="CA55" s="161">
        <f t="shared" ref="CA55:CA60" si="44">CA$54</f>
        <v>0</v>
      </c>
      <c r="CB55" s="51"/>
      <c r="CC55" s="161">
        <f t="shared" ref="CC55:CC60" si="45">CC$54</f>
        <v>0.05</v>
      </c>
      <c r="CD55" s="175">
        <f t="shared" ref="CD55:CD60" si="46">CD$54</f>
        <v>0.05</v>
      </c>
      <c r="CE55" s="64"/>
      <c r="CF55" s="64"/>
      <c r="CG55" s="161">
        <f t="shared" ref="CG55:CG60" si="47">CG$54</f>
        <v>0</v>
      </c>
      <c r="CH55" s="51"/>
      <c r="CI55" s="161">
        <f t="shared" ref="CI55:CI60" si="48">CI$54</f>
        <v>0</v>
      </c>
      <c r="CJ55" s="51"/>
      <c r="CK55" s="161">
        <f t="shared" ref="CK55:CK60" si="49">CK$54</f>
        <v>0</v>
      </c>
      <c r="CL55" s="51"/>
      <c r="CM55" s="161">
        <f t="shared" ref="CM55:CM60" si="50">CM$54</f>
        <v>0</v>
      </c>
      <c r="CN55" s="175">
        <f t="shared" ref="CN55:CN60" si="51">CN$54</f>
        <v>0.05</v>
      </c>
      <c r="CO55" s="156"/>
    </row>
    <row r="56" spans="1:93">
      <c r="A56" s="37">
        <v>70.03</v>
      </c>
      <c r="B56" s="56" t="s">
        <v>52</v>
      </c>
      <c r="C56" s="64"/>
      <c r="D56" s="64"/>
      <c r="E56" s="161">
        <f t="shared" si="7"/>
        <v>0</v>
      </c>
      <c r="F56" s="51"/>
      <c r="G56" s="161">
        <f t="shared" si="8"/>
        <v>0.45</v>
      </c>
      <c r="H56" s="51"/>
      <c r="I56" s="161">
        <f t="shared" si="9"/>
        <v>0.25</v>
      </c>
      <c r="J56" s="51"/>
      <c r="K56" s="161">
        <f t="shared" si="10"/>
        <v>0.25</v>
      </c>
      <c r="L56" s="175">
        <f t="shared" si="11"/>
        <v>0.05</v>
      </c>
      <c r="M56" s="64"/>
      <c r="N56" s="64"/>
      <c r="O56" s="161">
        <f t="shared" si="12"/>
        <v>0</v>
      </c>
      <c r="P56" s="51"/>
      <c r="Q56" s="161">
        <f t="shared" si="13"/>
        <v>0.4</v>
      </c>
      <c r="R56" s="51"/>
      <c r="S56" s="161">
        <f t="shared" si="14"/>
        <v>0.25</v>
      </c>
      <c r="T56" s="51"/>
      <c r="U56" s="161">
        <f t="shared" si="15"/>
        <v>0.25</v>
      </c>
      <c r="V56" s="175">
        <f t="shared" si="16"/>
        <v>0.05</v>
      </c>
      <c r="W56" s="64"/>
      <c r="X56" s="64"/>
      <c r="Y56" s="161">
        <f t="shared" si="17"/>
        <v>0</v>
      </c>
      <c r="Z56" s="51"/>
      <c r="AA56" s="161">
        <f t="shared" si="18"/>
        <v>0.35</v>
      </c>
      <c r="AB56" s="51"/>
      <c r="AC56" s="161">
        <f t="shared" si="19"/>
        <v>0.25</v>
      </c>
      <c r="AD56" s="51"/>
      <c r="AE56" s="161">
        <f t="shared" si="20"/>
        <v>0.25</v>
      </c>
      <c r="AF56" s="175">
        <f t="shared" si="21"/>
        <v>0.05</v>
      </c>
      <c r="AG56" s="64"/>
      <c r="AH56" s="64"/>
      <c r="AI56" s="161">
        <f t="shared" si="22"/>
        <v>0</v>
      </c>
      <c r="AJ56" s="51"/>
      <c r="AK56" s="161">
        <f t="shared" si="23"/>
        <v>0.15</v>
      </c>
      <c r="AL56" s="51"/>
      <c r="AM56" s="161">
        <f t="shared" si="24"/>
        <v>0.15</v>
      </c>
      <c r="AN56" s="51"/>
      <c r="AO56" s="161">
        <f t="shared" si="25"/>
        <v>0.25</v>
      </c>
      <c r="AP56" s="175">
        <f t="shared" si="26"/>
        <v>0.05</v>
      </c>
      <c r="AQ56" s="64"/>
      <c r="AR56" s="64"/>
      <c r="AS56" s="161">
        <f t="shared" si="27"/>
        <v>0</v>
      </c>
      <c r="AT56" s="51"/>
      <c r="AU56" s="161">
        <f t="shared" si="28"/>
        <v>0.05</v>
      </c>
      <c r="AV56" s="51"/>
      <c r="AW56" s="161">
        <f t="shared" si="29"/>
        <v>0.15</v>
      </c>
      <c r="AX56" s="51"/>
      <c r="AY56" s="161">
        <f t="shared" si="30"/>
        <v>0.25</v>
      </c>
      <c r="AZ56" s="175">
        <f t="shared" si="31"/>
        <v>0.05</v>
      </c>
      <c r="BA56" s="64"/>
      <c r="BB56" s="64"/>
      <c r="BC56" s="161">
        <f t="shared" si="32"/>
        <v>0</v>
      </c>
      <c r="BD56" s="51"/>
      <c r="BE56" s="161">
        <f t="shared" si="33"/>
        <v>0</v>
      </c>
      <c r="BF56" s="51"/>
      <c r="BG56" s="161">
        <f t="shared" si="34"/>
        <v>0.1</v>
      </c>
      <c r="BH56" s="51"/>
      <c r="BI56" s="161">
        <f t="shared" si="35"/>
        <v>0.25</v>
      </c>
      <c r="BJ56" s="175">
        <f t="shared" si="36"/>
        <v>0.05</v>
      </c>
      <c r="BK56" s="64"/>
      <c r="BL56" s="64"/>
      <c r="BM56" s="161">
        <f t="shared" si="37"/>
        <v>0</v>
      </c>
      <c r="BN56" s="51"/>
      <c r="BO56" s="161">
        <f t="shared" si="38"/>
        <v>0</v>
      </c>
      <c r="BP56" s="51"/>
      <c r="BQ56" s="161">
        <f t="shared" si="39"/>
        <v>0</v>
      </c>
      <c r="BR56" s="51"/>
      <c r="BS56" s="161">
        <f t="shared" si="40"/>
        <v>0.15</v>
      </c>
      <c r="BT56" s="175">
        <f t="shared" si="41"/>
        <v>0.05</v>
      </c>
      <c r="BU56" s="64"/>
      <c r="BV56" s="64"/>
      <c r="BW56" s="161">
        <f t="shared" si="42"/>
        <v>0</v>
      </c>
      <c r="BX56" s="51"/>
      <c r="BY56" s="161">
        <f t="shared" si="43"/>
        <v>0</v>
      </c>
      <c r="BZ56" s="51"/>
      <c r="CA56" s="161">
        <f t="shared" si="44"/>
        <v>0</v>
      </c>
      <c r="CB56" s="51"/>
      <c r="CC56" s="161">
        <f t="shared" si="45"/>
        <v>0.05</v>
      </c>
      <c r="CD56" s="175">
        <f t="shared" si="46"/>
        <v>0.05</v>
      </c>
      <c r="CE56" s="64"/>
      <c r="CF56" s="64"/>
      <c r="CG56" s="161">
        <f t="shared" si="47"/>
        <v>0</v>
      </c>
      <c r="CH56" s="51"/>
      <c r="CI56" s="161">
        <f t="shared" si="48"/>
        <v>0</v>
      </c>
      <c r="CJ56" s="51"/>
      <c r="CK56" s="161">
        <f t="shared" si="49"/>
        <v>0</v>
      </c>
      <c r="CL56" s="51"/>
      <c r="CM56" s="161">
        <f t="shared" si="50"/>
        <v>0</v>
      </c>
      <c r="CN56" s="175">
        <f t="shared" si="51"/>
        <v>0.05</v>
      </c>
      <c r="CO56" s="156"/>
    </row>
    <row r="57" spans="1:93">
      <c r="A57" s="37">
        <v>70.040000000000006</v>
      </c>
      <c r="B57" s="56" t="s">
        <v>53</v>
      </c>
      <c r="C57" s="64"/>
      <c r="D57" s="64"/>
      <c r="E57" s="161">
        <f t="shared" si="7"/>
        <v>0</v>
      </c>
      <c r="F57" s="51"/>
      <c r="G57" s="161">
        <f t="shared" si="8"/>
        <v>0.45</v>
      </c>
      <c r="H57" s="51"/>
      <c r="I57" s="161">
        <f t="shared" si="9"/>
        <v>0.25</v>
      </c>
      <c r="J57" s="51"/>
      <c r="K57" s="161">
        <f t="shared" si="10"/>
        <v>0.25</v>
      </c>
      <c r="L57" s="175">
        <f t="shared" si="11"/>
        <v>0.05</v>
      </c>
      <c r="M57" s="64"/>
      <c r="N57" s="64"/>
      <c r="O57" s="161">
        <f t="shared" si="12"/>
        <v>0</v>
      </c>
      <c r="P57" s="51"/>
      <c r="Q57" s="161">
        <f t="shared" si="13"/>
        <v>0.4</v>
      </c>
      <c r="R57" s="51"/>
      <c r="S57" s="161">
        <f t="shared" si="14"/>
        <v>0.25</v>
      </c>
      <c r="T57" s="51"/>
      <c r="U57" s="161">
        <f t="shared" si="15"/>
        <v>0.25</v>
      </c>
      <c r="V57" s="175">
        <f t="shared" si="16"/>
        <v>0.05</v>
      </c>
      <c r="W57" s="64"/>
      <c r="X57" s="64"/>
      <c r="Y57" s="161">
        <f t="shared" si="17"/>
        <v>0</v>
      </c>
      <c r="Z57" s="51"/>
      <c r="AA57" s="161">
        <f t="shared" si="18"/>
        <v>0.35</v>
      </c>
      <c r="AB57" s="51"/>
      <c r="AC57" s="161">
        <f t="shared" si="19"/>
        <v>0.25</v>
      </c>
      <c r="AD57" s="51"/>
      <c r="AE57" s="161">
        <f t="shared" si="20"/>
        <v>0.25</v>
      </c>
      <c r="AF57" s="175">
        <f t="shared" si="21"/>
        <v>0.05</v>
      </c>
      <c r="AG57" s="64"/>
      <c r="AH57" s="64"/>
      <c r="AI57" s="161">
        <f t="shared" si="22"/>
        <v>0</v>
      </c>
      <c r="AJ57" s="51"/>
      <c r="AK57" s="161">
        <f t="shared" si="23"/>
        <v>0.15</v>
      </c>
      <c r="AL57" s="51"/>
      <c r="AM57" s="161">
        <f t="shared" si="24"/>
        <v>0.15</v>
      </c>
      <c r="AN57" s="51"/>
      <c r="AO57" s="161">
        <f t="shared" si="25"/>
        <v>0.25</v>
      </c>
      <c r="AP57" s="175">
        <f t="shared" si="26"/>
        <v>0.05</v>
      </c>
      <c r="AQ57" s="64"/>
      <c r="AR57" s="64"/>
      <c r="AS57" s="161">
        <f t="shared" si="27"/>
        <v>0</v>
      </c>
      <c r="AT57" s="51"/>
      <c r="AU57" s="161">
        <f t="shared" si="28"/>
        <v>0.05</v>
      </c>
      <c r="AV57" s="51"/>
      <c r="AW57" s="161">
        <f t="shared" si="29"/>
        <v>0.15</v>
      </c>
      <c r="AX57" s="51"/>
      <c r="AY57" s="161">
        <f t="shared" si="30"/>
        <v>0.25</v>
      </c>
      <c r="AZ57" s="175">
        <f t="shared" si="31"/>
        <v>0.05</v>
      </c>
      <c r="BA57" s="64"/>
      <c r="BB57" s="64"/>
      <c r="BC57" s="161">
        <f t="shared" si="32"/>
        <v>0</v>
      </c>
      <c r="BD57" s="51"/>
      <c r="BE57" s="161">
        <f t="shared" si="33"/>
        <v>0</v>
      </c>
      <c r="BF57" s="51"/>
      <c r="BG57" s="161">
        <f t="shared" si="34"/>
        <v>0.1</v>
      </c>
      <c r="BH57" s="51"/>
      <c r="BI57" s="161">
        <f t="shared" si="35"/>
        <v>0.25</v>
      </c>
      <c r="BJ57" s="175">
        <f t="shared" si="36"/>
        <v>0.05</v>
      </c>
      <c r="BK57" s="64"/>
      <c r="BL57" s="64"/>
      <c r="BM57" s="161">
        <f t="shared" si="37"/>
        <v>0</v>
      </c>
      <c r="BN57" s="51"/>
      <c r="BO57" s="161">
        <f t="shared" si="38"/>
        <v>0</v>
      </c>
      <c r="BP57" s="51"/>
      <c r="BQ57" s="161">
        <f t="shared" si="39"/>
        <v>0</v>
      </c>
      <c r="BR57" s="51"/>
      <c r="BS57" s="161">
        <f t="shared" si="40"/>
        <v>0.15</v>
      </c>
      <c r="BT57" s="175">
        <f t="shared" si="41"/>
        <v>0.05</v>
      </c>
      <c r="BU57" s="64"/>
      <c r="BV57" s="64"/>
      <c r="BW57" s="161">
        <f t="shared" si="42"/>
        <v>0</v>
      </c>
      <c r="BX57" s="51"/>
      <c r="BY57" s="161">
        <f t="shared" si="43"/>
        <v>0</v>
      </c>
      <c r="BZ57" s="51"/>
      <c r="CA57" s="161">
        <f t="shared" si="44"/>
        <v>0</v>
      </c>
      <c r="CB57" s="51"/>
      <c r="CC57" s="161">
        <f t="shared" si="45"/>
        <v>0.05</v>
      </c>
      <c r="CD57" s="175">
        <f t="shared" si="46"/>
        <v>0.05</v>
      </c>
      <c r="CE57" s="64"/>
      <c r="CF57" s="64"/>
      <c r="CG57" s="161">
        <f t="shared" si="47"/>
        <v>0</v>
      </c>
      <c r="CH57" s="51"/>
      <c r="CI57" s="161">
        <f t="shared" si="48"/>
        <v>0</v>
      </c>
      <c r="CJ57" s="51"/>
      <c r="CK57" s="161">
        <f t="shared" si="49"/>
        <v>0</v>
      </c>
      <c r="CL57" s="51"/>
      <c r="CM57" s="161">
        <f t="shared" si="50"/>
        <v>0</v>
      </c>
      <c r="CN57" s="175">
        <f t="shared" si="51"/>
        <v>0.05</v>
      </c>
      <c r="CO57" s="156"/>
    </row>
    <row r="58" spans="1:93">
      <c r="A58" s="37">
        <v>70.05</v>
      </c>
      <c r="B58" s="56" t="s">
        <v>54</v>
      </c>
      <c r="C58" s="64"/>
      <c r="D58" s="64"/>
      <c r="E58" s="161">
        <f t="shared" si="7"/>
        <v>0</v>
      </c>
      <c r="F58" s="51"/>
      <c r="G58" s="161">
        <f t="shared" si="8"/>
        <v>0.45</v>
      </c>
      <c r="H58" s="51"/>
      <c r="I58" s="161">
        <f t="shared" si="9"/>
        <v>0.25</v>
      </c>
      <c r="J58" s="51"/>
      <c r="K58" s="161">
        <f t="shared" si="10"/>
        <v>0.25</v>
      </c>
      <c r="L58" s="175">
        <f t="shared" si="11"/>
        <v>0.05</v>
      </c>
      <c r="M58" s="64"/>
      <c r="N58" s="64"/>
      <c r="O58" s="161">
        <f t="shared" si="12"/>
        <v>0</v>
      </c>
      <c r="P58" s="51"/>
      <c r="Q58" s="161">
        <f t="shared" si="13"/>
        <v>0.4</v>
      </c>
      <c r="R58" s="51"/>
      <c r="S58" s="161">
        <f t="shared" si="14"/>
        <v>0.25</v>
      </c>
      <c r="T58" s="51"/>
      <c r="U58" s="161">
        <f t="shared" si="15"/>
        <v>0.25</v>
      </c>
      <c r="V58" s="175">
        <f t="shared" si="16"/>
        <v>0.05</v>
      </c>
      <c r="W58" s="64"/>
      <c r="X58" s="64"/>
      <c r="Y58" s="161">
        <f t="shared" si="17"/>
        <v>0</v>
      </c>
      <c r="Z58" s="51"/>
      <c r="AA58" s="161">
        <f t="shared" si="18"/>
        <v>0.35</v>
      </c>
      <c r="AB58" s="51"/>
      <c r="AC58" s="161">
        <f t="shared" si="19"/>
        <v>0.25</v>
      </c>
      <c r="AD58" s="51"/>
      <c r="AE58" s="161">
        <f t="shared" si="20"/>
        <v>0.25</v>
      </c>
      <c r="AF58" s="175">
        <f t="shared" si="21"/>
        <v>0.05</v>
      </c>
      <c r="AG58" s="64"/>
      <c r="AH58" s="64"/>
      <c r="AI58" s="161">
        <f t="shared" si="22"/>
        <v>0</v>
      </c>
      <c r="AJ58" s="51"/>
      <c r="AK58" s="161">
        <f t="shared" si="23"/>
        <v>0.15</v>
      </c>
      <c r="AL58" s="51"/>
      <c r="AM58" s="161">
        <f t="shared" si="24"/>
        <v>0.15</v>
      </c>
      <c r="AN58" s="51"/>
      <c r="AO58" s="161">
        <f t="shared" si="25"/>
        <v>0.25</v>
      </c>
      <c r="AP58" s="175">
        <f t="shared" si="26"/>
        <v>0.05</v>
      </c>
      <c r="AQ58" s="64"/>
      <c r="AR58" s="64"/>
      <c r="AS58" s="161">
        <f t="shared" si="27"/>
        <v>0</v>
      </c>
      <c r="AT58" s="51"/>
      <c r="AU58" s="161">
        <f t="shared" si="28"/>
        <v>0.05</v>
      </c>
      <c r="AV58" s="51"/>
      <c r="AW58" s="161">
        <f t="shared" si="29"/>
        <v>0.15</v>
      </c>
      <c r="AX58" s="51"/>
      <c r="AY58" s="161">
        <f t="shared" si="30"/>
        <v>0.25</v>
      </c>
      <c r="AZ58" s="175">
        <f t="shared" si="31"/>
        <v>0.05</v>
      </c>
      <c r="BA58" s="64"/>
      <c r="BB58" s="64"/>
      <c r="BC58" s="161">
        <f t="shared" si="32"/>
        <v>0</v>
      </c>
      <c r="BD58" s="51"/>
      <c r="BE58" s="161">
        <f t="shared" si="33"/>
        <v>0</v>
      </c>
      <c r="BF58" s="51"/>
      <c r="BG58" s="161">
        <f t="shared" si="34"/>
        <v>0.1</v>
      </c>
      <c r="BH58" s="51"/>
      <c r="BI58" s="161">
        <f t="shared" si="35"/>
        <v>0.25</v>
      </c>
      <c r="BJ58" s="175">
        <f t="shared" si="36"/>
        <v>0.05</v>
      </c>
      <c r="BK58" s="64"/>
      <c r="BL58" s="64"/>
      <c r="BM58" s="161">
        <f t="shared" si="37"/>
        <v>0</v>
      </c>
      <c r="BN58" s="51"/>
      <c r="BO58" s="161">
        <f t="shared" si="38"/>
        <v>0</v>
      </c>
      <c r="BP58" s="51"/>
      <c r="BQ58" s="161">
        <f t="shared" si="39"/>
        <v>0</v>
      </c>
      <c r="BR58" s="51"/>
      <c r="BS58" s="161">
        <f t="shared" si="40"/>
        <v>0.15</v>
      </c>
      <c r="BT58" s="175">
        <f t="shared" si="41"/>
        <v>0.05</v>
      </c>
      <c r="BU58" s="64"/>
      <c r="BV58" s="64"/>
      <c r="BW58" s="161">
        <f t="shared" si="42"/>
        <v>0</v>
      </c>
      <c r="BX58" s="51"/>
      <c r="BY58" s="161">
        <f t="shared" si="43"/>
        <v>0</v>
      </c>
      <c r="BZ58" s="51"/>
      <c r="CA58" s="161">
        <f t="shared" si="44"/>
        <v>0</v>
      </c>
      <c r="CB58" s="51"/>
      <c r="CC58" s="161">
        <f t="shared" si="45"/>
        <v>0.05</v>
      </c>
      <c r="CD58" s="175">
        <f t="shared" si="46"/>
        <v>0.05</v>
      </c>
      <c r="CE58" s="64"/>
      <c r="CF58" s="64"/>
      <c r="CG58" s="161">
        <f t="shared" si="47"/>
        <v>0</v>
      </c>
      <c r="CH58" s="51"/>
      <c r="CI58" s="161">
        <f t="shared" si="48"/>
        <v>0</v>
      </c>
      <c r="CJ58" s="51"/>
      <c r="CK58" s="161">
        <f t="shared" si="49"/>
        <v>0</v>
      </c>
      <c r="CL58" s="51"/>
      <c r="CM58" s="161">
        <f t="shared" si="50"/>
        <v>0</v>
      </c>
      <c r="CN58" s="175">
        <f t="shared" si="51"/>
        <v>0.05</v>
      </c>
      <c r="CO58" s="156"/>
    </row>
    <row r="59" spans="1:93">
      <c r="A59" s="37">
        <v>70.06</v>
      </c>
      <c r="B59" s="56" t="s">
        <v>55</v>
      </c>
      <c r="C59" s="64"/>
      <c r="D59" s="64"/>
      <c r="E59" s="161">
        <f t="shared" si="7"/>
        <v>0</v>
      </c>
      <c r="F59" s="51"/>
      <c r="G59" s="161">
        <f t="shared" si="8"/>
        <v>0.45</v>
      </c>
      <c r="H59" s="51"/>
      <c r="I59" s="161">
        <f t="shared" si="9"/>
        <v>0.25</v>
      </c>
      <c r="J59" s="51"/>
      <c r="K59" s="161">
        <f t="shared" si="10"/>
        <v>0.25</v>
      </c>
      <c r="L59" s="175">
        <f t="shared" si="11"/>
        <v>0.05</v>
      </c>
      <c r="M59" s="64"/>
      <c r="N59" s="64"/>
      <c r="O59" s="161">
        <f t="shared" si="12"/>
        <v>0</v>
      </c>
      <c r="P59" s="51"/>
      <c r="Q59" s="161">
        <f t="shared" si="13"/>
        <v>0.4</v>
      </c>
      <c r="R59" s="51"/>
      <c r="S59" s="161">
        <f t="shared" si="14"/>
        <v>0.25</v>
      </c>
      <c r="T59" s="51"/>
      <c r="U59" s="161">
        <f t="shared" si="15"/>
        <v>0.25</v>
      </c>
      <c r="V59" s="175">
        <f t="shared" si="16"/>
        <v>0.05</v>
      </c>
      <c r="W59" s="64"/>
      <c r="X59" s="64"/>
      <c r="Y59" s="161">
        <f t="shared" si="17"/>
        <v>0</v>
      </c>
      <c r="Z59" s="51"/>
      <c r="AA59" s="161">
        <f t="shared" si="18"/>
        <v>0.35</v>
      </c>
      <c r="AB59" s="51"/>
      <c r="AC59" s="161">
        <f t="shared" si="19"/>
        <v>0.25</v>
      </c>
      <c r="AD59" s="51"/>
      <c r="AE59" s="161">
        <f t="shared" si="20"/>
        <v>0.25</v>
      </c>
      <c r="AF59" s="175">
        <f t="shared" si="21"/>
        <v>0.05</v>
      </c>
      <c r="AG59" s="64"/>
      <c r="AH59" s="64"/>
      <c r="AI59" s="161">
        <f t="shared" si="22"/>
        <v>0</v>
      </c>
      <c r="AJ59" s="51"/>
      <c r="AK59" s="161">
        <f t="shared" si="23"/>
        <v>0.15</v>
      </c>
      <c r="AL59" s="51"/>
      <c r="AM59" s="161">
        <f t="shared" si="24"/>
        <v>0.15</v>
      </c>
      <c r="AN59" s="51"/>
      <c r="AO59" s="161">
        <f t="shared" si="25"/>
        <v>0.25</v>
      </c>
      <c r="AP59" s="175">
        <f t="shared" si="26"/>
        <v>0.05</v>
      </c>
      <c r="AQ59" s="64"/>
      <c r="AR59" s="64"/>
      <c r="AS59" s="161">
        <f t="shared" si="27"/>
        <v>0</v>
      </c>
      <c r="AT59" s="51"/>
      <c r="AU59" s="161">
        <f t="shared" si="28"/>
        <v>0.05</v>
      </c>
      <c r="AV59" s="51"/>
      <c r="AW59" s="161">
        <f t="shared" si="29"/>
        <v>0.15</v>
      </c>
      <c r="AX59" s="51"/>
      <c r="AY59" s="161">
        <f t="shared" si="30"/>
        <v>0.25</v>
      </c>
      <c r="AZ59" s="175">
        <f t="shared" si="31"/>
        <v>0.05</v>
      </c>
      <c r="BA59" s="64"/>
      <c r="BB59" s="64"/>
      <c r="BC59" s="161">
        <f t="shared" si="32"/>
        <v>0</v>
      </c>
      <c r="BD59" s="51"/>
      <c r="BE59" s="161">
        <f t="shared" si="33"/>
        <v>0</v>
      </c>
      <c r="BF59" s="51"/>
      <c r="BG59" s="161">
        <f t="shared" si="34"/>
        <v>0.1</v>
      </c>
      <c r="BH59" s="51"/>
      <c r="BI59" s="161">
        <f t="shared" si="35"/>
        <v>0.25</v>
      </c>
      <c r="BJ59" s="175">
        <f t="shared" si="36"/>
        <v>0.05</v>
      </c>
      <c r="BK59" s="64"/>
      <c r="BL59" s="64"/>
      <c r="BM59" s="161">
        <f t="shared" si="37"/>
        <v>0</v>
      </c>
      <c r="BN59" s="51"/>
      <c r="BO59" s="161">
        <f t="shared" si="38"/>
        <v>0</v>
      </c>
      <c r="BP59" s="51"/>
      <c r="BQ59" s="161">
        <f t="shared" si="39"/>
        <v>0</v>
      </c>
      <c r="BR59" s="51"/>
      <c r="BS59" s="161">
        <f t="shared" si="40"/>
        <v>0.15</v>
      </c>
      <c r="BT59" s="175">
        <f t="shared" si="41"/>
        <v>0.05</v>
      </c>
      <c r="BU59" s="64"/>
      <c r="BV59" s="64"/>
      <c r="BW59" s="161">
        <f t="shared" si="42"/>
        <v>0</v>
      </c>
      <c r="BX59" s="51"/>
      <c r="BY59" s="161">
        <f t="shared" si="43"/>
        <v>0</v>
      </c>
      <c r="BZ59" s="51"/>
      <c r="CA59" s="161">
        <f t="shared" si="44"/>
        <v>0</v>
      </c>
      <c r="CB59" s="51"/>
      <c r="CC59" s="161">
        <f t="shared" si="45"/>
        <v>0.05</v>
      </c>
      <c r="CD59" s="175">
        <f t="shared" si="46"/>
        <v>0.05</v>
      </c>
      <c r="CE59" s="64"/>
      <c r="CF59" s="64"/>
      <c r="CG59" s="161">
        <f t="shared" si="47"/>
        <v>0</v>
      </c>
      <c r="CH59" s="51"/>
      <c r="CI59" s="161">
        <f t="shared" si="48"/>
        <v>0</v>
      </c>
      <c r="CJ59" s="51"/>
      <c r="CK59" s="161">
        <f t="shared" si="49"/>
        <v>0</v>
      </c>
      <c r="CL59" s="51"/>
      <c r="CM59" s="161">
        <f t="shared" si="50"/>
        <v>0</v>
      </c>
      <c r="CN59" s="175">
        <f t="shared" si="51"/>
        <v>0.05</v>
      </c>
      <c r="CO59" s="156"/>
    </row>
    <row r="60" spans="1:93">
      <c r="A60" s="37">
        <v>70.069999999999993</v>
      </c>
      <c r="B60" s="56" t="s">
        <v>56</v>
      </c>
      <c r="C60" s="64"/>
      <c r="D60" s="64"/>
      <c r="E60" s="162">
        <f t="shared" si="7"/>
        <v>0</v>
      </c>
      <c r="F60" s="51"/>
      <c r="G60" s="162">
        <f t="shared" si="8"/>
        <v>0.45</v>
      </c>
      <c r="H60" s="51"/>
      <c r="I60" s="162">
        <f t="shared" si="9"/>
        <v>0.25</v>
      </c>
      <c r="J60" s="51"/>
      <c r="K60" s="162">
        <f t="shared" si="10"/>
        <v>0.25</v>
      </c>
      <c r="L60" s="180">
        <f t="shared" si="11"/>
        <v>0.05</v>
      </c>
      <c r="M60" s="64"/>
      <c r="N60" s="64"/>
      <c r="O60" s="162">
        <f t="shared" si="12"/>
        <v>0</v>
      </c>
      <c r="P60" s="51"/>
      <c r="Q60" s="162">
        <f t="shared" si="13"/>
        <v>0.4</v>
      </c>
      <c r="R60" s="51"/>
      <c r="S60" s="162">
        <f t="shared" si="14"/>
        <v>0.25</v>
      </c>
      <c r="T60" s="51"/>
      <c r="U60" s="162">
        <f t="shared" si="15"/>
        <v>0.25</v>
      </c>
      <c r="V60" s="180">
        <f t="shared" si="16"/>
        <v>0.05</v>
      </c>
      <c r="W60" s="64"/>
      <c r="X60" s="64"/>
      <c r="Y60" s="162">
        <f t="shared" si="17"/>
        <v>0</v>
      </c>
      <c r="Z60" s="51"/>
      <c r="AA60" s="162">
        <f t="shared" si="18"/>
        <v>0.35</v>
      </c>
      <c r="AB60" s="51"/>
      <c r="AC60" s="162">
        <f t="shared" si="19"/>
        <v>0.25</v>
      </c>
      <c r="AD60" s="51"/>
      <c r="AE60" s="162">
        <f t="shared" si="20"/>
        <v>0.25</v>
      </c>
      <c r="AF60" s="180">
        <f t="shared" si="21"/>
        <v>0.05</v>
      </c>
      <c r="AG60" s="64"/>
      <c r="AH60" s="64"/>
      <c r="AI60" s="162">
        <f t="shared" si="22"/>
        <v>0</v>
      </c>
      <c r="AJ60" s="51"/>
      <c r="AK60" s="162">
        <f t="shared" si="23"/>
        <v>0.15</v>
      </c>
      <c r="AL60" s="51"/>
      <c r="AM60" s="162">
        <f t="shared" si="24"/>
        <v>0.15</v>
      </c>
      <c r="AN60" s="51"/>
      <c r="AO60" s="162">
        <f t="shared" si="25"/>
        <v>0.25</v>
      </c>
      <c r="AP60" s="180">
        <f t="shared" si="26"/>
        <v>0.05</v>
      </c>
      <c r="AQ60" s="64"/>
      <c r="AR60" s="64"/>
      <c r="AS60" s="162">
        <f t="shared" si="27"/>
        <v>0</v>
      </c>
      <c r="AT60" s="51"/>
      <c r="AU60" s="162">
        <f t="shared" si="28"/>
        <v>0.05</v>
      </c>
      <c r="AV60" s="51"/>
      <c r="AW60" s="162">
        <f t="shared" si="29"/>
        <v>0.15</v>
      </c>
      <c r="AX60" s="51"/>
      <c r="AY60" s="162">
        <f t="shared" si="30"/>
        <v>0.25</v>
      </c>
      <c r="AZ60" s="180">
        <f t="shared" si="31"/>
        <v>0.05</v>
      </c>
      <c r="BA60" s="64"/>
      <c r="BB60" s="64"/>
      <c r="BC60" s="162">
        <f t="shared" si="32"/>
        <v>0</v>
      </c>
      <c r="BD60" s="51"/>
      <c r="BE60" s="162">
        <f t="shared" si="33"/>
        <v>0</v>
      </c>
      <c r="BF60" s="51"/>
      <c r="BG60" s="162">
        <f t="shared" si="34"/>
        <v>0.1</v>
      </c>
      <c r="BH60" s="51"/>
      <c r="BI60" s="162">
        <f t="shared" si="35"/>
        <v>0.25</v>
      </c>
      <c r="BJ60" s="180">
        <f t="shared" si="36"/>
        <v>0.05</v>
      </c>
      <c r="BK60" s="64"/>
      <c r="BL60" s="64"/>
      <c r="BM60" s="162">
        <f t="shared" si="37"/>
        <v>0</v>
      </c>
      <c r="BN60" s="51"/>
      <c r="BO60" s="162">
        <f t="shared" si="38"/>
        <v>0</v>
      </c>
      <c r="BP60" s="51"/>
      <c r="BQ60" s="162">
        <f t="shared" si="39"/>
        <v>0</v>
      </c>
      <c r="BR60" s="51"/>
      <c r="BS60" s="162">
        <f t="shared" si="40"/>
        <v>0.15</v>
      </c>
      <c r="BT60" s="180">
        <f t="shared" si="41"/>
        <v>0.05</v>
      </c>
      <c r="BU60" s="64"/>
      <c r="BV60" s="64"/>
      <c r="BW60" s="162">
        <f t="shared" si="42"/>
        <v>0</v>
      </c>
      <c r="BX60" s="51"/>
      <c r="BY60" s="162">
        <f t="shared" si="43"/>
        <v>0</v>
      </c>
      <c r="BZ60" s="51"/>
      <c r="CA60" s="162">
        <f t="shared" si="44"/>
        <v>0</v>
      </c>
      <c r="CB60" s="51"/>
      <c r="CC60" s="162">
        <f t="shared" si="45"/>
        <v>0.05</v>
      </c>
      <c r="CD60" s="180">
        <f t="shared" si="46"/>
        <v>0.05</v>
      </c>
      <c r="CE60" s="64"/>
      <c r="CF60" s="64"/>
      <c r="CG60" s="162">
        <f t="shared" si="47"/>
        <v>0</v>
      </c>
      <c r="CH60" s="51"/>
      <c r="CI60" s="162">
        <f t="shared" si="48"/>
        <v>0</v>
      </c>
      <c r="CJ60" s="51"/>
      <c r="CK60" s="162">
        <f t="shared" si="49"/>
        <v>0</v>
      </c>
      <c r="CL60" s="51"/>
      <c r="CM60" s="162">
        <f t="shared" si="50"/>
        <v>0</v>
      </c>
      <c r="CN60" s="180">
        <f t="shared" si="51"/>
        <v>0.05</v>
      </c>
      <c r="CO60" s="156"/>
    </row>
    <row r="61" spans="1:93">
      <c r="A61" s="37" t="s">
        <v>174</v>
      </c>
      <c r="B61" s="56"/>
      <c r="C61" s="64"/>
      <c r="D61" s="64"/>
      <c r="E61" s="165"/>
      <c r="F61" s="51"/>
      <c r="G61" s="165"/>
      <c r="H61" s="51"/>
      <c r="I61" s="165"/>
      <c r="J61" s="51"/>
      <c r="K61" s="165"/>
      <c r="L61" s="178"/>
      <c r="M61" s="64"/>
      <c r="N61" s="64"/>
      <c r="O61" s="165"/>
      <c r="P61" s="51"/>
      <c r="Q61" s="165"/>
      <c r="R61" s="51"/>
      <c r="S61" s="165"/>
      <c r="T61" s="51"/>
      <c r="U61" s="165"/>
      <c r="V61" s="178"/>
      <c r="W61" s="64"/>
      <c r="X61" s="64"/>
      <c r="Y61" s="165"/>
      <c r="Z61" s="51"/>
      <c r="AA61" s="165"/>
      <c r="AB61" s="51"/>
      <c r="AC61" s="165"/>
      <c r="AD61" s="51"/>
      <c r="AE61" s="165"/>
      <c r="AF61" s="178"/>
      <c r="AG61" s="64"/>
      <c r="AH61" s="64"/>
      <c r="AI61" s="165"/>
      <c r="AJ61" s="51"/>
      <c r="AK61" s="165"/>
      <c r="AL61" s="51"/>
      <c r="AM61" s="165"/>
      <c r="AN61" s="51"/>
      <c r="AO61" s="165"/>
      <c r="AP61" s="178"/>
      <c r="AQ61" s="64"/>
      <c r="AR61" s="64"/>
      <c r="AS61" s="165"/>
      <c r="AT61" s="51"/>
      <c r="AU61" s="165"/>
      <c r="AV61" s="51"/>
      <c r="AW61" s="165"/>
      <c r="AX61" s="51"/>
      <c r="AY61" s="165"/>
      <c r="AZ61" s="178"/>
      <c r="BA61" s="64"/>
      <c r="BB61" s="64"/>
      <c r="BC61" s="165"/>
      <c r="BD61" s="51"/>
      <c r="BE61" s="165"/>
      <c r="BF61" s="51"/>
      <c r="BG61" s="165"/>
      <c r="BH61" s="51"/>
      <c r="BI61" s="165"/>
      <c r="BJ61" s="178"/>
      <c r="BK61" s="64"/>
      <c r="BL61" s="64"/>
      <c r="BM61" s="165"/>
      <c r="BN61" s="51"/>
      <c r="BO61" s="165"/>
      <c r="BP61" s="51"/>
      <c r="BQ61" s="165"/>
      <c r="BR61" s="51"/>
      <c r="BS61" s="165"/>
      <c r="BT61" s="178"/>
      <c r="BU61" s="64"/>
      <c r="BV61" s="64"/>
      <c r="BW61" s="165"/>
      <c r="BX61" s="51"/>
      <c r="BY61" s="165"/>
      <c r="BZ61" s="51"/>
      <c r="CA61" s="165"/>
      <c r="CB61" s="51"/>
      <c r="CC61" s="165"/>
      <c r="CD61" s="178"/>
      <c r="CE61" s="64"/>
      <c r="CF61" s="64"/>
      <c r="CG61" s="165"/>
      <c r="CH61" s="51"/>
      <c r="CI61" s="165"/>
      <c r="CJ61" s="51"/>
      <c r="CK61" s="165"/>
      <c r="CL61" s="51"/>
      <c r="CM61" s="165"/>
      <c r="CN61" s="178"/>
      <c r="CO61" s="156"/>
    </row>
    <row r="62" spans="1:93">
      <c r="A62" s="37">
        <v>80.010000000000005</v>
      </c>
      <c r="B62" s="56" t="s">
        <v>143</v>
      </c>
      <c r="C62" s="64"/>
      <c r="D62" s="64"/>
      <c r="E62" s="160">
        <v>0</v>
      </c>
      <c r="F62" s="51"/>
      <c r="G62" s="160">
        <v>0.3</v>
      </c>
      <c r="H62" s="51"/>
      <c r="I62" s="160">
        <v>0.25</v>
      </c>
      <c r="J62" s="51"/>
      <c r="K62" s="160">
        <v>0.35</v>
      </c>
      <c r="L62" s="173">
        <v>0.05</v>
      </c>
      <c r="M62" s="64"/>
      <c r="N62" s="64"/>
      <c r="O62" s="160">
        <f t="shared" ref="O62:O69" si="52">AVERAGE(E62,Y62)</f>
        <v>0</v>
      </c>
      <c r="P62" s="51"/>
      <c r="Q62" s="160">
        <v>0</v>
      </c>
      <c r="R62" s="51"/>
      <c r="S62" s="160">
        <v>0.05</v>
      </c>
      <c r="T62" s="51"/>
      <c r="U62" s="160">
        <v>0.2</v>
      </c>
      <c r="V62" s="173">
        <f t="shared" ref="V62:V69" si="53">AVERAGE(L62,AF62)</f>
        <v>0.05</v>
      </c>
      <c r="W62" s="64"/>
      <c r="X62" s="64"/>
      <c r="Y62" s="160">
        <v>0</v>
      </c>
      <c r="Z62" s="51"/>
      <c r="AA62" s="160">
        <v>0</v>
      </c>
      <c r="AB62" s="51"/>
      <c r="AC62" s="160">
        <v>0</v>
      </c>
      <c r="AD62" s="51"/>
      <c r="AE62" s="160">
        <v>0</v>
      </c>
      <c r="AF62" s="173">
        <v>0.05</v>
      </c>
      <c r="AG62" s="64"/>
      <c r="AH62" s="64"/>
      <c r="AI62" s="160">
        <v>0</v>
      </c>
      <c r="AJ62" s="51"/>
      <c r="AK62" s="160">
        <v>0</v>
      </c>
      <c r="AL62" s="51"/>
      <c r="AM62" s="160">
        <v>0</v>
      </c>
      <c r="AN62" s="51"/>
      <c r="AO62" s="160">
        <v>0</v>
      </c>
      <c r="AP62" s="173">
        <v>0.05</v>
      </c>
      <c r="AQ62" s="64"/>
      <c r="AR62" s="64"/>
      <c r="AS62" s="160">
        <v>0</v>
      </c>
      <c r="AT62" s="51"/>
      <c r="AU62" s="160">
        <v>0</v>
      </c>
      <c r="AV62" s="51"/>
      <c r="AW62" s="160">
        <v>0</v>
      </c>
      <c r="AX62" s="51"/>
      <c r="AY62" s="160">
        <v>0</v>
      </c>
      <c r="AZ62" s="173">
        <v>0.05</v>
      </c>
      <c r="BA62" s="64"/>
      <c r="BB62" s="64"/>
      <c r="BC62" s="160">
        <v>0</v>
      </c>
      <c r="BD62" s="51"/>
      <c r="BE62" s="160">
        <v>0</v>
      </c>
      <c r="BF62" s="51"/>
      <c r="BG62" s="160">
        <v>0</v>
      </c>
      <c r="BH62" s="51"/>
      <c r="BI62" s="160">
        <v>0</v>
      </c>
      <c r="BJ62" s="173">
        <v>0.05</v>
      </c>
      <c r="BK62" s="64"/>
      <c r="BL62" s="64"/>
      <c r="BM62" s="160">
        <v>0</v>
      </c>
      <c r="BN62" s="51"/>
      <c r="BO62" s="160">
        <v>0</v>
      </c>
      <c r="BP62" s="51"/>
      <c r="BQ62" s="160">
        <v>0</v>
      </c>
      <c r="BR62" s="51"/>
      <c r="BS62" s="160">
        <v>0</v>
      </c>
      <c r="BT62" s="173">
        <v>0.05</v>
      </c>
      <c r="BU62" s="64"/>
      <c r="BV62" s="64"/>
      <c r="BW62" s="160">
        <v>0</v>
      </c>
      <c r="BX62" s="51"/>
      <c r="BY62" s="160">
        <v>0</v>
      </c>
      <c r="BZ62" s="51"/>
      <c r="CA62" s="160">
        <v>0</v>
      </c>
      <c r="CB62" s="51"/>
      <c r="CC62" s="160">
        <v>0</v>
      </c>
      <c r="CD62" s="173">
        <v>0.05</v>
      </c>
      <c r="CE62" s="64"/>
      <c r="CF62" s="64"/>
      <c r="CG62" s="160">
        <v>0</v>
      </c>
      <c r="CH62" s="51"/>
      <c r="CI62" s="160">
        <v>0</v>
      </c>
      <c r="CJ62" s="51"/>
      <c r="CK62" s="160">
        <v>0</v>
      </c>
      <c r="CL62" s="51"/>
      <c r="CM62" s="160">
        <v>0</v>
      </c>
      <c r="CN62" s="173">
        <v>0.05</v>
      </c>
      <c r="CO62" s="156"/>
    </row>
    <row r="63" spans="1:93">
      <c r="A63" s="37">
        <v>80.02</v>
      </c>
      <c r="B63" s="56" t="s">
        <v>175</v>
      </c>
      <c r="C63" s="64"/>
      <c r="D63" s="64"/>
      <c r="E63" s="164">
        <v>0</v>
      </c>
      <c r="F63" s="51"/>
      <c r="G63" s="164">
        <v>0.4</v>
      </c>
      <c r="H63" s="51"/>
      <c r="I63" s="164">
        <v>0.3</v>
      </c>
      <c r="J63" s="51"/>
      <c r="K63" s="164">
        <v>0.35</v>
      </c>
      <c r="L63" s="182">
        <v>0.05</v>
      </c>
      <c r="M63" s="64"/>
      <c r="N63" s="64"/>
      <c r="O63" s="164">
        <f t="shared" si="52"/>
        <v>0</v>
      </c>
      <c r="P63" s="51"/>
      <c r="Q63" s="164">
        <f t="shared" ref="Q63:Q69" si="54">AVERAGE(G63,AA63)</f>
        <v>0.35</v>
      </c>
      <c r="R63" s="51"/>
      <c r="S63" s="164">
        <f t="shared" ref="S63:S69" si="55">AVERAGE(I63,AC63)</f>
        <v>0.3</v>
      </c>
      <c r="T63" s="51"/>
      <c r="U63" s="164">
        <f t="shared" ref="U63:U69" si="56">AVERAGE(K63,AE63)</f>
        <v>0.35</v>
      </c>
      <c r="V63" s="182">
        <f t="shared" si="53"/>
        <v>0.05</v>
      </c>
      <c r="W63" s="64"/>
      <c r="X63" s="64"/>
      <c r="Y63" s="164">
        <v>0</v>
      </c>
      <c r="Z63" s="51"/>
      <c r="AA63" s="164">
        <v>0.3</v>
      </c>
      <c r="AB63" s="51"/>
      <c r="AC63" s="164">
        <v>0.3</v>
      </c>
      <c r="AD63" s="51"/>
      <c r="AE63" s="164">
        <v>0.35</v>
      </c>
      <c r="AF63" s="182">
        <v>0.05</v>
      </c>
      <c r="AG63" s="64"/>
      <c r="AH63" s="64"/>
      <c r="AI63" s="164">
        <v>0</v>
      </c>
      <c r="AJ63" s="51"/>
      <c r="AK63" s="164">
        <v>0.25</v>
      </c>
      <c r="AL63" s="51"/>
      <c r="AM63" s="164">
        <v>0.25</v>
      </c>
      <c r="AN63" s="51"/>
      <c r="AO63" s="164">
        <v>0.1</v>
      </c>
      <c r="AP63" s="182">
        <v>0.05</v>
      </c>
      <c r="AQ63" s="64"/>
      <c r="AR63" s="64"/>
      <c r="AS63" s="164">
        <v>0</v>
      </c>
      <c r="AT63" s="51"/>
      <c r="AU63" s="164">
        <v>0</v>
      </c>
      <c r="AV63" s="51"/>
      <c r="AW63" s="164">
        <v>0</v>
      </c>
      <c r="AX63" s="51"/>
      <c r="AY63" s="164">
        <v>0.1</v>
      </c>
      <c r="AZ63" s="182">
        <v>0.05</v>
      </c>
      <c r="BA63" s="64"/>
      <c r="BB63" s="64"/>
      <c r="BC63" s="164">
        <v>0</v>
      </c>
      <c r="BD63" s="51"/>
      <c r="BE63" s="164">
        <v>0</v>
      </c>
      <c r="BF63" s="51"/>
      <c r="BG63" s="164">
        <v>0</v>
      </c>
      <c r="BH63" s="51"/>
      <c r="BI63" s="164">
        <v>0</v>
      </c>
      <c r="BJ63" s="182">
        <v>0.05</v>
      </c>
      <c r="BK63" s="64"/>
      <c r="BL63" s="64"/>
      <c r="BM63" s="164">
        <v>0</v>
      </c>
      <c r="BN63" s="51"/>
      <c r="BO63" s="164">
        <v>0</v>
      </c>
      <c r="BP63" s="51"/>
      <c r="BQ63" s="164">
        <v>0</v>
      </c>
      <c r="BR63" s="51"/>
      <c r="BS63" s="164">
        <v>0</v>
      </c>
      <c r="BT63" s="182">
        <v>0.05</v>
      </c>
      <c r="BU63" s="64"/>
      <c r="BV63" s="64"/>
      <c r="BW63" s="164">
        <v>0</v>
      </c>
      <c r="BX63" s="51"/>
      <c r="BY63" s="164">
        <v>0</v>
      </c>
      <c r="BZ63" s="51"/>
      <c r="CA63" s="164">
        <v>0</v>
      </c>
      <c r="CB63" s="51"/>
      <c r="CC63" s="164">
        <v>0</v>
      </c>
      <c r="CD63" s="182">
        <v>0.05</v>
      </c>
      <c r="CE63" s="64"/>
      <c r="CF63" s="64"/>
      <c r="CG63" s="164">
        <v>0</v>
      </c>
      <c r="CH63" s="51"/>
      <c r="CI63" s="164">
        <v>0</v>
      </c>
      <c r="CJ63" s="51"/>
      <c r="CK63" s="164">
        <v>0</v>
      </c>
      <c r="CL63" s="51"/>
      <c r="CM63" s="164">
        <v>0</v>
      </c>
      <c r="CN63" s="182">
        <v>0.05</v>
      </c>
      <c r="CO63" s="156"/>
    </row>
    <row r="64" spans="1:93">
      <c r="A64" s="37">
        <v>80.03</v>
      </c>
      <c r="B64" s="56" t="s">
        <v>57</v>
      </c>
      <c r="C64" s="64"/>
      <c r="D64" s="64"/>
      <c r="E64" s="164">
        <v>0</v>
      </c>
      <c r="F64" s="51"/>
      <c r="G64" s="164">
        <v>0.5</v>
      </c>
      <c r="H64" s="51"/>
      <c r="I64" s="164">
        <v>0.4</v>
      </c>
      <c r="J64" s="51"/>
      <c r="K64" s="164">
        <v>0.35</v>
      </c>
      <c r="L64" s="182">
        <v>0.05</v>
      </c>
      <c r="M64" s="64"/>
      <c r="N64" s="64"/>
      <c r="O64" s="164">
        <f t="shared" si="52"/>
        <v>0</v>
      </c>
      <c r="P64" s="51"/>
      <c r="Q64" s="164">
        <f t="shared" si="54"/>
        <v>0.45</v>
      </c>
      <c r="R64" s="51"/>
      <c r="S64" s="164">
        <f t="shared" si="55"/>
        <v>0.32500000000000001</v>
      </c>
      <c r="T64" s="51"/>
      <c r="U64" s="164">
        <f t="shared" si="56"/>
        <v>0.3</v>
      </c>
      <c r="V64" s="182">
        <f t="shared" si="53"/>
        <v>0.05</v>
      </c>
      <c r="W64" s="64"/>
      <c r="X64" s="64"/>
      <c r="Y64" s="164">
        <v>0</v>
      </c>
      <c r="Z64" s="51"/>
      <c r="AA64" s="164">
        <v>0.4</v>
      </c>
      <c r="AB64" s="51"/>
      <c r="AC64" s="164">
        <v>0.25</v>
      </c>
      <c r="AD64" s="51"/>
      <c r="AE64" s="164">
        <v>0.25</v>
      </c>
      <c r="AF64" s="182">
        <v>0.05</v>
      </c>
      <c r="AG64" s="64"/>
      <c r="AH64" s="64"/>
      <c r="AI64" s="164">
        <v>0</v>
      </c>
      <c r="AJ64" s="51"/>
      <c r="AK64" s="164">
        <v>0.25</v>
      </c>
      <c r="AL64" s="51"/>
      <c r="AM64" s="164">
        <v>0.15</v>
      </c>
      <c r="AN64" s="51"/>
      <c r="AO64" s="164">
        <v>0.2</v>
      </c>
      <c r="AP64" s="182">
        <v>0.05</v>
      </c>
      <c r="AQ64" s="64"/>
      <c r="AR64" s="64"/>
      <c r="AS64" s="164">
        <v>0</v>
      </c>
      <c r="AT64" s="51"/>
      <c r="AU64" s="164">
        <v>0.15</v>
      </c>
      <c r="AV64" s="51"/>
      <c r="AW64" s="164">
        <v>0.1</v>
      </c>
      <c r="AX64" s="51"/>
      <c r="AY64" s="164">
        <v>0.2</v>
      </c>
      <c r="AZ64" s="182">
        <v>0.05</v>
      </c>
      <c r="BA64" s="64"/>
      <c r="BB64" s="64"/>
      <c r="BC64" s="164">
        <v>0</v>
      </c>
      <c r="BD64" s="51"/>
      <c r="BE64" s="164">
        <v>0.1</v>
      </c>
      <c r="BF64" s="51"/>
      <c r="BG64" s="164">
        <v>0.05</v>
      </c>
      <c r="BH64" s="51"/>
      <c r="BI64" s="164">
        <v>0.2</v>
      </c>
      <c r="BJ64" s="182">
        <v>0.05</v>
      </c>
      <c r="BK64" s="64"/>
      <c r="BL64" s="64"/>
      <c r="BM64" s="164">
        <v>0</v>
      </c>
      <c r="BN64" s="51"/>
      <c r="BO64" s="164">
        <v>0.05</v>
      </c>
      <c r="BP64" s="51"/>
      <c r="BQ64" s="164">
        <v>0.05</v>
      </c>
      <c r="BR64" s="51"/>
      <c r="BS64" s="164">
        <v>0.15</v>
      </c>
      <c r="BT64" s="182">
        <v>0.05</v>
      </c>
      <c r="BU64" s="64"/>
      <c r="BV64" s="64"/>
      <c r="BW64" s="164">
        <v>0</v>
      </c>
      <c r="BX64" s="51"/>
      <c r="BY64" s="164">
        <v>0</v>
      </c>
      <c r="BZ64" s="51"/>
      <c r="CA64" s="164">
        <v>0</v>
      </c>
      <c r="CB64" s="51"/>
      <c r="CC64" s="164">
        <v>0.1</v>
      </c>
      <c r="CD64" s="182">
        <v>0.05</v>
      </c>
      <c r="CE64" s="64"/>
      <c r="CF64" s="64"/>
      <c r="CG64" s="164">
        <v>0</v>
      </c>
      <c r="CH64" s="51"/>
      <c r="CI64" s="164">
        <v>0</v>
      </c>
      <c r="CJ64" s="51"/>
      <c r="CK64" s="164">
        <v>0</v>
      </c>
      <c r="CL64" s="51"/>
      <c r="CM64" s="164">
        <v>0.05</v>
      </c>
      <c r="CN64" s="182">
        <v>0.05</v>
      </c>
      <c r="CO64" s="156"/>
    </row>
    <row r="65" spans="1:93">
      <c r="A65" s="37">
        <v>80.040000000000006</v>
      </c>
      <c r="B65" s="56" t="s">
        <v>58</v>
      </c>
      <c r="C65" s="64"/>
      <c r="D65" s="64"/>
      <c r="E65" s="164">
        <v>0</v>
      </c>
      <c r="F65" s="51"/>
      <c r="G65" s="164">
        <v>0.6</v>
      </c>
      <c r="H65" s="51"/>
      <c r="I65" s="164">
        <v>0.5</v>
      </c>
      <c r="J65" s="51"/>
      <c r="K65" s="164">
        <v>0.35</v>
      </c>
      <c r="L65" s="182">
        <v>0.05</v>
      </c>
      <c r="M65" s="64"/>
      <c r="N65" s="64"/>
      <c r="O65" s="164">
        <f t="shared" si="52"/>
        <v>0</v>
      </c>
      <c r="P65" s="51"/>
      <c r="Q65" s="164">
        <f t="shared" si="54"/>
        <v>0.44999999999999996</v>
      </c>
      <c r="R65" s="51"/>
      <c r="S65" s="164">
        <f t="shared" si="55"/>
        <v>0.5</v>
      </c>
      <c r="T65" s="51"/>
      <c r="U65" s="164">
        <f t="shared" si="56"/>
        <v>0.35</v>
      </c>
      <c r="V65" s="182">
        <f t="shared" si="53"/>
        <v>0.05</v>
      </c>
      <c r="W65" s="64"/>
      <c r="X65" s="64"/>
      <c r="Y65" s="164">
        <v>0</v>
      </c>
      <c r="Z65" s="51"/>
      <c r="AA65" s="164">
        <v>0.3</v>
      </c>
      <c r="AB65" s="51"/>
      <c r="AC65" s="164">
        <v>0.5</v>
      </c>
      <c r="AD65" s="51"/>
      <c r="AE65" s="164">
        <v>0.35</v>
      </c>
      <c r="AF65" s="182">
        <v>0.05</v>
      </c>
      <c r="AG65" s="64"/>
      <c r="AH65" s="64"/>
      <c r="AI65" s="164">
        <v>0</v>
      </c>
      <c r="AJ65" s="51"/>
      <c r="AK65" s="164">
        <v>0.25</v>
      </c>
      <c r="AL65" s="51"/>
      <c r="AM65" s="164">
        <v>0.25</v>
      </c>
      <c r="AN65" s="51"/>
      <c r="AO65" s="164">
        <v>0.35</v>
      </c>
      <c r="AP65" s="182">
        <v>0.05</v>
      </c>
      <c r="AQ65" s="64"/>
      <c r="AR65" s="64"/>
      <c r="AS65" s="164">
        <v>0</v>
      </c>
      <c r="AT65" s="51"/>
      <c r="AU65" s="164">
        <v>0.2</v>
      </c>
      <c r="AV65" s="51"/>
      <c r="AW65" s="164">
        <v>0.2</v>
      </c>
      <c r="AX65" s="51"/>
      <c r="AY65" s="164">
        <v>0.35</v>
      </c>
      <c r="AZ65" s="182">
        <v>0.05</v>
      </c>
      <c r="BA65" s="64"/>
      <c r="BB65" s="64"/>
      <c r="BC65" s="164">
        <v>0</v>
      </c>
      <c r="BD65" s="51"/>
      <c r="BE65" s="164">
        <v>0.1</v>
      </c>
      <c r="BF65" s="51"/>
      <c r="BG65" s="164">
        <v>0.15</v>
      </c>
      <c r="BH65" s="51"/>
      <c r="BI65" s="164">
        <v>0.3</v>
      </c>
      <c r="BJ65" s="182">
        <v>0.05</v>
      </c>
      <c r="BK65" s="64"/>
      <c r="BL65" s="64"/>
      <c r="BM65" s="164">
        <v>0</v>
      </c>
      <c r="BN65" s="51"/>
      <c r="BO65" s="164">
        <v>0.05</v>
      </c>
      <c r="BP65" s="51"/>
      <c r="BQ65" s="164">
        <v>0.05</v>
      </c>
      <c r="BR65" s="51"/>
      <c r="BS65" s="164">
        <v>0.25</v>
      </c>
      <c r="BT65" s="182">
        <v>0.05</v>
      </c>
      <c r="BU65" s="64"/>
      <c r="BV65" s="64"/>
      <c r="BW65" s="164">
        <v>0</v>
      </c>
      <c r="BX65" s="51"/>
      <c r="BY65" s="164">
        <v>0.05</v>
      </c>
      <c r="BZ65" s="51"/>
      <c r="CA65" s="164">
        <v>0.05</v>
      </c>
      <c r="CB65" s="51"/>
      <c r="CC65" s="164">
        <v>0.2</v>
      </c>
      <c r="CD65" s="182">
        <v>0.05</v>
      </c>
      <c r="CE65" s="64"/>
      <c r="CF65" s="64"/>
      <c r="CG65" s="164">
        <v>0</v>
      </c>
      <c r="CH65" s="51"/>
      <c r="CI65" s="164">
        <v>0</v>
      </c>
      <c r="CJ65" s="51"/>
      <c r="CK65" s="164">
        <v>0</v>
      </c>
      <c r="CL65" s="51"/>
      <c r="CM65" s="164">
        <v>0.1</v>
      </c>
      <c r="CN65" s="182">
        <v>0.05</v>
      </c>
      <c r="CO65" s="156"/>
    </row>
    <row r="66" spans="1:93">
      <c r="A66" s="37">
        <v>80.05</v>
      </c>
      <c r="B66" s="56" t="s">
        <v>59</v>
      </c>
      <c r="C66" s="64"/>
      <c r="D66" s="64"/>
      <c r="E66" s="164">
        <v>0</v>
      </c>
      <c r="F66" s="51"/>
      <c r="G66" s="164">
        <v>0.3</v>
      </c>
      <c r="H66" s="51"/>
      <c r="I66" s="164">
        <v>0.25</v>
      </c>
      <c r="J66" s="51"/>
      <c r="K66" s="164">
        <v>0.15</v>
      </c>
      <c r="L66" s="182">
        <v>0.05</v>
      </c>
      <c r="M66" s="64"/>
      <c r="N66" s="64"/>
      <c r="O66" s="164">
        <f t="shared" si="52"/>
        <v>0</v>
      </c>
      <c r="P66" s="51"/>
      <c r="Q66" s="164">
        <f t="shared" si="54"/>
        <v>0.22499999999999998</v>
      </c>
      <c r="R66" s="51"/>
      <c r="S66" s="164">
        <f t="shared" si="55"/>
        <v>0.17499999999999999</v>
      </c>
      <c r="T66" s="51"/>
      <c r="U66" s="164">
        <f t="shared" si="56"/>
        <v>0.15</v>
      </c>
      <c r="V66" s="182">
        <f t="shared" si="53"/>
        <v>0.05</v>
      </c>
      <c r="W66" s="64"/>
      <c r="X66" s="64"/>
      <c r="Y66" s="164">
        <v>0</v>
      </c>
      <c r="Z66" s="51"/>
      <c r="AA66" s="164">
        <v>0.15</v>
      </c>
      <c r="AB66" s="51"/>
      <c r="AC66" s="164">
        <v>0.1</v>
      </c>
      <c r="AD66" s="51"/>
      <c r="AE66" s="164">
        <v>0.15</v>
      </c>
      <c r="AF66" s="182">
        <v>0.05</v>
      </c>
      <c r="AG66" s="64"/>
      <c r="AH66" s="64"/>
      <c r="AI66" s="164">
        <v>0</v>
      </c>
      <c r="AJ66" s="51"/>
      <c r="AK66" s="164">
        <v>0.05</v>
      </c>
      <c r="AL66" s="51"/>
      <c r="AM66" s="164">
        <v>0.05</v>
      </c>
      <c r="AN66" s="51"/>
      <c r="AO66" s="164">
        <v>0.15</v>
      </c>
      <c r="AP66" s="182">
        <v>0.05</v>
      </c>
      <c r="AQ66" s="64"/>
      <c r="AR66" s="64"/>
      <c r="AS66" s="164">
        <v>0</v>
      </c>
      <c r="AT66" s="51"/>
      <c r="AU66" s="164">
        <v>0</v>
      </c>
      <c r="AV66" s="51"/>
      <c r="AW66" s="164">
        <v>0</v>
      </c>
      <c r="AX66" s="51"/>
      <c r="AY66" s="164">
        <v>0.15</v>
      </c>
      <c r="AZ66" s="182">
        <v>0.05</v>
      </c>
      <c r="BA66" s="64"/>
      <c r="BB66" s="64"/>
      <c r="BC66" s="164">
        <v>0</v>
      </c>
      <c r="BD66" s="51"/>
      <c r="BE66" s="164">
        <v>0</v>
      </c>
      <c r="BF66" s="51"/>
      <c r="BG66" s="164">
        <v>0</v>
      </c>
      <c r="BH66" s="51"/>
      <c r="BI66" s="164">
        <v>0.1</v>
      </c>
      <c r="BJ66" s="182">
        <v>0.05</v>
      </c>
      <c r="BK66" s="64"/>
      <c r="BL66" s="64"/>
      <c r="BM66" s="164">
        <v>0</v>
      </c>
      <c r="BN66" s="51"/>
      <c r="BO66" s="164">
        <v>0</v>
      </c>
      <c r="BP66" s="51"/>
      <c r="BQ66" s="164">
        <v>0</v>
      </c>
      <c r="BR66" s="51"/>
      <c r="BS66" s="164">
        <v>0.05</v>
      </c>
      <c r="BT66" s="182">
        <v>0.05</v>
      </c>
      <c r="BU66" s="64"/>
      <c r="BV66" s="64"/>
      <c r="BW66" s="164">
        <v>0</v>
      </c>
      <c r="BX66" s="51"/>
      <c r="BY66" s="164">
        <v>0</v>
      </c>
      <c r="BZ66" s="51"/>
      <c r="CA66" s="164">
        <v>0</v>
      </c>
      <c r="CB66" s="51"/>
      <c r="CC66" s="164">
        <v>0</v>
      </c>
      <c r="CD66" s="182">
        <v>0.05</v>
      </c>
      <c r="CE66" s="64"/>
      <c r="CF66" s="64"/>
      <c r="CG66" s="164">
        <v>0</v>
      </c>
      <c r="CH66" s="51"/>
      <c r="CI66" s="164">
        <v>0</v>
      </c>
      <c r="CJ66" s="51"/>
      <c r="CK66" s="164">
        <v>0</v>
      </c>
      <c r="CL66" s="51"/>
      <c r="CM66" s="164">
        <v>0</v>
      </c>
      <c r="CN66" s="182">
        <v>0.05</v>
      </c>
      <c r="CO66" s="156"/>
    </row>
    <row r="67" spans="1:93">
      <c r="A67" s="37">
        <v>80.06</v>
      </c>
      <c r="B67" s="56" t="s">
        <v>60</v>
      </c>
      <c r="C67" s="64"/>
      <c r="D67" s="64"/>
      <c r="E67" s="164">
        <v>0</v>
      </c>
      <c r="F67" s="51"/>
      <c r="G67" s="164">
        <v>0.6</v>
      </c>
      <c r="H67" s="51"/>
      <c r="I67" s="164">
        <v>0.5</v>
      </c>
      <c r="J67" s="51"/>
      <c r="K67" s="164">
        <v>0.25</v>
      </c>
      <c r="L67" s="182">
        <v>0.05</v>
      </c>
      <c r="M67" s="64"/>
      <c r="N67" s="64"/>
      <c r="O67" s="164">
        <f t="shared" si="52"/>
        <v>0</v>
      </c>
      <c r="P67" s="51"/>
      <c r="Q67" s="164">
        <f t="shared" si="54"/>
        <v>0.44999999999999996</v>
      </c>
      <c r="R67" s="51"/>
      <c r="S67" s="164">
        <f t="shared" si="55"/>
        <v>0.375</v>
      </c>
      <c r="T67" s="51"/>
      <c r="U67" s="164">
        <f t="shared" si="56"/>
        <v>0.22500000000000001</v>
      </c>
      <c r="V67" s="182">
        <f t="shared" si="53"/>
        <v>0.05</v>
      </c>
      <c r="W67" s="64"/>
      <c r="X67" s="64"/>
      <c r="Y67" s="164">
        <v>0</v>
      </c>
      <c r="Z67" s="51"/>
      <c r="AA67" s="164">
        <v>0.3</v>
      </c>
      <c r="AB67" s="51"/>
      <c r="AC67" s="164">
        <v>0.25</v>
      </c>
      <c r="AD67" s="51"/>
      <c r="AE67" s="164">
        <v>0.2</v>
      </c>
      <c r="AF67" s="182">
        <v>0.05</v>
      </c>
      <c r="AG67" s="64"/>
      <c r="AH67" s="64"/>
      <c r="AI67" s="164">
        <v>0</v>
      </c>
      <c r="AJ67" s="51"/>
      <c r="AK67" s="164">
        <v>0.15</v>
      </c>
      <c r="AL67" s="51"/>
      <c r="AM67" s="164">
        <v>0.1</v>
      </c>
      <c r="AN67" s="51"/>
      <c r="AO67" s="164">
        <v>0.15</v>
      </c>
      <c r="AP67" s="182">
        <v>0.05</v>
      </c>
      <c r="AQ67" s="64"/>
      <c r="AR67" s="64"/>
      <c r="AS67" s="164">
        <v>0</v>
      </c>
      <c r="AT67" s="51"/>
      <c r="AU67" s="164">
        <v>0.1</v>
      </c>
      <c r="AV67" s="51"/>
      <c r="AW67" s="164">
        <v>0.05</v>
      </c>
      <c r="AX67" s="51"/>
      <c r="AY67" s="164">
        <v>0.15</v>
      </c>
      <c r="AZ67" s="182">
        <v>0.05</v>
      </c>
      <c r="BA67" s="64"/>
      <c r="BB67" s="64"/>
      <c r="BC67" s="164">
        <v>0</v>
      </c>
      <c r="BD67" s="51"/>
      <c r="BE67" s="164">
        <v>0.05</v>
      </c>
      <c r="BF67" s="51"/>
      <c r="BG67" s="164">
        <v>0</v>
      </c>
      <c r="BH67" s="51"/>
      <c r="BI67" s="164">
        <v>0.15</v>
      </c>
      <c r="BJ67" s="182">
        <v>0.05</v>
      </c>
      <c r="BK67" s="64"/>
      <c r="BL67" s="64"/>
      <c r="BM67" s="164">
        <v>0</v>
      </c>
      <c r="BN67" s="51"/>
      <c r="BO67" s="164">
        <v>0</v>
      </c>
      <c r="BP67" s="51"/>
      <c r="BQ67" s="164">
        <v>0</v>
      </c>
      <c r="BR67" s="51"/>
      <c r="BS67" s="164">
        <v>0.1</v>
      </c>
      <c r="BT67" s="182">
        <v>0.05</v>
      </c>
      <c r="BU67" s="64"/>
      <c r="BV67" s="64"/>
      <c r="BW67" s="164">
        <v>0</v>
      </c>
      <c r="BX67" s="51"/>
      <c r="BY67" s="164">
        <v>0</v>
      </c>
      <c r="BZ67" s="51"/>
      <c r="CA67" s="164">
        <v>0</v>
      </c>
      <c r="CB67" s="51"/>
      <c r="CC67" s="164">
        <v>0.05</v>
      </c>
      <c r="CD67" s="182">
        <v>0.05</v>
      </c>
      <c r="CE67" s="64"/>
      <c r="CF67" s="64"/>
      <c r="CG67" s="164">
        <v>0</v>
      </c>
      <c r="CH67" s="51"/>
      <c r="CI67" s="164">
        <v>0</v>
      </c>
      <c r="CJ67" s="51"/>
      <c r="CK67" s="164">
        <v>0</v>
      </c>
      <c r="CL67" s="51"/>
      <c r="CM67" s="164">
        <v>0</v>
      </c>
      <c r="CN67" s="182">
        <v>0.05</v>
      </c>
      <c r="CO67" s="156"/>
    </row>
    <row r="68" spans="1:93">
      <c r="A68" s="37">
        <v>80.069999999999993</v>
      </c>
      <c r="B68" s="56" t="s">
        <v>61</v>
      </c>
      <c r="C68" s="64"/>
      <c r="D68" s="64"/>
      <c r="E68" s="164">
        <v>0</v>
      </c>
      <c r="F68" s="51"/>
      <c r="G68" s="164">
        <v>0.4</v>
      </c>
      <c r="H68" s="51"/>
      <c r="I68" s="164">
        <v>0.45</v>
      </c>
      <c r="J68" s="51"/>
      <c r="K68" s="164">
        <v>0.5</v>
      </c>
      <c r="L68" s="182">
        <v>0.05</v>
      </c>
      <c r="M68" s="64"/>
      <c r="N68" s="64"/>
      <c r="O68" s="164">
        <f t="shared" si="52"/>
        <v>0</v>
      </c>
      <c r="P68" s="51"/>
      <c r="Q68" s="164">
        <f t="shared" si="54"/>
        <v>0.30000000000000004</v>
      </c>
      <c r="R68" s="51"/>
      <c r="S68" s="164">
        <f t="shared" si="55"/>
        <v>0.35</v>
      </c>
      <c r="T68" s="51"/>
      <c r="U68" s="164">
        <f t="shared" si="56"/>
        <v>0.5</v>
      </c>
      <c r="V68" s="182">
        <f t="shared" si="53"/>
        <v>0.05</v>
      </c>
      <c r="W68" s="64"/>
      <c r="X68" s="64"/>
      <c r="Y68" s="164">
        <v>0</v>
      </c>
      <c r="Z68" s="51"/>
      <c r="AA68" s="164">
        <v>0.2</v>
      </c>
      <c r="AB68" s="51"/>
      <c r="AC68" s="164">
        <v>0.25</v>
      </c>
      <c r="AD68" s="51"/>
      <c r="AE68" s="164">
        <v>0.5</v>
      </c>
      <c r="AF68" s="182">
        <v>0.05</v>
      </c>
      <c r="AG68" s="64"/>
      <c r="AH68" s="64"/>
      <c r="AI68" s="164">
        <v>0</v>
      </c>
      <c r="AJ68" s="51"/>
      <c r="AK68" s="164">
        <v>0.2</v>
      </c>
      <c r="AL68" s="51"/>
      <c r="AM68" s="164">
        <v>0.15</v>
      </c>
      <c r="AN68" s="51"/>
      <c r="AO68" s="164">
        <v>0.3</v>
      </c>
      <c r="AP68" s="182">
        <v>0.05</v>
      </c>
      <c r="AQ68" s="64"/>
      <c r="AR68" s="64"/>
      <c r="AS68" s="164">
        <v>0</v>
      </c>
      <c r="AT68" s="51"/>
      <c r="AU68" s="164">
        <v>0.1</v>
      </c>
      <c r="AV68" s="51"/>
      <c r="AW68" s="164">
        <v>0.15</v>
      </c>
      <c r="AX68" s="51"/>
      <c r="AY68" s="164">
        <v>0.3</v>
      </c>
      <c r="AZ68" s="182">
        <v>0.05</v>
      </c>
      <c r="BA68" s="64"/>
      <c r="BB68" s="64"/>
      <c r="BC68" s="164">
        <v>0</v>
      </c>
      <c r="BD68" s="51"/>
      <c r="BE68" s="164">
        <v>0.1</v>
      </c>
      <c r="BF68" s="51"/>
      <c r="BG68" s="164">
        <v>0.1</v>
      </c>
      <c r="BH68" s="51"/>
      <c r="BI68" s="164">
        <v>0.25</v>
      </c>
      <c r="BJ68" s="182">
        <v>0.05</v>
      </c>
      <c r="BK68" s="64"/>
      <c r="BL68" s="64"/>
      <c r="BM68" s="164">
        <v>0</v>
      </c>
      <c r="BN68" s="51"/>
      <c r="BO68" s="164">
        <v>0.05</v>
      </c>
      <c r="BP68" s="51"/>
      <c r="BQ68" s="164">
        <v>0.05</v>
      </c>
      <c r="BR68" s="51"/>
      <c r="BS68" s="164">
        <v>0.15</v>
      </c>
      <c r="BT68" s="182">
        <v>0.05</v>
      </c>
      <c r="BU68" s="64"/>
      <c r="BV68" s="64"/>
      <c r="BW68" s="164">
        <v>0</v>
      </c>
      <c r="BX68" s="51"/>
      <c r="BY68" s="164">
        <v>0</v>
      </c>
      <c r="BZ68" s="51"/>
      <c r="CA68" s="164">
        <v>0</v>
      </c>
      <c r="CB68" s="51"/>
      <c r="CC68" s="164">
        <v>0.15</v>
      </c>
      <c r="CD68" s="182">
        <v>0.05</v>
      </c>
      <c r="CE68" s="64"/>
      <c r="CF68" s="64"/>
      <c r="CG68" s="164">
        <v>0</v>
      </c>
      <c r="CH68" s="51"/>
      <c r="CI68" s="164">
        <v>0</v>
      </c>
      <c r="CJ68" s="51"/>
      <c r="CK68" s="164">
        <v>0</v>
      </c>
      <c r="CL68" s="51"/>
      <c r="CM68" s="164">
        <v>0.1</v>
      </c>
      <c r="CN68" s="182">
        <v>0.05</v>
      </c>
      <c r="CO68" s="156"/>
    </row>
    <row r="69" spans="1:93" ht="13.5" thickBot="1">
      <c r="A69" s="60">
        <v>80.08</v>
      </c>
      <c r="B69" s="61" t="s">
        <v>62</v>
      </c>
      <c r="C69" s="167"/>
      <c r="D69" s="167"/>
      <c r="E69" s="183">
        <v>0</v>
      </c>
      <c r="F69" s="184"/>
      <c r="G69" s="183">
        <v>0.6</v>
      </c>
      <c r="H69" s="184"/>
      <c r="I69" s="183">
        <v>0.25</v>
      </c>
      <c r="J69" s="184"/>
      <c r="K69" s="183">
        <v>0.6</v>
      </c>
      <c r="L69" s="185">
        <v>0.05</v>
      </c>
      <c r="M69" s="167"/>
      <c r="N69" s="167"/>
      <c r="O69" s="183">
        <f t="shared" si="52"/>
        <v>0</v>
      </c>
      <c r="P69" s="184"/>
      <c r="Q69" s="183">
        <f t="shared" si="54"/>
        <v>0.6</v>
      </c>
      <c r="R69" s="184"/>
      <c r="S69" s="183">
        <f t="shared" si="55"/>
        <v>0.25</v>
      </c>
      <c r="T69" s="184"/>
      <c r="U69" s="183">
        <f t="shared" si="56"/>
        <v>0.6</v>
      </c>
      <c r="V69" s="185">
        <f t="shared" si="53"/>
        <v>0.05</v>
      </c>
      <c r="W69" s="167"/>
      <c r="X69" s="167"/>
      <c r="Y69" s="183">
        <v>0</v>
      </c>
      <c r="Z69" s="184"/>
      <c r="AA69" s="183">
        <v>0.6</v>
      </c>
      <c r="AB69" s="184"/>
      <c r="AC69" s="183">
        <v>0.25</v>
      </c>
      <c r="AD69" s="184"/>
      <c r="AE69" s="183">
        <v>0.6</v>
      </c>
      <c r="AF69" s="185">
        <v>0.05</v>
      </c>
      <c r="AG69" s="167"/>
      <c r="AH69" s="167"/>
      <c r="AI69" s="183">
        <v>0</v>
      </c>
      <c r="AJ69" s="184"/>
      <c r="AK69" s="183">
        <v>0.4</v>
      </c>
      <c r="AL69" s="184"/>
      <c r="AM69" s="183">
        <v>0.25</v>
      </c>
      <c r="AN69" s="184"/>
      <c r="AO69" s="183">
        <v>0.6</v>
      </c>
      <c r="AP69" s="185">
        <v>0.05</v>
      </c>
      <c r="AQ69" s="167"/>
      <c r="AR69" s="167"/>
      <c r="AS69" s="183">
        <v>0</v>
      </c>
      <c r="AT69" s="184"/>
      <c r="AU69" s="183">
        <v>0.4</v>
      </c>
      <c r="AV69" s="184"/>
      <c r="AW69" s="183">
        <v>0.25</v>
      </c>
      <c r="AX69" s="184"/>
      <c r="AY69" s="183">
        <v>0.6</v>
      </c>
      <c r="AZ69" s="185">
        <v>0.05</v>
      </c>
      <c r="BA69" s="167"/>
      <c r="BB69" s="167"/>
      <c r="BC69" s="183">
        <v>0</v>
      </c>
      <c r="BD69" s="184"/>
      <c r="BE69" s="183">
        <v>0.2</v>
      </c>
      <c r="BF69" s="184"/>
      <c r="BG69" s="183">
        <v>0.25</v>
      </c>
      <c r="BH69" s="184"/>
      <c r="BI69" s="183">
        <v>0.6</v>
      </c>
      <c r="BJ69" s="185">
        <v>0.05</v>
      </c>
      <c r="BK69" s="167"/>
      <c r="BL69" s="167"/>
      <c r="BM69" s="183">
        <v>0</v>
      </c>
      <c r="BN69" s="184"/>
      <c r="BO69" s="183">
        <v>0.15</v>
      </c>
      <c r="BP69" s="184"/>
      <c r="BQ69" s="183">
        <v>0.15</v>
      </c>
      <c r="BR69" s="184"/>
      <c r="BS69" s="183">
        <v>0.6</v>
      </c>
      <c r="BT69" s="185">
        <v>0.05</v>
      </c>
      <c r="BU69" s="167"/>
      <c r="BV69" s="167"/>
      <c r="BW69" s="183">
        <v>0</v>
      </c>
      <c r="BX69" s="184"/>
      <c r="BY69" s="183">
        <v>0.1</v>
      </c>
      <c r="BZ69" s="184"/>
      <c r="CA69" s="183">
        <v>0.1</v>
      </c>
      <c r="CB69" s="184"/>
      <c r="CC69" s="183">
        <v>0.6</v>
      </c>
      <c r="CD69" s="185">
        <v>0.05</v>
      </c>
      <c r="CE69" s="167"/>
      <c r="CF69" s="167"/>
      <c r="CG69" s="183">
        <v>0</v>
      </c>
      <c r="CH69" s="184"/>
      <c r="CI69" s="183">
        <v>0</v>
      </c>
      <c r="CJ69" s="184"/>
      <c r="CK69" s="183">
        <v>0</v>
      </c>
      <c r="CL69" s="184"/>
      <c r="CM69" s="183">
        <v>0.4</v>
      </c>
      <c r="CN69" s="185">
        <v>0.05</v>
      </c>
      <c r="CO69" s="186"/>
    </row>
    <row r="79" spans="1:93" ht="18">
      <c r="B79" s="506"/>
    </row>
  </sheetData>
  <sheetProtection algorithmName="SHA-512" hashValue="LBtj9a6iyFfBl5ps3Bo0J2UtHMKVJIZvTb2vfmQapRsY02hnNCwgnMB/gpr8IvY+LmgBmoXtwxsHWvba1vX6jw==" saltValue="7x22bFBq11moe9Ktjwxaog==" spinCount="100000" sheet="1" scenarios="1" formatCells="0" formatColumns="0" formatRows="0"/>
  <mergeCells count="47">
    <mergeCell ref="CF3:CG3"/>
    <mergeCell ref="CH3:CI3"/>
    <mergeCell ref="CJ3:CK3"/>
    <mergeCell ref="CL3:CM3"/>
    <mergeCell ref="BR3:BS3"/>
    <mergeCell ref="BV3:BW3"/>
    <mergeCell ref="BX3:BY3"/>
    <mergeCell ref="BZ3:CA3"/>
    <mergeCell ref="CB3:CC3"/>
    <mergeCell ref="A1:CO1"/>
    <mergeCell ref="D3:E3"/>
    <mergeCell ref="F3:G3"/>
    <mergeCell ref="H3:I3"/>
    <mergeCell ref="J3:K3"/>
    <mergeCell ref="N3:O3"/>
    <mergeCell ref="P3:Q3"/>
    <mergeCell ref="R3:S3"/>
    <mergeCell ref="T3:U3"/>
    <mergeCell ref="AH3:AI3"/>
    <mergeCell ref="AJ3:AK3"/>
    <mergeCell ref="AL3:AM3"/>
    <mergeCell ref="AR3:AS3"/>
    <mergeCell ref="AT3:AU3"/>
    <mergeCell ref="AV3:AW3"/>
    <mergeCell ref="AX3:AY3"/>
    <mergeCell ref="AN3:AO3"/>
    <mergeCell ref="A2:B2"/>
    <mergeCell ref="X2:AF2"/>
    <mergeCell ref="BL2:BT2"/>
    <mergeCell ref="BV2:CD2"/>
    <mergeCell ref="X3:Y3"/>
    <mergeCell ref="Z3:AA3"/>
    <mergeCell ref="AB3:AC3"/>
    <mergeCell ref="AD3:AE3"/>
    <mergeCell ref="BB3:BC3"/>
    <mergeCell ref="BD3:BE3"/>
    <mergeCell ref="BF3:BG3"/>
    <mergeCell ref="BH3:BI3"/>
    <mergeCell ref="BL3:BM3"/>
    <mergeCell ref="BN3:BO3"/>
    <mergeCell ref="BP3:BQ3"/>
    <mergeCell ref="CF2:CN2"/>
    <mergeCell ref="AH2:AP2"/>
    <mergeCell ref="AR2:AZ2"/>
    <mergeCell ref="BB2:BJ2"/>
    <mergeCell ref="D2:L2"/>
    <mergeCell ref="N2:V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4">
    <tabColor theme="0" tint="-0.499984740745262"/>
    <pageSetUpPr fitToPage="1"/>
  </sheetPr>
  <dimension ref="A1:M62"/>
  <sheetViews>
    <sheetView zoomScale="85" zoomScaleNormal="85" workbookViewId="0">
      <pane xSplit="2" ySplit="4" topLeftCell="C5" activePane="bottomRight" state="frozen"/>
      <selection pane="topRight" activeCell="C1" sqref="C1"/>
      <selection pane="bottomLeft" activeCell="A5" sqref="A5"/>
      <selection pane="bottomRight" sqref="A1:M1"/>
    </sheetView>
  </sheetViews>
  <sheetFormatPr defaultColWidth="8.85546875" defaultRowHeight="15"/>
  <cols>
    <col min="1" max="1" width="27.140625" style="5" customWidth="1"/>
    <col min="2" max="2" width="5.42578125" style="5" customWidth="1"/>
    <col min="3" max="12" width="16.42578125" style="5" customWidth="1"/>
    <col min="13" max="13" width="15.85546875" style="5" customWidth="1"/>
    <col min="14" max="16384" width="8.85546875" style="5"/>
  </cols>
  <sheetData>
    <row r="1" spans="1:13" s="773" customFormat="1" ht="36" customHeight="1" thickBot="1">
      <c r="A1" s="1206" t="s">
        <v>566</v>
      </c>
      <c r="B1" s="1207"/>
      <c r="C1" s="1207"/>
      <c r="D1" s="1207"/>
      <c r="E1" s="1207"/>
      <c r="F1" s="1207"/>
      <c r="G1" s="1207"/>
      <c r="H1" s="1207"/>
      <c r="I1" s="1207"/>
      <c r="J1" s="1207"/>
      <c r="K1" s="1207"/>
      <c r="L1" s="1207"/>
      <c r="M1" s="1207"/>
    </row>
    <row r="2" spans="1:13" ht="76.5" customHeight="1" thickBot="1">
      <c r="A2" s="130"/>
      <c r="B2" s="130"/>
      <c r="C2" s="131" t="s">
        <v>100</v>
      </c>
      <c r="D2" s="132" t="s">
        <v>101</v>
      </c>
      <c r="E2" s="132" t="s">
        <v>13</v>
      </c>
      <c r="F2" s="133" t="s">
        <v>143</v>
      </c>
      <c r="G2" s="133" t="s">
        <v>144</v>
      </c>
      <c r="H2" s="133" t="s">
        <v>57</v>
      </c>
      <c r="I2" s="133" t="s">
        <v>58</v>
      </c>
      <c r="J2" s="133" t="s">
        <v>59</v>
      </c>
      <c r="K2" s="133" t="s">
        <v>60</v>
      </c>
      <c r="L2" s="133" t="s">
        <v>61</v>
      </c>
      <c r="M2" s="134" t="s">
        <v>62</v>
      </c>
    </row>
    <row r="3" spans="1:13" ht="15.95" customHeight="1" thickBot="1">
      <c r="A3" s="130"/>
      <c r="B3" s="130"/>
      <c r="C3" s="142" t="s">
        <v>100</v>
      </c>
      <c r="D3" s="139" t="s">
        <v>101</v>
      </c>
      <c r="E3" s="139" t="s">
        <v>118</v>
      </c>
      <c r="F3" s="140" t="s">
        <v>145</v>
      </c>
      <c r="G3" s="140" t="s">
        <v>146</v>
      </c>
      <c r="H3" s="140" t="s">
        <v>119</v>
      </c>
      <c r="I3" s="140" t="s">
        <v>120</v>
      </c>
      <c r="J3" s="140" t="s">
        <v>567</v>
      </c>
      <c r="K3" s="140" t="s">
        <v>121</v>
      </c>
      <c r="L3" s="140" t="s">
        <v>122</v>
      </c>
      <c r="M3" s="141" t="s">
        <v>568</v>
      </c>
    </row>
    <row r="4" spans="1:13" ht="15.75" thickBot="1">
      <c r="A4" s="135" t="s">
        <v>297</v>
      </c>
      <c r="B4" s="143" t="s">
        <v>142</v>
      </c>
      <c r="C4" s="136" t="s">
        <v>102</v>
      </c>
      <c r="D4" s="137" t="s">
        <v>103</v>
      </c>
      <c r="E4" s="137" t="s">
        <v>104</v>
      </c>
      <c r="F4" s="137" t="s">
        <v>105</v>
      </c>
      <c r="G4" s="137" t="s">
        <v>106</v>
      </c>
      <c r="H4" s="137" t="s">
        <v>107</v>
      </c>
      <c r="I4" s="137" t="s">
        <v>108</v>
      </c>
      <c r="J4" s="137" t="s">
        <v>109</v>
      </c>
      <c r="K4" s="137" t="s">
        <v>110</v>
      </c>
      <c r="L4" s="137" t="s">
        <v>111</v>
      </c>
      <c r="M4" s="138" t="s">
        <v>112</v>
      </c>
    </row>
    <row r="5" spans="1:13">
      <c r="A5" s="1208" t="s">
        <v>139</v>
      </c>
      <c r="B5" s="1209"/>
      <c r="C5" s="144">
        <f>SUM('DBB CMGC Beta Uncertainty Stdrs'!D5:L5,1)</f>
        <v>2.5</v>
      </c>
      <c r="D5" s="145">
        <f>SUM('DBB CMGC Beta Uncertainty Stdrs'!E51:L51,1)</f>
        <v>3.25</v>
      </c>
      <c r="E5" s="145">
        <f>SUM('DBB CMGC Beta Uncertainty Stdrs'!E54:L54,1)</f>
        <v>2</v>
      </c>
      <c r="F5" s="145">
        <f>SUM('DBB CMGC Beta Uncertainty Stdrs'!E62:L62,1)</f>
        <v>1.9500000000000002</v>
      </c>
      <c r="G5" s="145">
        <f>SUM('DBB CMGC Beta Uncertainty Stdrs'!E63:L63,1)</f>
        <v>2.0999999999999996</v>
      </c>
      <c r="H5" s="145">
        <f>SUM('DBB CMGC Beta Uncertainty Stdrs'!E64:L64,1)</f>
        <v>2.2999999999999998</v>
      </c>
      <c r="I5" s="145">
        <f>SUM('DBB CMGC Beta Uncertainty Stdrs'!E65:L65,1)</f>
        <v>2.5</v>
      </c>
      <c r="J5" s="145">
        <f>SUM('DBB CMGC Beta Uncertainty Stdrs'!E66:L66,1)</f>
        <v>1.75</v>
      </c>
      <c r="K5" s="145">
        <f>SUM('DBB CMGC Beta Uncertainty Stdrs'!E67:L67,1)</f>
        <v>2.4000000000000004</v>
      </c>
      <c r="L5" s="145">
        <f>SUM('DBB CMGC Beta Uncertainty Stdrs'!E68:L68,1)</f>
        <v>2.4000000000000004</v>
      </c>
      <c r="M5" s="146">
        <f>SUM('DBB CMGC Beta Uncertainty Stdrs'!E69:L69,1)</f>
        <v>2.5</v>
      </c>
    </row>
    <row r="6" spans="1:13">
      <c r="A6" s="1208" t="s">
        <v>140</v>
      </c>
      <c r="B6" s="1209"/>
      <c r="C6" s="144">
        <f>AVERAGE(C5,C7)</f>
        <v>2.2749999999999999</v>
      </c>
      <c r="D6" s="144">
        <f t="shared" ref="D6:M6" si="0">AVERAGE(D5,D7)</f>
        <v>3.125</v>
      </c>
      <c r="E6" s="144">
        <f t="shared" si="0"/>
        <v>1.95</v>
      </c>
      <c r="F6" s="144">
        <v>1.3</v>
      </c>
      <c r="G6" s="144">
        <f t="shared" si="0"/>
        <v>2.0499999999999998</v>
      </c>
      <c r="H6" s="144">
        <f t="shared" si="0"/>
        <v>2.125</v>
      </c>
      <c r="I6" s="144">
        <f t="shared" si="0"/>
        <v>2.35</v>
      </c>
      <c r="J6" s="144">
        <f t="shared" si="0"/>
        <v>1.6</v>
      </c>
      <c r="K6" s="144">
        <f t="shared" si="0"/>
        <v>2.1</v>
      </c>
      <c r="L6" s="144">
        <f t="shared" si="0"/>
        <v>2.2000000000000002</v>
      </c>
      <c r="M6" s="144">
        <f t="shared" si="0"/>
        <v>2.5</v>
      </c>
    </row>
    <row r="7" spans="1:13">
      <c r="A7" s="1208" t="s">
        <v>141</v>
      </c>
      <c r="B7" s="1209"/>
      <c r="C7" s="147">
        <f>SUM('DBB CMGC Beta Uncertainty Stdrs'!X5:AF5,1)</f>
        <v>2.0499999999999998</v>
      </c>
      <c r="D7" s="148">
        <f>SUM('DBB CMGC Beta Uncertainty Stdrs'!Y51:AF51,1)</f>
        <v>3</v>
      </c>
      <c r="E7" s="148">
        <f>SUM('DBB CMGC Beta Uncertainty Stdrs'!Y54:AF54,1)</f>
        <v>1.9</v>
      </c>
      <c r="F7" s="148">
        <f>SUM('DBB CMGC Beta Uncertainty Stdrs'!Y62:AF62,1)</f>
        <v>1.05</v>
      </c>
      <c r="G7" s="148">
        <f>SUM('DBB CMGC Beta Uncertainty Stdrs'!Y63:AF63,1)</f>
        <v>2</v>
      </c>
      <c r="H7" s="148">
        <f>SUM('DBB CMGC Beta Uncertainty Stdrs'!Y64:AF64,1)</f>
        <v>1.9500000000000002</v>
      </c>
      <c r="I7" s="148">
        <f>SUM('DBB CMGC Beta Uncertainty Stdrs'!Y65:AF65,1)</f>
        <v>2.2000000000000002</v>
      </c>
      <c r="J7" s="148">
        <f>SUM('DBB CMGC Beta Uncertainty Stdrs'!Y66:AF66,1)</f>
        <v>1.45</v>
      </c>
      <c r="K7" s="148">
        <f>SUM('DBB CMGC Beta Uncertainty Stdrs'!Y67:AF67,1)</f>
        <v>1.8</v>
      </c>
      <c r="L7" s="148">
        <f>SUM('DBB CMGC Beta Uncertainty Stdrs'!Y68:AF68,1)</f>
        <v>2</v>
      </c>
      <c r="M7" s="149">
        <f>SUM('DBB CMGC Beta Uncertainty Stdrs'!Y69:AF69,1)</f>
        <v>2.5</v>
      </c>
    </row>
    <row r="8" spans="1:13">
      <c r="A8" s="1208" t="s">
        <v>133</v>
      </c>
      <c r="B8" s="1209"/>
      <c r="C8" s="147">
        <f>SUM('DBB CMGC Beta Uncertainty Stdrs'!AH5:AP5,1)</f>
        <v>1.8</v>
      </c>
      <c r="D8" s="148">
        <f>SUM('DBB CMGC Beta Uncertainty Stdrs'!AI51:AP51,1)</f>
        <v>2.5</v>
      </c>
      <c r="E8" s="148">
        <f>SUM('DBB CMGC Beta Uncertainty Stdrs'!AI54:AP54,1)</f>
        <v>1.6</v>
      </c>
      <c r="F8" s="148">
        <f>SUM('DBB CMGC Beta Uncertainty Stdrs'!AI62:AP62,1)</f>
        <v>1.05</v>
      </c>
      <c r="G8" s="148">
        <f>SUM('DBB CMGC Beta Uncertainty Stdrs'!AI63:AP63,1)</f>
        <v>1.65</v>
      </c>
      <c r="H8" s="148">
        <f>SUM('DBB CMGC Beta Uncertainty Stdrs'!AI64:AP64,1)</f>
        <v>1.6500000000000001</v>
      </c>
      <c r="I8" s="148">
        <f>SUM('DBB CMGC Beta Uncertainty Stdrs'!AI65:AP65,1)</f>
        <v>1.9</v>
      </c>
      <c r="J8" s="148">
        <f>SUM('DBB CMGC Beta Uncertainty Stdrs'!AI66:AP66,1)</f>
        <v>1.3</v>
      </c>
      <c r="K8" s="148">
        <f>SUM('DBB CMGC Beta Uncertainty Stdrs'!AI67:AP67,1)</f>
        <v>1.45</v>
      </c>
      <c r="L8" s="148">
        <f>SUM('DBB CMGC Beta Uncertainty Stdrs'!AI68:AP68,1)</f>
        <v>1.7</v>
      </c>
      <c r="M8" s="149">
        <f>SUM('DBB CMGC Beta Uncertainty Stdrs'!AI69:AP69,1)</f>
        <v>2.2999999999999998</v>
      </c>
    </row>
    <row r="9" spans="1:13">
      <c r="A9" s="1208" t="s">
        <v>113</v>
      </c>
      <c r="B9" s="1209"/>
      <c r="C9" s="147">
        <f>SUM('DBB CMGC Beta Uncertainty Stdrs'!AR5:AZ5,1)</f>
        <v>1.5</v>
      </c>
      <c r="D9" s="148">
        <f>SUM('DBB CMGC Beta Uncertainty Stdrs'!AS51:AZ51,1)</f>
        <v>2.0499999999999998</v>
      </c>
      <c r="E9" s="148">
        <f>SUM('DBB CMGC Beta Uncertainty Stdrs'!AS53:AZ54,1)</f>
        <v>1.5</v>
      </c>
      <c r="F9" s="148">
        <f>SUM('DBB CMGC Beta Uncertainty Stdrs'!AS62:AZ62,1)</f>
        <v>1.05</v>
      </c>
      <c r="G9" s="148">
        <f>SUM('DBB CMGC Beta Uncertainty Stdrs'!AS63:AZ63,1)</f>
        <v>1.1499999999999999</v>
      </c>
      <c r="H9" s="148">
        <f>SUM('DBB CMGC Beta Uncertainty Stdrs'!AS64:AZ64,1)</f>
        <v>1.5</v>
      </c>
      <c r="I9" s="148">
        <f>SUM('DBB CMGC Beta Uncertainty Stdrs'!AS65:AZ65,1)</f>
        <v>1.8</v>
      </c>
      <c r="J9" s="148">
        <f>SUM('DBB CMGC Beta Uncertainty Stdrs'!AS66:AZ66,1)</f>
        <v>1.2</v>
      </c>
      <c r="K9" s="148">
        <f>SUM('DBB CMGC Beta Uncertainty Stdrs'!AS67:AZ67,1)</f>
        <v>1.35</v>
      </c>
      <c r="L9" s="148">
        <f>SUM('DBB CMGC Beta Uncertainty Stdrs'!AS68:AZ68,1)</f>
        <v>1.6</v>
      </c>
      <c r="M9" s="149">
        <f>SUM('DBB CMGC Beta Uncertainty Stdrs'!AS69:AZ69,1)</f>
        <v>2.2999999999999998</v>
      </c>
    </row>
    <row r="10" spans="1:13">
      <c r="A10" s="1208" t="s">
        <v>114</v>
      </c>
      <c r="B10" s="1209"/>
      <c r="C10" s="147">
        <f>SUM('DBB CMGC Beta Uncertainty Stdrs'!BB5:BJ5,1)</f>
        <v>1.35</v>
      </c>
      <c r="D10" s="148">
        <v>1.8</v>
      </c>
      <c r="E10" s="148">
        <f>SUM('DBB CMGC Beta Uncertainty Stdrs'!BC54:BJ54,1)</f>
        <v>1.4</v>
      </c>
      <c r="F10" s="148">
        <f>SUM('DBB CMGC Beta Uncertainty Stdrs'!BC62:BJ62,1)</f>
        <v>1.05</v>
      </c>
      <c r="G10" s="148">
        <f>SUM('DBB CMGC Beta Uncertainty Stdrs'!BC63:BJ63,1)</f>
        <v>1.05</v>
      </c>
      <c r="H10" s="148">
        <f>SUM('DBB CMGC Beta Uncertainty Stdrs'!BC64:BJ64,1)</f>
        <v>1.4</v>
      </c>
      <c r="I10" s="148">
        <f>SUM('DBB CMGC Beta Uncertainty Stdrs'!BC65:BJ65,1)</f>
        <v>1.6</v>
      </c>
      <c r="J10" s="148">
        <f>SUM('DBB CMGC Beta Uncertainty Stdrs'!BC66:BJ66,1)</f>
        <v>1.1499999999999999</v>
      </c>
      <c r="K10" s="148">
        <f>SUM('DBB CMGC Beta Uncertainty Stdrs'!BC67:BJ67,1)</f>
        <v>1.25</v>
      </c>
      <c r="L10" s="148">
        <f>SUM('DBB CMGC Beta Uncertainty Stdrs'!BC68:BJ68,1)</f>
        <v>1.5</v>
      </c>
      <c r="M10" s="149">
        <f>SUM('DBB CMGC Beta Uncertainty Stdrs'!BC69:BJ69,1)</f>
        <v>2.1</v>
      </c>
    </row>
    <row r="11" spans="1:13">
      <c r="A11" s="1208" t="s">
        <v>115</v>
      </c>
      <c r="B11" s="1209"/>
      <c r="C11" s="147">
        <f>SUM('DBB CMGC Beta Uncertainty Stdrs'!BL5:BT5,1)</f>
        <v>1.2</v>
      </c>
      <c r="D11" s="148">
        <f>SUM('DBB CMGC Beta Uncertainty Stdrs'!BM51:BT51,1)</f>
        <v>1.6</v>
      </c>
      <c r="E11" s="148">
        <f>SUM('DBB CMGC Beta Uncertainty Stdrs'!BM54:BT54,1)</f>
        <v>1.2</v>
      </c>
      <c r="F11" s="148">
        <f>SUM('DBB CMGC Beta Uncertainty Stdrs'!BM62:BT62,1)</f>
        <v>1.05</v>
      </c>
      <c r="G11" s="148">
        <f>SUM('DBB CMGC Beta Uncertainty Stdrs'!BM63:BT63,1)</f>
        <v>1.05</v>
      </c>
      <c r="H11" s="148">
        <f>SUM('DBB CMGC Beta Uncertainty Stdrs'!BM64:BT64,1)</f>
        <v>1.3</v>
      </c>
      <c r="I11" s="148">
        <f>SUM('DBB CMGC Beta Uncertainty Stdrs'!BM65:BT65,1)</f>
        <v>1.4</v>
      </c>
      <c r="J11" s="148">
        <f>SUM('DBB CMGC Beta Uncertainty Stdrs'!BM66:BT66,1)</f>
        <v>1.1000000000000001</v>
      </c>
      <c r="K11" s="148">
        <f>SUM('DBB CMGC Beta Uncertainty Stdrs'!BM67:BT67,1)</f>
        <v>1.1499999999999999</v>
      </c>
      <c r="L11" s="148">
        <f>SUM('DBB CMGC Beta Uncertainty Stdrs'!BM68:BT68,1)</f>
        <v>1.3</v>
      </c>
      <c r="M11" s="149">
        <f>SUM('DBB CMGC Beta Uncertainty Stdrs'!BM69:BT69,1)</f>
        <v>1.95</v>
      </c>
    </row>
    <row r="12" spans="1:13">
      <c r="A12" s="1208" t="s">
        <v>116</v>
      </c>
      <c r="B12" s="1209"/>
      <c r="C12" s="147">
        <f>SUM('DBB CMGC Beta Uncertainty Stdrs'!BV5:CD5,1)</f>
        <v>1.1499999999999999</v>
      </c>
      <c r="D12" s="148">
        <f>SUM('DBB CMGC Beta Uncertainty Stdrs'!BW51:CD51,1)</f>
        <v>1.35</v>
      </c>
      <c r="E12" s="148">
        <f>SUM('DBB CMGC Beta Uncertainty Stdrs'!BW54:CD54,1)</f>
        <v>1.1000000000000001</v>
      </c>
      <c r="F12" s="148">
        <f>SUM('DBB CMGC Beta Uncertainty Stdrs'!BW62:CD62,1)</f>
        <v>1.05</v>
      </c>
      <c r="G12" s="148">
        <f>SUM('DBB CMGC Beta Uncertainty Stdrs'!BW63:CD63,1)</f>
        <v>1.05</v>
      </c>
      <c r="H12" s="148">
        <f>SUM('DBB CMGC Beta Uncertainty Stdrs'!BW64:CD64,1)</f>
        <v>1.1499999999999999</v>
      </c>
      <c r="I12" s="148">
        <f>SUM('DBB CMGC Beta Uncertainty Stdrs'!BW65:CD65,1)</f>
        <v>1.35</v>
      </c>
      <c r="J12" s="148">
        <f>SUM('DBB CMGC Beta Uncertainty Stdrs'!BW66:CD66,1)</f>
        <v>1.05</v>
      </c>
      <c r="K12" s="148">
        <f>SUM('DBB CMGC Beta Uncertainty Stdrs'!BW67:CD67,1)</f>
        <v>1.1000000000000001</v>
      </c>
      <c r="L12" s="148">
        <f>SUM('DBB CMGC Beta Uncertainty Stdrs'!BW68:CD68,1)</f>
        <v>1.2</v>
      </c>
      <c r="M12" s="149">
        <f>SUM('DBB CMGC Beta Uncertainty Stdrs'!BW69:CD69,1)</f>
        <v>1.85</v>
      </c>
    </row>
    <row r="13" spans="1:13" ht="15.75" thickBot="1">
      <c r="A13" s="1210" t="s">
        <v>117</v>
      </c>
      <c r="B13" s="1211"/>
      <c r="C13" s="150">
        <f>SUM('DBB CMGC Beta Uncertainty Stdrs'!CF5:CN5,1)</f>
        <v>1.1000000000000001</v>
      </c>
      <c r="D13" s="151">
        <f>SUM('DBB CMGC Beta Uncertainty Stdrs'!CG51:CN51,1)</f>
        <v>1.1499999999999999</v>
      </c>
      <c r="E13" s="151">
        <f>SUM('DBB CMGC Beta Uncertainty Stdrs'!CG54:CN54,1)</f>
        <v>1.05</v>
      </c>
      <c r="F13" s="151">
        <f>SUM('DBB CMGC Beta Uncertainty Stdrs'!CG62:CN62,1)</f>
        <v>1.05</v>
      </c>
      <c r="G13" s="151">
        <f>SUM('DBB CMGC Beta Uncertainty Stdrs'!CG63:CN63,1)</f>
        <v>1.05</v>
      </c>
      <c r="H13" s="151">
        <f>SUM('DBB CMGC Beta Uncertainty Stdrs'!CG64:CN64,1)</f>
        <v>1.1000000000000001</v>
      </c>
      <c r="I13" s="151">
        <f>SUM('DBB CMGC Beta Uncertainty Stdrs'!CG65:CN65,1)</f>
        <v>1.1499999999999999</v>
      </c>
      <c r="J13" s="151">
        <f>SUM('DBB CMGC Beta Uncertainty Stdrs'!CG66:CN66,1)</f>
        <v>1.05</v>
      </c>
      <c r="K13" s="151">
        <f>SUM('DBB CMGC Beta Uncertainty Stdrs'!CG67:CN67,1)</f>
        <v>1.05</v>
      </c>
      <c r="L13" s="151">
        <f>SUM('DBB CMGC Beta Uncertainty Stdrs'!CG68:CN68,1)</f>
        <v>1.1499999999999999</v>
      </c>
      <c r="M13" s="152">
        <f>SUM('DBB CMGC Beta Uncertainty Stdrs'!CG69:CN69,1)</f>
        <v>1.45</v>
      </c>
    </row>
    <row r="32" spans="1:7" s="153" customFormat="1" ht="21">
      <c r="A32"/>
      <c r="B32"/>
      <c r="C32"/>
      <c r="D32"/>
      <c r="E32"/>
      <c r="F32"/>
      <c r="G32"/>
    </row>
    <row r="33" spans="1:7">
      <c r="A33"/>
      <c r="B33"/>
      <c r="C33"/>
      <c r="D33"/>
      <c r="E33"/>
      <c r="F33"/>
      <c r="G33"/>
    </row>
    <row r="34" spans="1:7">
      <c r="A34"/>
      <c r="B34"/>
      <c r="C34"/>
      <c r="D34"/>
      <c r="E34"/>
      <c r="F34"/>
      <c r="G34"/>
    </row>
    <row r="35" spans="1:7">
      <c r="A35"/>
      <c r="B35"/>
      <c r="C35"/>
      <c r="D35"/>
      <c r="E35"/>
      <c r="F35"/>
      <c r="G35"/>
    </row>
    <row r="36" spans="1:7">
      <c r="A36"/>
      <c r="B36"/>
      <c r="C36"/>
      <c r="D36"/>
      <c r="E36"/>
      <c r="F36"/>
      <c r="G36"/>
    </row>
    <row r="37" spans="1:7">
      <c r="A37"/>
      <c r="B37"/>
      <c r="C37"/>
      <c r="D37"/>
      <c r="E37"/>
      <c r="F37"/>
      <c r="G37"/>
    </row>
    <row r="38" spans="1:7">
      <c r="A38"/>
      <c r="B38"/>
      <c r="C38"/>
      <c r="D38"/>
      <c r="E38"/>
      <c r="F38"/>
      <c r="G38"/>
    </row>
    <row r="39" spans="1:7">
      <c r="A39"/>
      <c r="B39"/>
      <c r="C39"/>
      <c r="D39"/>
      <c r="E39"/>
      <c r="F39"/>
      <c r="G39"/>
    </row>
    <row r="40" spans="1:7">
      <c r="A40"/>
      <c r="B40"/>
      <c r="C40"/>
      <c r="D40"/>
      <c r="E40"/>
      <c r="F40"/>
      <c r="G40"/>
    </row>
    <row r="41" spans="1:7">
      <c r="A41"/>
      <c r="B41"/>
      <c r="C41"/>
      <c r="D41"/>
      <c r="E41"/>
      <c r="F41"/>
      <c r="G41"/>
    </row>
    <row r="42" spans="1:7">
      <c r="A42"/>
      <c r="B42"/>
      <c r="C42"/>
      <c r="D42"/>
      <c r="E42"/>
      <c r="F42"/>
      <c r="G42"/>
    </row>
    <row r="43" spans="1:7">
      <c r="A43"/>
      <c r="B43"/>
      <c r="C43"/>
      <c r="D43"/>
      <c r="E43"/>
      <c r="F43"/>
      <c r="G43"/>
    </row>
    <row r="44" spans="1:7">
      <c r="A44"/>
      <c r="B44"/>
      <c r="C44"/>
      <c r="D44"/>
      <c r="E44"/>
      <c r="F44"/>
      <c r="G44"/>
    </row>
    <row r="45" spans="1:7">
      <c r="A45"/>
      <c r="B45"/>
      <c r="C45"/>
      <c r="D45"/>
      <c r="E45"/>
      <c r="F45"/>
      <c r="G45"/>
    </row>
    <row r="46" spans="1:7">
      <c r="A46"/>
      <c r="B46"/>
      <c r="C46"/>
      <c r="D46"/>
      <c r="E46"/>
      <c r="F46"/>
      <c r="G46"/>
    </row>
    <row r="47" spans="1:7">
      <c r="A47"/>
      <c r="B47"/>
      <c r="C47"/>
      <c r="D47"/>
      <c r="E47"/>
      <c r="F47"/>
      <c r="G47"/>
    </row>
    <row r="48" spans="1:7">
      <c r="A48"/>
      <c r="B48"/>
      <c r="C48"/>
      <c r="D48"/>
      <c r="E48"/>
      <c r="F48"/>
      <c r="G48"/>
    </row>
    <row r="49" spans="1:7">
      <c r="A49"/>
      <c r="B49"/>
      <c r="C49"/>
      <c r="D49"/>
      <c r="E49"/>
      <c r="F49"/>
      <c r="G49"/>
    </row>
    <row r="50" spans="1:7">
      <c r="A50"/>
      <c r="B50"/>
      <c r="C50"/>
      <c r="D50"/>
      <c r="E50"/>
      <c r="F50"/>
      <c r="G50"/>
    </row>
    <row r="51" spans="1:7">
      <c r="A51"/>
      <c r="B51"/>
      <c r="C51"/>
      <c r="D51"/>
      <c r="E51"/>
      <c r="F51"/>
      <c r="G51"/>
    </row>
    <row r="52" spans="1:7">
      <c r="A52"/>
      <c r="B52"/>
      <c r="C52"/>
      <c r="D52"/>
      <c r="E52"/>
      <c r="F52"/>
      <c r="G52"/>
    </row>
    <row r="53" spans="1:7">
      <c r="A53"/>
      <c r="B53"/>
      <c r="C53"/>
      <c r="D53"/>
      <c r="E53"/>
      <c r="F53"/>
      <c r="G53"/>
    </row>
    <row r="54" spans="1:7">
      <c r="A54"/>
      <c r="B54"/>
      <c r="C54"/>
      <c r="D54"/>
      <c r="E54"/>
      <c r="F54"/>
      <c r="G54"/>
    </row>
    <row r="55" spans="1:7">
      <c r="A55"/>
      <c r="B55"/>
      <c r="C55"/>
      <c r="D55"/>
      <c r="E55"/>
      <c r="F55"/>
      <c r="G55"/>
    </row>
    <row r="56" spans="1:7">
      <c r="A56"/>
      <c r="B56"/>
      <c r="C56"/>
      <c r="D56"/>
      <c r="E56"/>
      <c r="F56"/>
      <c r="G56"/>
    </row>
    <row r="57" spans="1:7">
      <c r="A57"/>
      <c r="B57"/>
      <c r="C57"/>
      <c r="D57"/>
      <c r="E57"/>
      <c r="F57"/>
      <c r="G57"/>
    </row>
    <row r="58" spans="1:7">
      <c r="A58"/>
      <c r="B58"/>
      <c r="C58"/>
      <c r="D58"/>
      <c r="E58"/>
      <c r="F58"/>
      <c r="G58"/>
    </row>
    <row r="59" spans="1:7">
      <c r="A59"/>
      <c r="B59"/>
      <c r="C59"/>
      <c r="D59"/>
      <c r="E59"/>
      <c r="F59"/>
      <c r="G59"/>
    </row>
    <row r="60" spans="1:7">
      <c r="A60"/>
      <c r="B60"/>
      <c r="C60"/>
      <c r="D60"/>
      <c r="E60"/>
      <c r="F60"/>
      <c r="G60"/>
    </row>
    <row r="61" spans="1:7">
      <c r="A61"/>
      <c r="B61"/>
      <c r="C61"/>
      <c r="D61"/>
      <c r="E61"/>
      <c r="F61"/>
      <c r="G61"/>
    </row>
    <row r="62" spans="1:7">
      <c r="A62"/>
      <c r="B62"/>
      <c r="C62"/>
      <c r="D62"/>
      <c r="E62"/>
      <c r="F62"/>
      <c r="G62"/>
    </row>
  </sheetData>
  <sheetProtection algorithmName="SHA-512" hashValue="/FzxTbnVNsiiB7DSagU6/H2MqDz1sLd2ECqxLaq4ackD6yu7wWYm04VjqPOWgPdbVufeiFB6zZYLtvyZQiTa5Q==" saltValue="u1UQgOmShLefAvhFAkAjbg==" spinCount="100000" sheet="1" scenarios="1" formatCells="0" formatColumns="0" formatRows="0"/>
  <mergeCells count="10">
    <mergeCell ref="A9:B9"/>
    <mergeCell ref="A10:B10"/>
    <mergeCell ref="A11:B11"/>
    <mergeCell ref="A12:B12"/>
    <mergeCell ref="A13:B13"/>
    <mergeCell ref="A1:M1"/>
    <mergeCell ref="A5:B5"/>
    <mergeCell ref="A6:B6"/>
    <mergeCell ref="A7:B7"/>
    <mergeCell ref="A8:B8"/>
  </mergeCells>
  <pageMargins left="0.7" right="0.7" top="0.75" bottom="0.75" header="0.3" footer="0.3"/>
  <pageSetup scale="59"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920B-8732-B74F-B4CA-FEC628C77775}">
  <sheetPr codeName="Sheet30">
    <tabColor theme="0" tint="-0.499984740745262"/>
  </sheetPr>
  <dimension ref="A1:I40"/>
  <sheetViews>
    <sheetView zoomScale="85" zoomScaleNormal="85" workbookViewId="0">
      <pane xSplit="1" ySplit="2" topLeftCell="B3" activePane="bottomRight" state="frozen"/>
      <selection pane="topRight" activeCell="B1" sqref="B1"/>
      <selection pane="bottomLeft" activeCell="A3" sqref="A3"/>
      <selection pane="bottomRight" activeCell="B1" sqref="B1:I1"/>
    </sheetView>
  </sheetViews>
  <sheetFormatPr defaultColWidth="11.42578125" defaultRowHeight="12.75"/>
  <cols>
    <col min="1" max="1" width="1.42578125" style="523" customWidth="1"/>
    <col min="2" max="2" width="65.85546875" bestFit="1" customWidth="1"/>
    <col min="3" max="3" width="11.42578125" bestFit="1" customWidth="1"/>
    <col min="4" max="4" width="13.85546875" bestFit="1" customWidth="1"/>
    <col min="5" max="5" width="12.85546875" bestFit="1" customWidth="1"/>
    <col min="6" max="6" width="11.85546875" customWidth="1"/>
    <col min="7" max="7" width="14.140625" customWidth="1"/>
    <col min="8" max="8" width="12.85546875" bestFit="1" customWidth="1"/>
    <col min="9" max="9" width="13.5703125" customWidth="1"/>
  </cols>
  <sheetData>
    <row r="1" spans="2:9" s="770" customFormat="1" ht="133.5" customHeight="1" thickBot="1">
      <c r="B1" s="1212" t="s">
        <v>496</v>
      </c>
      <c r="C1" s="1213"/>
      <c r="D1" s="1213"/>
      <c r="E1" s="1213"/>
      <c r="F1" s="1213"/>
      <c r="G1" s="1213"/>
      <c r="H1" s="1213"/>
      <c r="I1" s="1214"/>
    </row>
    <row r="2" spans="2:9" ht="141.75">
      <c r="B2" s="518" t="s">
        <v>476</v>
      </c>
      <c r="C2" s="519" t="s">
        <v>221</v>
      </c>
      <c r="D2" s="519" t="s">
        <v>222</v>
      </c>
      <c r="E2" s="519" t="s">
        <v>475</v>
      </c>
      <c r="F2" s="519" t="s">
        <v>426</v>
      </c>
      <c r="G2" s="519" t="s">
        <v>224</v>
      </c>
      <c r="H2" s="519" t="s">
        <v>497</v>
      </c>
      <c r="I2" s="520" t="s">
        <v>495</v>
      </c>
    </row>
    <row r="3" spans="2:9" ht="15">
      <c r="B3" s="607"/>
      <c r="C3" s="608"/>
      <c r="D3" s="608"/>
      <c r="E3" s="646"/>
      <c r="F3" s="608"/>
      <c r="G3" s="608"/>
      <c r="H3" s="646"/>
      <c r="I3" s="521" t="str">
        <f t="shared" ref="I3:I40" si="0">IF(G3="C",((1/BETAINV(RA_contingency_percent,RA_alpha,RA_beta))*H3)/E3,IF(G3="W",H3/E3,"C or W ?"))</f>
        <v>C or W ?</v>
      </c>
    </row>
    <row r="4" spans="2:9" ht="15">
      <c r="B4" s="607"/>
      <c r="C4" s="608"/>
      <c r="D4" s="608"/>
      <c r="E4" s="646"/>
      <c r="F4" s="608"/>
      <c r="G4" s="608"/>
      <c r="H4" s="646"/>
      <c r="I4" s="521" t="str">
        <f t="shared" si="0"/>
        <v>C or W ?</v>
      </c>
    </row>
    <row r="5" spans="2:9" ht="15">
      <c r="B5" s="607"/>
      <c r="C5" s="608"/>
      <c r="D5" s="608"/>
      <c r="E5" s="646"/>
      <c r="F5" s="608"/>
      <c r="G5" s="608"/>
      <c r="H5" s="646"/>
      <c r="I5" s="521" t="str">
        <f t="shared" si="0"/>
        <v>C or W ?</v>
      </c>
    </row>
    <row r="6" spans="2:9" ht="15">
      <c r="B6" s="607"/>
      <c r="C6" s="608"/>
      <c r="D6" s="608"/>
      <c r="E6" s="646"/>
      <c r="F6" s="608"/>
      <c r="G6" s="608"/>
      <c r="H6" s="646"/>
      <c r="I6" s="521" t="str">
        <f t="shared" si="0"/>
        <v>C or W ?</v>
      </c>
    </row>
    <row r="7" spans="2:9" ht="15">
      <c r="B7" s="607"/>
      <c r="C7" s="608"/>
      <c r="D7" s="608"/>
      <c r="E7" s="646"/>
      <c r="F7" s="608"/>
      <c r="G7" s="608"/>
      <c r="H7" s="646"/>
      <c r="I7" s="521" t="str">
        <f t="shared" si="0"/>
        <v>C or W ?</v>
      </c>
    </row>
    <row r="8" spans="2:9" ht="15">
      <c r="B8" s="607"/>
      <c r="C8" s="608"/>
      <c r="D8" s="608"/>
      <c r="E8" s="646"/>
      <c r="F8" s="608"/>
      <c r="G8" s="608"/>
      <c r="H8" s="646"/>
      <c r="I8" s="521" t="str">
        <f t="shared" si="0"/>
        <v>C or W ?</v>
      </c>
    </row>
    <row r="9" spans="2:9" ht="15">
      <c r="B9" s="607"/>
      <c r="C9" s="608"/>
      <c r="D9" s="608"/>
      <c r="E9" s="646"/>
      <c r="F9" s="608"/>
      <c r="G9" s="608"/>
      <c r="H9" s="646"/>
      <c r="I9" s="521" t="str">
        <f t="shared" si="0"/>
        <v>C or W ?</v>
      </c>
    </row>
    <row r="10" spans="2:9" ht="15">
      <c r="B10" s="607"/>
      <c r="C10" s="608"/>
      <c r="D10" s="608"/>
      <c r="E10" s="646"/>
      <c r="F10" s="608"/>
      <c r="G10" s="608"/>
      <c r="H10" s="646"/>
      <c r="I10" s="521" t="str">
        <f t="shared" si="0"/>
        <v>C or W ?</v>
      </c>
    </row>
    <row r="11" spans="2:9" ht="15">
      <c r="B11" s="607"/>
      <c r="C11" s="608"/>
      <c r="D11" s="608"/>
      <c r="E11" s="646"/>
      <c r="F11" s="608"/>
      <c r="G11" s="608"/>
      <c r="H11" s="646"/>
      <c r="I11" s="521" t="str">
        <f t="shared" si="0"/>
        <v>C or W ?</v>
      </c>
    </row>
    <row r="12" spans="2:9" ht="15">
      <c r="B12" s="607"/>
      <c r="C12" s="608"/>
      <c r="D12" s="608"/>
      <c r="E12" s="646"/>
      <c r="F12" s="608"/>
      <c r="G12" s="608"/>
      <c r="H12" s="646"/>
      <c r="I12" s="521" t="str">
        <f t="shared" si="0"/>
        <v>C or W ?</v>
      </c>
    </row>
    <row r="13" spans="2:9" ht="15">
      <c r="B13" s="607"/>
      <c r="C13" s="608"/>
      <c r="D13" s="608"/>
      <c r="E13" s="646"/>
      <c r="F13" s="608"/>
      <c r="G13" s="608"/>
      <c r="H13" s="646"/>
      <c r="I13" s="521" t="str">
        <f t="shared" si="0"/>
        <v>C or W ?</v>
      </c>
    </row>
    <row r="14" spans="2:9" ht="15">
      <c r="B14" s="607"/>
      <c r="C14" s="608"/>
      <c r="D14" s="608"/>
      <c r="E14" s="646"/>
      <c r="F14" s="608"/>
      <c r="G14" s="608"/>
      <c r="H14" s="646"/>
      <c r="I14" s="521" t="str">
        <f t="shared" si="0"/>
        <v>C or W ?</v>
      </c>
    </row>
    <row r="15" spans="2:9" ht="15">
      <c r="B15" s="607"/>
      <c r="C15" s="608"/>
      <c r="D15" s="608"/>
      <c r="E15" s="646"/>
      <c r="F15" s="608"/>
      <c r="G15" s="608"/>
      <c r="H15" s="646"/>
      <c r="I15" s="521" t="str">
        <f t="shared" si="0"/>
        <v>C or W ?</v>
      </c>
    </row>
    <row r="16" spans="2:9" ht="15">
      <c r="B16" s="607"/>
      <c r="C16" s="608"/>
      <c r="D16" s="608"/>
      <c r="E16" s="646"/>
      <c r="F16" s="608"/>
      <c r="G16" s="608"/>
      <c r="H16" s="646"/>
      <c r="I16" s="521" t="str">
        <f t="shared" si="0"/>
        <v>C or W ?</v>
      </c>
    </row>
    <row r="17" spans="2:9" ht="15">
      <c r="B17" s="607"/>
      <c r="C17" s="608"/>
      <c r="D17" s="608"/>
      <c r="E17" s="646"/>
      <c r="F17" s="608"/>
      <c r="G17" s="608"/>
      <c r="H17" s="646"/>
      <c r="I17" s="521" t="str">
        <f t="shared" si="0"/>
        <v>C or W ?</v>
      </c>
    </row>
    <row r="18" spans="2:9" ht="15">
      <c r="B18" s="607"/>
      <c r="C18" s="608"/>
      <c r="D18" s="608"/>
      <c r="E18" s="646"/>
      <c r="F18" s="608"/>
      <c r="G18" s="608"/>
      <c r="H18" s="646"/>
      <c r="I18" s="521" t="str">
        <f t="shared" si="0"/>
        <v>C or W ?</v>
      </c>
    </row>
    <row r="19" spans="2:9" ht="15">
      <c r="B19" s="607"/>
      <c r="C19" s="608"/>
      <c r="D19" s="608"/>
      <c r="E19" s="646"/>
      <c r="F19" s="608"/>
      <c r="G19" s="608"/>
      <c r="H19" s="646"/>
      <c r="I19" s="521" t="str">
        <f t="shared" si="0"/>
        <v>C or W ?</v>
      </c>
    </row>
    <row r="20" spans="2:9" ht="15">
      <c r="B20" s="607"/>
      <c r="C20" s="608"/>
      <c r="D20" s="608"/>
      <c r="E20" s="646"/>
      <c r="F20" s="608"/>
      <c r="G20" s="608"/>
      <c r="H20" s="646"/>
      <c r="I20" s="521" t="str">
        <f t="shared" si="0"/>
        <v>C or W ?</v>
      </c>
    </row>
    <row r="21" spans="2:9" ht="15">
      <c r="B21" s="607"/>
      <c r="C21" s="608"/>
      <c r="D21" s="608"/>
      <c r="E21" s="646"/>
      <c r="F21" s="608"/>
      <c r="G21" s="608"/>
      <c r="H21" s="646"/>
      <c r="I21" s="521" t="str">
        <f t="shared" si="0"/>
        <v>C or W ?</v>
      </c>
    </row>
    <row r="22" spans="2:9" ht="15">
      <c r="B22" s="607"/>
      <c r="C22" s="608"/>
      <c r="D22" s="608"/>
      <c r="E22" s="646"/>
      <c r="F22" s="608"/>
      <c r="G22" s="608"/>
      <c r="H22" s="646"/>
      <c r="I22" s="521" t="str">
        <f t="shared" si="0"/>
        <v>C or W ?</v>
      </c>
    </row>
    <row r="23" spans="2:9" ht="15">
      <c r="B23" s="607"/>
      <c r="C23" s="608"/>
      <c r="D23" s="608"/>
      <c r="E23" s="646"/>
      <c r="F23" s="608"/>
      <c r="G23" s="608"/>
      <c r="H23" s="646"/>
      <c r="I23" s="521" t="str">
        <f t="shared" si="0"/>
        <v>C or W ?</v>
      </c>
    </row>
    <row r="24" spans="2:9" ht="15">
      <c r="B24" s="607"/>
      <c r="C24" s="608"/>
      <c r="D24" s="608"/>
      <c r="E24" s="646"/>
      <c r="F24" s="608"/>
      <c r="G24" s="608"/>
      <c r="H24" s="646"/>
      <c r="I24" s="521" t="str">
        <f t="shared" si="0"/>
        <v>C or W ?</v>
      </c>
    </row>
    <row r="25" spans="2:9" ht="15">
      <c r="B25" s="607"/>
      <c r="C25" s="608"/>
      <c r="D25" s="608"/>
      <c r="E25" s="646"/>
      <c r="F25" s="608"/>
      <c r="G25" s="608"/>
      <c r="H25" s="646"/>
      <c r="I25" s="521" t="str">
        <f t="shared" si="0"/>
        <v>C or W ?</v>
      </c>
    </row>
    <row r="26" spans="2:9" ht="15">
      <c r="B26" s="607"/>
      <c r="C26" s="608"/>
      <c r="D26" s="608"/>
      <c r="E26" s="646"/>
      <c r="F26" s="608"/>
      <c r="G26" s="608"/>
      <c r="H26" s="646"/>
      <c r="I26" s="521" t="str">
        <f t="shared" si="0"/>
        <v>C or W ?</v>
      </c>
    </row>
    <row r="27" spans="2:9" ht="15">
      <c r="B27" s="607"/>
      <c r="C27" s="608"/>
      <c r="D27" s="608"/>
      <c r="E27" s="646"/>
      <c r="F27" s="608"/>
      <c r="G27" s="608"/>
      <c r="H27" s="646"/>
      <c r="I27" s="521" t="str">
        <f t="shared" si="0"/>
        <v>C or W ?</v>
      </c>
    </row>
    <row r="28" spans="2:9" ht="15">
      <c r="B28" s="607"/>
      <c r="C28" s="608"/>
      <c r="D28" s="608"/>
      <c r="E28" s="646"/>
      <c r="F28" s="608"/>
      <c r="G28" s="608"/>
      <c r="H28" s="646"/>
      <c r="I28" s="521" t="str">
        <f t="shared" si="0"/>
        <v>C or W ?</v>
      </c>
    </row>
    <row r="29" spans="2:9" ht="15">
      <c r="B29" s="607"/>
      <c r="C29" s="608"/>
      <c r="D29" s="608"/>
      <c r="E29" s="646"/>
      <c r="F29" s="608"/>
      <c r="G29" s="608"/>
      <c r="H29" s="646"/>
      <c r="I29" s="521" t="str">
        <f t="shared" si="0"/>
        <v>C or W ?</v>
      </c>
    </row>
    <row r="30" spans="2:9" ht="15">
      <c r="B30" s="607"/>
      <c r="C30" s="608"/>
      <c r="D30" s="608"/>
      <c r="E30" s="646"/>
      <c r="F30" s="608"/>
      <c r="G30" s="608"/>
      <c r="H30" s="646"/>
      <c r="I30" s="521" t="str">
        <f t="shared" si="0"/>
        <v>C or W ?</v>
      </c>
    </row>
    <row r="31" spans="2:9" ht="15">
      <c r="B31" s="607"/>
      <c r="C31" s="608"/>
      <c r="D31" s="608"/>
      <c r="E31" s="646"/>
      <c r="F31" s="608"/>
      <c r="G31" s="608"/>
      <c r="H31" s="646"/>
      <c r="I31" s="521" t="str">
        <f t="shared" si="0"/>
        <v>C or W ?</v>
      </c>
    </row>
    <row r="32" spans="2:9" ht="15">
      <c r="B32" s="607"/>
      <c r="C32" s="608"/>
      <c r="D32" s="608"/>
      <c r="E32" s="646"/>
      <c r="F32" s="608"/>
      <c r="G32" s="608"/>
      <c r="H32" s="646"/>
      <c r="I32" s="521" t="str">
        <f t="shared" si="0"/>
        <v>C or W ?</v>
      </c>
    </row>
    <row r="33" spans="2:9" ht="15">
      <c r="B33" s="607"/>
      <c r="C33" s="608"/>
      <c r="D33" s="608"/>
      <c r="E33" s="646"/>
      <c r="F33" s="608"/>
      <c r="G33" s="608"/>
      <c r="H33" s="646"/>
      <c r="I33" s="521" t="str">
        <f t="shared" si="0"/>
        <v>C or W ?</v>
      </c>
    </row>
    <row r="34" spans="2:9" ht="15">
      <c r="B34" s="607"/>
      <c r="C34" s="608"/>
      <c r="D34" s="608"/>
      <c r="E34" s="646"/>
      <c r="F34" s="608"/>
      <c r="G34" s="608"/>
      <c r="H34" s="646"/>
      <c r="I34" s="521" t="str">
        <f t="shared" si="0"/>
        <v>C or W ?</v>
      </c>
    </row>
    <row r="35" spans="2:9" ht="15">
      <c r="B35" s="607"/>
      <c r="C35" s="608"/>
      <c r="D35" s="608"/>
      <c r="E35" s="646"/>
      <c r="F35" s="608"/>
      <c r="G35" s="608"/>
      <c r="H35" s="646"/>
      <c r="I35" s="521" t="str">
        <f t="shared" si="0"/>
        <v>C or W ?</v>
      </c>
    </row>
    <row r="36" spans="2:9" ht="15">
      <c r="B36" s="607"/>
      <c r="C36" s="608"/>
      <c r="D36" s="608"/>
      <c r="E36" s="646"/>
      <c r="F36" s="608"/>
      <c r="G36" s="608"/>
      <c r="H36" s="646"/>
      <c r="I36" s="521" t="str">
        <f t="shared" si="0"/>
        <v>C or W ?</v>
      </c>
    </row>
    <row r="37" spans="2:9" ht="15">
      <c r="B37" s="607"/>
      <c r="C37" s="608"/>
      <c r="D37" s="608"/>
      <c r="E37" s="646"/>
      <c r="F37" s="608"/>
      <c r="G37" s="608"/>
      <c r="H37" s="646"/>
      <c r="I37" s="521" t="str">
        <f t="shared" si="0"/>
        <v>C or W ?</v>
      </c>
    </row>
    <row r="38" spans="2:9" ht="15">
      <c r="B38" s="607"/>
      <c r="C38" s="608"/>
      <c r="D38" s="608"/>
      <c r="E38" s="646"/>
      <c r="F38" s="608"/>
      <c r="G38" s="608"/>
      <c r="H38" s="646"/>
      <c r="I38" s="521" t="str">
        <f t="shared" si="0"/>
        <v>C or W ?</v>
      </c>
    </row>
    <row r="39" spans="2:9" ht="15">
      <c r="B39" s="607"/>
      <c r="C39" s="608"/>
      <c r="D39" s="608"/>
      <c r="E39" s="646"/>
      <c r="F39" s="608"/>
      <c r="G39" s="608"/>
      <c r="H39" s="646"/>
      <c r="I39" s="521" t="str">
        <f t="shared" si="0"/>
        <v>C or W ?</v>
      </c>
    </row>
    <row r="40" spans="2:9" ht="15.75" thickBot="1">
      <c r="B40" s="609"/>
      <c r="C40" s="610"/>
      <c r="D40" s="610"/>
      <c r="E40" s="647"/>
      <c r="F40" s="610"/>
      <c r="G40" s="610"/>
      <c r="H40" s="647"/>
      <c r="I40" s="522" t="str">
        <f t="shared" si="0"/>
        <v>C or W ?</v>
      </c>
    </row>
  </sheetData>
  <sheetProtection algorithmName="SHA-512" hashValue="r7JHX6y9UcHH2+bTgCeZRtpAGjC/MdkerBPDLwQCFzsJiVHWjwCToax6M6TKyHEBRx9zjNoykQgJk9IKk3cwYA==" saltValue="3TVYreBlJP1DvYcsLqfyGg==" spinCount="100000" sheet="1" scenarios="1" formatCells="0" formatColumns="0" formatRows="0"/>
  <mergeCells count="1">
    <mergeCell ref="B1:I1"/>
  </mergeCells>
  <dataValidations count="1">
    <dataValidation type="list" showInputMessage="1" showErrorMessage="1" sqref="G3:G40" xr:uid="{075A492B-777C-364A-949E-55FD168AE5E2}">
      <formula1>"C,W"</formula1>
    </dataValidation>
  </dataValidation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AF43-6E4A-994E-AE3A-9A6224807EF5}">
  <sheetPr codeName="Sheet5">
    <tabColor theme="6" tint="0.39997558519241921"/>
  </sheetPr>
  <dimension ref="B2:I38"/>
  <sheetViews>
    <sheetView zoomScaleNormal="100" workbookViewId="0">
      <selection activeCell="A30" sqref="A30"/>
    </sheetView>
  </sheetViews>
  <sheetFormatPr defaultColWidth="11.42578125" defaultRowHeight="12.75"/>
  <cols>
    <col min="1" max="1" width="3.140625" style="235" customWidth="1"/>
    <col min="2" max="16384" width="11.42578125" style="235"/>
  </cols>
  <sheetData>
    <row r="2" spans="2:9">
      <c r="B2" s="242"/>
      <c r="C2" s="242"/>
      <c r="D2" s="242"/>
      <c r="E2" s="242"/>
      <c r="F2" s="242"/>
      <c r="G2" s="242"/>
      <c r="H2" s="242"/>
      <c r="I2" s="242"/>
    </row>
    <row r="3" spans="2:9">
      <c r="B3" s="242"/>
      <c r="C3" s="242"/>
      <c r="D3" s="242"/>
      <c r="E3" s="242"/>
      <c r="F3" s="242"/>
      <c r="G3" s="242"/>
      <c r="H3" s="242"/>
      <c r="I3" s="242"/>
    </row>
    <row r="4" spans="2:9">
      <c r="B4" s="242"/>
      <c r="C4" s="242"/>
      <c r="D4" s="242"/>
      <c r="E4" s="242"/>
      <c r="F4" s="242"/>
      <c r="G4" s="242"/>
      <c r="H4" s="242"/>
      <c r="I4" s="242"/>
    </row>
    <row r="5" spans="2:9">
      <c r="B5" s="242"/>
      <c r="C5" s="242"/>
      <c r="D5" s="242"/>
      <c r="E5" s="242"/>
      <c r="F5" s="242"/>
      <c r="G5" s="242"/>
      <c r="H5" s="242"/>
      <c r="I5" s="242"/>
    </row>
    <row r="6" spans="2:9">
      <c r="B6" s="242"/>
      <c r="C6" s="242"/>
      <c r="D6" s="242"/>
      <c r="E6" s="242"/>
      <c r="F6" s="242"/>
      <c r="G6" s="242"/>
      <c r="H6" s="242"/>
      <c r="I6" s="242"/>
    </row>
    <row r="7" spans="2:9">
      <c r="B7" s="242"/>
      <c r="C7" s="242"/>
      <c r="D7" s="242"/>
      <c r="E7" s="242"/>
      <c r="F7" s="242"/>
      <c r="G7" s="242"/>
      <c r="H7" s="242"/>
      <c r="I7" s="242"/>
    </row>
    <row r="8" spans="2:9">
      <c r="B8" s="242"/>
      <c r="C8" s="242"/>
      <c r="D8" s="242"/>
      <c r="E8" s="242"/>
      <c r="F8" s="242"/>
      <c r="G8" s="242"/>
      <c r="H8" s="242"/>
      <c r="I8" s="242"/>
    </row>
    <row r="9" spans="2:9">
      <c r="B9" s="242"/>
      <c r="C9" s="242"/>
      <c r="D9" s="242"/>
      <c r="E9" s="242"/>
      <c r="F9" s="242"/>
      <c r="G9" s="242"/>
      <c r="H9" s="242"/>
      <c r="I9" s="242"/>
    </row>
    <row r="10" spans="2:9">
      <c r="B10" s="242"/>
      <c r="C10" s="242"/>
      <c r="D10" s="242"/>
      <c r="E10" s="242"/>
      <c r="F10" s="242"/>
      <c r="G10" s="242"/>
      <c r="H10" s="242"/>
      <c r="I10" s="242"/>
    </row>
    <row r="11" spans="2:9">
      <c r="B11" s="242"/>
      <c r="C11" s="242"/>
      <c r="D11" s="242"/>
      <c r="E11" s="242"/>
      <c r="F11" s="242"/>
      <c r="G11" s="242"/>
      <c r="H11" s="242"/>
      <c r="I11" s="242"/>
    </row>
    <row r="12" spans="2:9">
      <c r="B12" s="242"/>
      <c r="C12" s="242"/>
      <c r="D12" s="242"/>
      <c r="E12" s="242"/>
      <c r="F12" s="242"/>
      <c r="G12" s="242"/>
      <c r="H12" s="242"/>
      <c r="I12" s="242"/>
    </row>
    <row r="13" spans="2:9">
      <c r="B13" s="242"/>
      <c r="C13" s="242"/>
      <c r="D13" s="242"/>
      <c r="E13" s="242"/>
      <c r="F13" s="242"/>
      <c r="G13" s="242"/>
      <c r="H13" s="242"/>
      <c r="I13" s="242"/>
    </row>
    <row r="14" spans="2:9">
      <c r="B14" s="242"/>
      <c r="C14" s="242"/>
      <c r="D14" s="242"/>
      <c r="E14" s="242"/>
      <c r="F14" s="242"/>
      <c r="G14" s="242"/>
      <c r="H14" s="242"/>
      <c r="I14" s="242"/>
    </row>
    <row r="15" spans="2:9">
      <c r="B15" s="242"/>
      <c r="C15" s="242"/>
      <c r="D15" s="242"/>
      <c r="E15" s="242"/>
      <c r="F15" s="242"/>
      <c r="G15" s="242"/>
      <c r="H15" s="242"/>
      <c r="I15" s="242"/>
    </row>
    <row r="16" spans="2:9">
      <c r="B16" s="242"/>
      <c r="C16" s="242"/>
      <c r="D16" s="242"/>
      <c r="E16" s="242"/>
      <c r="F16" s="242"/>
      <c r="G16" s="242"/>
      <c r="H16" s="242"/>
      <c r="I16" s="242"/>
    </row>
    <row r="17" spans="2:9">
      <c r="B17" s="242"/>
      <c r="C17" s="242"/>
      <c r="D17" s="242"/>
      <c r="E17" s="242"/>
      <c r="F17" s="242"/>
      <c r="G17" s="242"/>
      <c r="H17" s="242"/>
      <c r="I17" s="242"/>
    </row>
    <row r="18" spans="2:9">
      <c r="B18" s="242"/>
      <c r="C18" s="242"/>
      <c r="D18" s="242"/>
      <c r="E18" s="242"/>
      <c r="F18" s="242"/>
      <c r="G18" s="242"/>
      <c r="H18" s="242"/>
      <c r="I18" s="242"/>
    </row>
    <row r="19" spans="2:9">
      <c r="B19" s="242"/>
      <c r="C19" s="242"/>
      <c r="D19" s="242"/>
      <c r="E19" s="242"/>
      <c r="F19" s="242"/>
      <c r="G19" s="242"/>
      <c r="H19" s="242"/>
      <c r="I19" s="242"/>
    </row>
    <row r="20" spans="2:9">
      <c r="B20" s="242"/>
      <c r="C20" s="242"/>
      <c r="D20" s="242"/>
      <c r="E20" s="242"/>
      <c r="F20" s="242"/>
      <c r="G20" s="242"/>
      <c r="H20" s="242"/>
      <c r="I20" s="242"/>
    </row>
    <row r="21" spans="2:9">
      <c r="B21" s="242"/>
      <c r="C21" s="242"/>
      <c r="D21" s="242"/>
      <c r="E21" s="242"/>
      <c r="F21" s="242"/>
      <c r="G21" s="242"/>
      <c r="H21" s="242"/>
      <c r="I21" s="242"/>
    </row>
    <row r="22" spans="2:9">
      <c r="B22" s="242"/>
      <c r="C22" s="242"/>
      <c r="D22" s="242"/>
      <c r="E22" s="242"/>
      <c r="F22" s="242"/>
      <c r="G22" s="242"/>
      <c r="H22" s="242"/>
      <c r="I22" s="242"/>
    </row>
    <row r="23" spans="2:9">
      <c r="B23" s="242"/>
      <c r="C23" s="242"/>
      <c r="D23" s="242"/>
      <c r="E23" s="242"/>
      <c r="F23" s="242"/>
      <c r="G23" s="242"/>
      <c r="H23" s="242"/>
      <c r="I23" s="242"/>
    </row>
    <row r="24" spans="2:9">
      <c r="B24" s="242"/>
      <c r="C24" s="242"/>
      <c r="D24" s="242"/>
      <c r="E24" s="242"/>
      <c r="F24" s="242"/>
      <c r="G24" s="242"/>
      <c r="H24" s="242"/>
      <c r="I24" s="242"/>
    </row>
    <row r="25" spans="2:9">
      <c r="B25" s="242"/>
      <c r="C25" s="242"/>
      <c r="D25" s="242"/>
      <c r="E25" s="242"/>
      <c r="F25" s="242"/>
      <c r="G25" s="242"/>
      <c r="H25" s="242"/>
      <c r="I25" s="242"/>
    </row>
    <row r="26" spans="2:9">
      <c r="B26" s="242"/>
      <c r="C26" s="242"/>
      <c r="D26" s="242"/>
      <c r="E26" s="242"/>
      <c r="F26" s="242"/>
      <c r="G26" s="242"/>
      <c r="H26" s="242"/>
      <c r="I26" s="242"/>
    </row>
    <row r="27" spans="2:9">
      <c r="B27" s="242"/>
      <c r="C27" s="242"/>
      <c r="D27" s="242"/>
      <c r="E27" s="242"/>
      <c r="F27" s="242"/>
      <c r="G27" s="242"/>
      <c r="H27" s="242"/>
      <c r="I27" s="242"/>
    </row>
    <row r="28" spans="2:9">
      <c r="B28" s="242"/>
      <c r="C28" s="242"/>
      <c r="D28" s="242"/>
      <c r="E28" s="242"/>
      <c r="F28" s="242"/>
      <c r="G28" s="242"/>
      <c r="H28" s="242"/>
      <c r="I28" s="242"/>
    </row>
    <row r="29" spans="2:9">
      <c r="B29" s="242"/>
      <c r="C29" s="242"/>
      <c r="D29" s="242"/>
      <c r="E29" s="242"/>
      <c r="F29" s="242"/>
      <c r="G29" s="242"/>
      <c r="H29" s="242"/>
      <c r="I29" s="242"/>
    </row>
    <row r="30" spans="2:9">
      <c r="B30" s="242"/>
      <c r="C30" s="242"/>
      <c r="D30" s="242"/>
      <c r="E30" s="242"/>
      <c r="F30" s="242"/>
      <c r="G30" s="242"/>
      <c r="H30" s="242"/>
      <c r="I30" s="242"/>
    </row>
    <row r="31" spans="2:9">
      <c r="B31" s="242"/>
      <c r="C31" s="242"/>
      <c r="D31" s="242"/>
      <c r="E31" s="242"/>
      <c r="F31" s="242"/>
      <c r="G31" s="242"/>
      <c r="H31" s="242"/>
      <c r="I31" s="242"/>
    </row>
    <row r="32" spans="2:9">
      <c r="B32" s="242"/>
      <c r="C32" s="242"/>
      <c r="D32" s="242"/>
      <c r="E32" s="242"/>
      <c r="F32" s="242"/>
      <c r="G32" s="242"/>
      <c r="H32" s="242"/>
      <c r="I32" s="242"/>
    </row>
    <row r="33" spans="2:9">
      <c r="B33" s="242"/>
      <c r="C33" s="242"/>
      <c r="D33" s="242"/>
      <c r="E33" s="242"/>
      <c r="F33" s="242"/>
      <c r="G33" s="242"/>
      <c r="H33" s="242"/>
      <c r="I33" s="242"/>
    </row>
    <row r="34" spans="2:9">
      <c r="B34" s="242"/>
      <c r="C34" s="242"/>
      <c r="D34" s="242"/>
      <c r="E34" s="242"/>
      <c r="F34" s="242"/>
      <c r="G34" s="242"/>
      <c r="H34" s="242"/>
      <c r="I34" s="242"/>
    </row>
    <row r="35" spans="2:9">
      <c r="B35" s="242"/>
      <c r="C35" s="242"/>
      <c r="D35" s="242"/>
      <c r="E35" s="242"/>
      <c r="F35" s="242"/>
      <c r="G35" s="242"/>
      <c r="H35" s="242"/>
      <c r="I35" s="242"/>
    </row>
    <row r="36" spans="2:9">
      <c r="B36" s="242"/>
      <c r="C36" s="242"/>
      <c r="D36" s="242"/>
      <c r="E36" s="242"/>
      <c r="F36" s="242"/>
      <c r="G36" s="242"/>
      <c r="H36" s="242"/>
      <c r="I36" s="242"/>
    </row>
    <row r="37" spans="2:9">
      <c r="B37" s="242"/>
      <c r="C37" s="242"/>
      <c r="D37" s="242"/>
      <c r="E37" s="242"/>
      <c r="F37" s="242"/>
      <c r="G37" s="242"/>
      <c r="H37" s="242"/>
      <c r="I37" s="242"/>
    </row>
    <row r="38" spans="2:9">
      <c r="B38" s="242"/>
      <c r="C38" s="242"/>
      <c r="D38" s="242"/>
      <c r="E38" s="242"/>
      <c r="F38" s="242"/>
      <c r="G38" s="242"/>
      <c r="H38" s="242"/>
      <c r="I38" s="242"/>
    </row>
  </sheetData>
  <sheetProtection algorithmName="SHA-512" hashValue="66hOpPVjbg18UjTkkpWpZ5uoopfs0X7Kcll9Wn3/ckWpG5pupYV8X7jRU+Jy7z4AKW49Yvxzmg5zS8CNBb90+w==" saltValue="JYbegGXra6pr44E9F5rcow==" spinCount="100000" sheet="1" objects="1" scenarios="1" formatCells="0" formatColumns="0" formatRows="0"/>
  <pageMargins left="0.7" right="0.7" top="0.75" bottom="0.75" header="0.3" footer="0.3"/>
  <pageSetup orientation="portrait" horizontalDpi="0" verticalDpi="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24F7-1192-E541-960A-2B1BFDEF49B8}">
  <sheetPr codeName="Sheet31">
    <tabColor theme="0" tint="-0.499984740745262"/>
  </sheetPr>
  <dimension ref="A1:AW58"/>
  <sheetViews>
    <sheetView zoomScale="85" zoomScaleNormal="85" workbookViewId="0">
      <selection activeCell="B1" sqref="B1:P1"/>
    </sheetView>
  </sheetViews>
  <sheetFormatPr defaultColWidth="11.42578125" defaultRowHeight="12.75"/>
  <cols>
    <col min="1" max="1" width="2.42578125" customWidth="1"/>
    <col min="2" max="2" width="29" customWidth="1"/>
    <col min="3" max="3" width="6.85546875" bestFit="1" customWidth="1"/>
    <col min="4" max="4" width="4" customWidth="1"/>
    <col min="5" max="5" width="9.5703125" bestFit="1" customWidth="1"/>
    <col min="6" max="6" width="35.140625" bestFit="1" customWidth="1"/>
    <col min="7" max="7" width="2" customWidth="1"/>
    <col min="8" max="8" width="4.5703125" bestFit="1" customWidth="1"/>
    <col min="9" max="9" width="4.85546875" customWidth="1"/>
    <col min="10" max="10" width="4.5703125" bestFit="1" customWidth="1"/>
    <col min="11" max="11" width="5.140625" customWidth="1"/>
    <col min="12" max="12" width="4.5703125" bestFit="1" customWidth="1"/>
    <col min="13" max="13" width="4.5703125" customWidth="1"/>
    <col min="14" max="14" width="4.5703125" bestFit="1" customWidth="1"/>
    <col min="15" max="15" width="6.42578125" customWidth="1"/>
    <col min="16" max="16" width="12.5703125" customWidth="1"/>
    <col min="17" max="17" width="2.42578125" customWidth="1"/>
    <col min="18" max="18" width="25.140625" bestFit="1" customWidth="1"/>
    <col min="19" max="19" width="6.85546875" customWidth="1"/>
    <col min="20" max="20" width="6.85546875" bestFit="1" customWidth="1"/>
    <col min="21" max="21" width="6" bestFit="1" customWidth="1"/>
    <col min="22" max="22" width="7.140625" bestFit="1" customWidth="1"/>
    <col min="23" max="23" width="6.5703125" bestFit="1" customWidth="1"/>
    <col min="24" max="24" width="12.42578125" customWidth="1"/>
    <col min="25" max="26" width="6.140625" bestFit="1" customWidth="1"/>
  </cols>
  <sheetData>
    <row r="1" spans="1:49" s="92" customFormat="1" ht="33.950000000000003" customHeight="1" thickBot="1">
      <c r="B1" s="1215" t="s">
        <v>588</v>
      </c>
      <c r="C1" s="1216"/>
      <c r="D1" s="1216"/>
      <c r="E1" s="1216"/>
      <c r="F1" s="1216"/>
      <c r="G1" s="1216"/>
      <c r="H1" s="1216"/>
      <c r="I1" s="1216"/>
      <c r="J1" s="1216"/>
      <c r="K1" s="1216"/>
      <c r="L1" s="1216"/>
      <c r="M1" s="1216"/>
      <c r="N1" s="1216"/>
      <c r="O1" s="1216"/>
      <c r="P1" s="1217"/>
      <c r="Q1"/>
      <c r="R1"/>
    </row>
    <row r="2" spans="1:49" ht="13.5" thickBot="1">
      <c r="G2" s="3"/>
      <c r="H2" s="3"/>
      <c r="I2" s="3"/>
    </row>
    <row r="3" spans="1:49" ht="19.5" thickBot="1">
      <c r="B3" s="1221" t="s">
        <v>419</v>
      </c>
      <c r="C3" s="1223"/>
      <c r="D3" s="390"/>
      <c r="E3" s="1221" t="s">
        <v>420</v>
      </c>
      <c r="F3" s="1222"/>
      <c r="G3" s="1222"/>
      <c r="H3" s="1222"/>
      <c r="I3" s="1222"/>
      <c r="J3" s="1222"/>
      <c r="K3" s="1222"/>
      <c r="L3" s="1222"/>
      <c r="M3" s="1222"/>
      <c r="N3" s="1222"/>
      <c r="O3" s="1222"/>
      <c r="P3" s="1223"/>
    </row>
    <row r="4" spans="1:49" ht="12.95" customHeight="1">
      <c r="B4" s="489" t="s">
        <v>393</v>
      </c>
      <c r="C4" s="611">
        <v>0.15</v>
      </c>
      <c r="E4" s="441" t="s">
        <v>11</v>
      </c>
      <c r="F4" s="442" t="s">
        <v>12</v>
      </c>
      <c r="G4" s="443"/>
      <c r="H4" s="1218" t="s">
        <v>2</v>
      </c>
      <c r="I4" s="1219"/>
      <c r="J4" s="1220" t="s">
        <v>3</v>
      </c>
      <c r="K4" s="1219"/>
      <c r="L4" s="1220" t="s">
        <v>4</v>
      </c>
      <c r="M4" s="1219"/>
      <c r="N4" s="1220" t="s">
        <v>5</v>
      </c>
      <c r="O4" s="1219"/>
      <c r="P4" s="444" t="s">
        <v>425</v>
      </c>
    </row>
    <row r="5" spans="1:49" ht="16.5" thickBot="1">
      <c r="B5" s="1224" t="str">
        <f>IF(PMDsgnPct&lt;15%,"Dsgn % must be 15% or more","")</f>
        <v/>
      </c>
      <c r="C5" s="1225"/>
      <c r="D5" s="3"/>
      <c r="E5" s="440" t="s">
        <v>220</v>
      </c>
      <c r="F5" s="439" t="s">
        <v>422</v>
      </c>
      <c r="G5" s="435"/>
      <c r="H5" s="490"/>
      <c r="I5" s="488"/>
      <c r="J5" s="435"/>
      <c r="K5" s="435"/>
      <c r="L5" s="435"/>
      <c r="M5" s="435"/>
      <c r="N5" s="435"/>
      <c r="O5" s="435"/>
      <c r="P5" s="491"/>
    </row>
    <row r="6" spans="1:49" ht="13.5" thickBot="1">
      <c r="B6" s="461" t="s">
        <v>395</v>
      </c>
      <c r="C6" s="612">
        <v>0</v>
      </c>
      <c r="D6" s="3"/>
      <c r="E6" s="445"/>
      <c r="F6" s="446" t="s">
        <v>423</v>
      </c>
      <c r="G6" s="431"/>
      <c r="H6" s="492">
        <f>Y14</f>
        <v>0.15</v>
      </c>
      <c r="I6" s="431"/>
      <c r="J6" s="492">
        <f>Y20</f>
        <v>0.6</v>
      </c>
      <c r="K6" s="431"/>
      <c r="L6" s="492">
        <f>Y27</f>
        <v>0.25</v>
      </c>
      <c r="M6" s="431"/>
      <c r="N6" s="492">
        <f>Y31</f>
        <v>0.45</v>
      </c>
      <c r="O6" s="431"/>
      <c r="P6" s="492">
        <f>Y37</f>
        <v>0.05</v>
      </c>
    </row>
    <row r="7" spans="1:49">
      <c r="B7" s="473"/>
      <c r="C7" s="56"/>
      <c r="D7" s="3"/>
    </row>
    <row r="8" spans="1:49">
      <c r="B8" s="461" t="s">
        <v>396</v>
      </c>
      <c r="C8" s="612">
        <v>0</v>
      </c>
      <c r="D8" s="3"/>
    </row>
    <row r="9" spans="1:49">
      <c r="B9" s="37"/>
      <c r="C9" s="56"/>
      <c r="D9" s="3"/>
    </row>
    <row r="10" spans="1:49" ht="13.5" thickBot="1">
      <c r="B10" s="462" t="s">
        <v>410</v>
      </c>
      <c r="C10" s="613">
        <v>0</v>
      </c>
      <c r="D10" s="3"/>
    </row>
    <row r="11" spans="1:49" ht="19.5" thickBot="1">
      <c r="A11" s="3"/>
      <c r="B11" s="397"/>
      <c r="C11" s="3"/>
      <c r="D11" s="3"/>
      <c r="R11" s="1221" t="s">
        <v>421</v>
      </c>
      <c r="S11" s="1222"/>
      <c r="T11" s="1222"/>
      <c r="U11" s="1222"/>
      <c r="V11" s="1222"/>
      <c r="W11" s="1222"/>
      <c r="X11" s="1222"/>
      <c r="Y11" s="1222"/>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row>
    <row r="12" spans="1:49" ht="18.75">
      <c r="A12" s="3"/>
      <c r="B12" s="397"/>
      <c r="C12" s="3"/>
      <c r="R12" s="1229" t="s">
        <v>374</v>
      </c>
      <c r="S12" s="1230"/>
      <c r="T12" s="1230"/>
      <c r="U12" s="1230"/>
      <c r="V12" s="1230"/>
      <c r="W12" s="1230"/>
      <c r="X12" s="1230"/>
      <c r="Y12" s="1231"/>
    </row>
    <row r="13" spans="1:49" ht="13.5" thickBot="1">
      <c r="A13" s="3"/>
      <c r="B13" s="397"/>
      <c r="C13" s="3"/>
      <c r="R13" s="401"/>
      <c r="S13" s="33"/>
      <c r="T13" s="33"/>
      <c r="U13" s="33"/>
      <c r="V13" s="33"/>
      <c r="W13" s="33"/>
      <c r="X13" s="33"/>
      <c r="Y13" s="56"/>
    </row>
    <row r="14" spans="1:49" ht="13.5" thickBot="1">
      <c r="R14" s="391" t="s">
        <v>375</v>
      </c>
      <c r="S14" s="33"/>
      <c r="T14" s="33"/>
      <c r="U14" s="33"/>
      <c r="V14" s="1226" t="s">
        <v>376</v>
      </c>
      <c r="W14" s="1227"/>
      <c r="X14" s="1228"/>
      <c r="Y14" s="449">
        <f>SUM(Y16:Y18)</f>
        <v>0.15</v>
      </c>
    </row>
    <row r="15" spans="1:49" ht="39.950000000000003" customHeight="1">
      <c r="F15" s="389"/>
      <c r="R15" s="392" t="s">
        <v>377</v>
      </c>
      <c r="S15" s="378" t="s">
        <v>378</v>
      </c>
      <c r="T15" s="379" t="s">
        <v>379</v>
      </c>
      <c r="U15" s="380" t="s">
        <v>380</v>
      </c>
      <c r="V15" s="298" t="s">
        <v>381</v>
      </c>
      <c r="W15" s="298" t="s">
        <v>382</v>
      </c>
      <c r="X15" s="378" t="s">
        <v>424</v>
      </c>
      <c r="Y15" s="448" t="s">
        <v>384</v>
      </c>
    </row>
    <row r="16" spans="1:49">
      <c r="R16" s="394" t="s">
        <v>385</v>
      </c>
      <c r="S16" s="395">
        <v>0.15</v>
      </c>
      <c r="T16" s="381">
        <v>0.3</v>
      </c>
      <c r="U16" s="415">
        <f>(W16-V16)/(T16-S16)</f>
        <v>-0.33333333333333326</v>
      </c>
      <c r="V16" s="383">
        <v>0.15</v>
      </c>
      <c r="W16" s="383">
        <v>0.1</v>
      </c>
      <c r="X16" s="398">
        <f>IF(AND(PMDsgnPct&gt;=S16,PMDsgnPct&lt;T16),((PMDsgnPct-S16)*U16),"XXX")</f>
        <v>0</v>
      </c>
      <c r="Y16" s="399">
        <f>IF(X16&lt;&gt;"XXX",V16+X16,"XXX")</f>
        <v>0.15</v>
      </c>
    </row>
    <row r="17" spans="18:25">
      <c r="R17" s="394" t="s">
        <v>385</v>
      </c>
      <c r="S17" s="395">
        <v>0.3</v>
      </c>
      <c r="T17" s="381">
        <v>0.6</v>
      </c>
      <c r="U17" s="415">
        <f>(W17-V17)/(T17-S17)</f>
        <v>-0.33333333333333337</v>
      </c>
      <c r="V17" s="383">
        <f>W16</f>
        <v>0.1</v>
      </c>
      <c r="W17" s="383">
        <v>0</v>
      </c>
      <c r="X17" s="400" t="str">
        <f>IF(AND(PMDsgnPct&gt;=S17,PMDsgnPct&lt;T17),((PMDsgnPct-S17)*U17),"XXX")</f>
        <v>XXX</v>
      </c>
      <c r="Y17" s="34" t="str">
        <f>IF(X17&lt;&gt;"XXX",V17+X17,"XXX")</f>
        <v>XXX</v>
      </c>
    </row>
    <row r="18" spans="18:25">
      <c r="R18" s="396" t="s">
        <v>385</v>
      </c>
      <c r="S18" s="384">
        <v>0.6</v>
      </c>
      <c r="T18" s="385">
        <v>1</v>
      </c>
      <c r="U18" s="416">
        <f>(W18-V18)/(T18-S18)</f>
        <v>0</v>
      </c>
      <c r="V18" s="387">
        <f>W17</f>
        <v>0</v>
      </c>
      <c r="W18" s="387">
        <v>0</v>
      </c>
      <c r="X18" s="400" t="str">
        <f>IF(AND(PMDsgnPct&gt;=S18,PMDsgnPct&lt;=T18),((PMDsgnPct-S18)*U18),"XXX")</f>
        <v>XXX</v>
      </c>
      <c r="Y18" s="34" t="str">
        <f>IF(X18&lt;&gt;"XXX",V18+X18,"XXX")</f>
        <v>XXX</v>
      </c>
    </row>
    <row r="19" spans="18:25" ht="13.5" thickBot="1">
      <c r="R19" s="402"/>
      <c r="S19" s="33"/>
      <c r="T19" s="33"/>
      <c r="U19" s="403"/>
      <c r="V19" s="403"/>
      <c r="W19" s="33"/>
      <c r="X19" s="33"/>
      <c r="Y19" s="56"/>
    </row>
    <row r="20" spans="18:25" ht="13.5" thickBot="1">
      <c r="R20" s="391" t="s">
        <v>386</v>
      </c>
      <c r="S20" s="395"/>
      <c r="T20" s="395"/>
      <c r="U20" s="33"/>
      <c r="V20" s="1226" t="s">
        <v>406</v>
      </c>
      <c r="W20" s="1227"/>
      <c r="X20" s="1228"/>
      <c r="Y20" s="449">
        <f>SUM(Y22:Y25)</f>
        <v>0.6</v>
      </c>
    </row>
    <row r="21" spans="18:25" ht="39.950000000000003" customHeight="1">
      <c r="R21" s="392" t="s">
        <v>377</v>
      </c>
      <c r="S21" s="378" t="s">
        <v>378</v>
      </c>
      <c r="T21" s="379" t="s">
        <v>379</v>
      </c>
      <c r="U21" s="380" t="s">
        <v>380</v>
      </c>
      <c r="V21" s="298" t="s">
        <v>381</v>
      </c>
      <c r="W21" s="298" t="s">
        <v>382</v>
      </c>
      <c r="X21" s="378" t="s">
        <v>383</v>
      </c>
      <c r="Y21" s="448" t="s">
        <v>384</v>
      </c>
    </row>
    <row r="22" spans="18:25">
      <c r="R22" s="394" t="s">
        <v>385</v>
      </c>
      <c r="S22" s="395">
        <v>0.15</v>
      </c>
      <c r="T22" s="381">
        <v>0.3</v>
      </c>
      <c r="U22" s="382">
        <f>(W22-V22)/(T22-S22)</f>
        <v>-0.66666666666666652</v>
      </c>
      <c r="V22" s="383">
        <v>0.6</v>
      </c>
      <c r="W22" s="383">
        <v>0.5</v>
      </c>
      <c r="X22" s="400">
        <f>IF(AND(PMDsgnPct&gt;=S22,PMDsgnPct&lt;T22),((PMDsgnPct-S22)*U22),"XXX")</f>
        <v>0</v>
      </c>
      <c r="Y22" s="34">
        <f>IF(X22&lt;&gt;"XXX",V22+X22,"XXX")</f>
        <v>0.6</v>
      </c>
    </row>
    <row r="23" spans="18:25">
      <c r="R23" s="394" t="s">
        <v>385</v>
      </c>
      <c r="S23" s="395">
        <v>0.3</v>
      </c>
      <c r="T23" s="381">
        <v>0.6</v>
      </c>
      <c r="U23" s="382">
        <f>(W23-V23)/(T23-S23)</f>
        <v>-0.66666666666666674</v>
      </c>
      <c r="V23" s="383">
        <f>W22</f>
        <v>0.5</v>
      </c>
      <c r="W23" s="383">
        <v>0.3</v>
      </c>
      <c r="X23" s="400" t="str">
        <f>IF(AND(PMDsgnPct&gt;=S23,PMDsgnPct&lt;T23),((PMDsgnPct-S23)*U23),"XXX")</f>
        <v>XXX</v>
      </c>
      <c r="Y23" s="34" t="str">
        <f>IF(X23&lt;&gt;"XXX",V23+X23,"XXX")</f>
        <v>XXX</v>
      </c>
    </row>
    <row r="24" spans="18:25">
      <c r="R24" s="394" t="s">
        <v>385</v>
      </c>
      <c r="S24" s="395">
        <v>0.6</v>
      </c>
      <c r="T24" s="381">
        <v>0.95</v>
      </c>
      <c r="U24" s="382">
        <f>(W24-V24)/(T24-S24)</f>
        <v>-0.7142857142857143</v>
      </c>
      <c r="V24" s="383">
        <f>W23</f>
        <v>0.3</v>
      </c>
      <c r="W24" s="383">
        <v>0.05</v>
      </c>
      <c r="X24" s="400" t="str">
        <f>IF(AND(PMDsgnPct&gt;=S24,PMDsgnPct&lt;T24),((PMDsgnPct-S24)*U24),"XXX")</f>
        <v>XXX</v>
      </c>
      <c r="Y24" s="34" t="str">
        <f>IF(X24&lt;&gt;"XXX",V24+X24,"XXX")</f>
        <v>XXX</v>
      </c>
    </row>
    <row r="25" spans="18:25">
      <c r="R25" s="396" t="s">
        <v>385</v>
      </c>
      <c r="S25" s="384">
        <v>0.95</v>
      </c>
      <c r="T25" s="385">
        <v>1</v>
      </c>
      <c r="U25" s="405">
        <f>(W25-V25)/(T25-S25)</f>
        <v>-0.99999999999999911</v>
      </c>
      <c r="V25" s="387">
        <f>W24</f>
        <v>0.05</v>
      </c>
      <c r="W25" s="387">
        <v>0</v>
      </c>
      <c r="X25" s="400" t="str">
        <f>IF(AND(PMDsgnPct&gt;=S25,PMDsgnPct&lt;=T25),((PMDsgnPct-S25)*U25),"XXX")</f>
        <v>XXX</v>
      </c>
      <c r="Y25" s="34" t="str">
        <f>IF(X25&lt;&gt;"XXX",V25+X25,"XXX")</f>
        <v>XXX</v>
      </c>
    </row>
    <row r="26" spans="18:25" ht="13.5" thickBot="1">
      <c r="R26" s="402"/>
      <c r="S26" s="33"/>
      <c r="T26" s="33"/>
      <c r="U26" s="403"/>
      <c r="V26" s="403"/>
      <c r="W26" s="33"/>
      <c r="X26" s="33"/>
      <c r="Y26" s="56"/>
    </row>
    <row r="27" spans="18:25" ht="13.5" thickBot="1">
      <c r="R27" s="391" t="s">
        <v>387</v>
      </c>
      <c r="S27" s="395"/>
      <c r="T27" s="395"/>
      <c r="U27" s="33"/>
      <c r="V27" s="1226" t="s">
        <v>408</v>
      </c>
      <c r="W27" s="1227"/>
      <c r="X27" s="1228"/>
      <c r="Y27" s="449">
        <f>SUM(Y29)</f>
        <v>0.25</v>
      </c>
    </row>
    <row r="28" spans="18:25" ht="39.950000000000003" customHeight="1">
      <c r="R28" s="392" t="s">
        <v>377</v>
      </c>
      <c r="S28" s="378" t="s">
        <v>378</v>
      </c>
      <c r="T28" s="379" t="s">
        <v>379</v>
      </c>
      <c r="U28" s="380" t="s">
        <v>380</v>
      </c>
      <c r="V28" s="298" t="s">
        <v>381</v>
      </c>
      <c r="W28" s="298" t="s">
        <v>382</v>
      </c>
      <c r="X28" s="378" t="s">
        <v>383</v>
      </c>
      <c r="Y28" s="448" t="s">
        <v>384</v>
      </c>
    </row>
    <row r="29" spans="18:25">
      <c r="R29" s="396" t="s">
        <v>388</v>
      </c>
      <c r="S29" s="384">
        <v>0</v>
      </c>
      <c r="T29" s="385">
        <v>1</v>
      </c>
      <c r="U29" s="386">
        <f>(W29-V29)/(T29-S29)</f>
        <v>-0.25</v>
      </c>
      <c r="V29" s="387">
        <v>0.25</v>
      </c>
      <c r="W29" s="387">
        <v>0</v>
      </c>
      <c r="X29" s="400">
        <f>IF(AND(PMMktPct&gt;=S29,PMMktPct&lt;=T29),((PMMktPct-S29)*U29),"XXX")</f>
        <v>0</v>
      </c>
      <c r="Y29" s="34">
        <f>IF(X29&lt;&gt;"XXX",V29+X29,"XXX")</f>
        <v>0.25</v>
      </c>
    </row>
    <row r="30" spans="18:25" ht="13.5" thickBot="1">
      <c r="R30" s="402"/>
      <c r="S30" s="33"/>
      <c r="T30" s="33"/>
      <c r="U30" s="403"/>
      <c r="V30" s="403"/>
      <c r="W30" s="33"/>
      <c r="X30" s="33"/>
      <c r="Y30" s="56"/>
    </row>
    <row r="31" spans="18:25" ht="13.5" thickBot="1">
      <c r="R31" s="391" t="s">
        <v>389</v>
      </c>
      <c r="S31" s="395"/>
      <c r="T31" s="395"/>
      <c r="U31" s="33"/>
      <c r="V31" s="1232" t="s">
        <v>531</v>
      </c>
      <c r="W31" s="1227"/>
      <c r="X31" s="1228"/>
      <c r="Y31" s="449">
        <f>SUM(Y33:Y35)</f>
        <v>0.45</v>
      </c>
    </row>
    <row r="32" spans="18:25" ht="39.950000000000003" customHeight="1">
      <c r="R32" s="392" t="s">
        <v>377</v>
      </c>
      <c r="S32" s="378" t="s">
        <v>378</v>
      </c>
      <c r="T32" s="379" t="s">
        <v>379</v>
      </c>
      <c r="U32" s="380" t="s">
        <v>380</v>
      </c>
      <c r="V32" s="298" t="s">
        <v>381</v>
      </c>
      <c r="W32" s="298" t="s">
        <v>382</v>
      </c>
      <c r="X32" s="378" t="s">
        <v>383</v>
      </c>
      <c r="Y32" s="448" t="s">
        <v>384</v>
      </c>
    </row>
    <row r="33" spans="18:25">
      <c r="R33" s="394" t="s">
        <v>390</v>
      </c>
      <c r="S33" s="395">
        <v>0</v>
      </c>
      <c r="T33" s="381">
        <v>0.2</v>
      </c>
      <c r="U33" s="382">
        <f>(W33-V33)/(T33-S33)</f>
        <v>-0.75000000000000011</v>
      </c>
      <c r="V33" s="383">
        <v>0.45</v>
      </c>
      <c r="W33" s="383">
        <v>0.3</v>
      </c>
      <c r="X33" s="400">
        <f>IF(AND(PMConstrPct&gt;=S33,PMConstrPct&lt;T33),((PMConstrPct-S33)*U33),"XXX")</f>
        <v>0</v>
      </c>
      <c r="Y33" s="34">
        <f>IF(X33&lt;&gt;"XXX",V33+X33,"XXX")</f>
        <v>0.45</v>
      </c>
    </row>
    <row r="34" spans="18:25">
      <c r="R34" s="394" t="s">
        <v>390</v>
      </c>
      <c r="S34" s="395">
        <v>0.2</v>
      </c>
      <c r="T34" s="381">
        <v>0.5</v>
      </c>
      <c r="U34" s="382">
        <f>(W34-V34)/(T34-S34)</f>
        <v>-0.33333333333333326</v>
      </c>
      <c r="V34" s="383">
        <f>W33</f>
        <v>0.3</v>
      </c>
      <c r="W34" s="383">
        <v>0.2</v>
      </c>
      <c r="X34" s="400" t="str">
        <f>IF(AND(PMConstrPct&gt;=S34,PMConstrPct&lt;T34),((PMConstrPct-S34)*U34),"XXX")</f>
        <v>XXX</v>
      </c>
      <c r="Y34" s="34" t="str">
        <f>IF(X34&lt;&gt;"XXX",V34+X34,"XXX")</f>
        <v>XXX</v>
      </c>
    </row>
    <row r="35" spans="18:25">
      <c r="R35" s="396" t="s">
        <v>390</v>
      </c>
      <c r="S35" s="384">
        <v>0.5</v>
      </c>
      <c r="T35" s="385">
        <v>1</v>
      </c>
      <c r="U35" s="386">
        <f>(W35-V35)/(T35-S35)</f>
        <v>-0.3</v>
      </c>
      <c r="V35" s="387">
        <v>0.15</v>
      </c>
      <c r="W35" s="387">
        <v>0</v>
      </c>
      <c r="X35" s="400" t="str">
        <f>IF(AND(PMConstrPct&gt;=S35,PMConstrPct&lt;=T35),((PMConstrPct-S35)*U35),"XXX")</f>
        <v>XXX</v>
      </c>
      <c r="Y35" s="34" t="str">
        <f>IF(X35&lt;&gt;"XXX",V35+X35,"XXX")</f>
        <v>XXX</v>
      </c>
    </row>
    <row r="36" spans="18:25" ht="13.5" thickBot="1">
      <c r="R36" s="402"/>
      <c r="S36" s="33"/>
      <c r="T36" s="33"/>
      <c r="U36" s="403"/>
      <c r="V36" s="403"/>
      <c r="W36" s="33"/>
      <c r="X36" s="33"/>
      <c r="Y36" s="56"/>
    </row>
    <row r="37" spans="18:25" ht="13.5" thickBot="1">
      <c r="R37" s="391" t="s">
        <v>391</v>
      </c>
      <c r="S37" s="395"/>
      <c r="T37" s="395"/>
      <c r="U37" s="33"/>
      <c r="V37" s="1226" t="s">
        <v>392</v>
      </c>
      <c r="W37" s="1227"/>
      <c r="X37" s="1228"/>
      <c r="Y37" s="449">
        <f>SUM(Y39)</f>
        <v>0.05</v>
      </c>
    </row>
    <row r="38" spans="18:25" ht="39.950000000000003" customHeight="1">
      <c r="R38" s="392" t="s">
        <v>377</v>
      </c>
      <c r="S38" s="378" t="s">
        <v>378</v>
      </c>
      <c r="T38" s="379" t="s">
        <v>379</v>
      </c>
      <c r="U38" s="380" t="s">
        <v>380</v>
      </c>
      <c r="V38" s="298" t="s">
        <v>381</v>
      </c>
      <c r="W38" s="298" t="s">
        <v>382</v>
      </c>
      <c r="X38" s="378" t="s">
        <v>383</v>
      </c>
      <c r="Y38" s="448" t="s">
        <v>384</v>
      </c>
    </row>
    <row r="39" spans="18:25" ht="13.5" thickBot="1">
      <c r="R39" s="417" t="s">
        <v>411</v>
      </c>
      <c r="S39" s="418">
        <v>0</v>
      </c>
      <c r="T39" s="419">
        <v>1</v>
      </c>
      <c r="U39" s="447">
        <f>(W39-V39)/(T39-S39)</f>
        <v>-0.05</v>
      </c>
      <c r="V39" s="420">
        <v>0.05</v>
      </c>
      <c r="W39" s="420">
        <v>0</v>
      </c>
      <c r="X39" s="450">
        <f>IF(AND(PMClosePct&gt;=S39,PMClosePct&lt;=T39),((PMClosePct-S39)*U39),"XXX")</f>
        <v>0</v>
      </c>
      <c r="Y39" s="35">
        <f>IF(X39&lt;&gt;"XXX",V39+X39,"XXX")</f>
        <v>0.05</v>
      </c>
    </row>
    <row r="42" spans="18:25" ht="39" customHeight="1"/>
    <row r="54" ht="39.950000000000003" customHeight="1"/>
    <row r="58" ht="6.95" customHeight="1"/>
  </sheetData>
  <sheetProtection algorithmName="SHA-512" hashValue="6YRdWUik0X8bWK+1ALwvzanIjYyrAleRU6hjbnoIlTBC5uQh6i37njaNdcsALnGVNQobZf6dtmkAEQQQtFQ2tg==" saltValue="fnAP9clfrWMlPp8TLdc8Zw==" spinCount="100000" sheet="1" objects="1" scenarios="1"/>
  <mergeCells count="15">
    <mergeCell ref="R11:Y11"/>
    <mergeCell ref="B3:C3"/>
    <mergeCell ref="B5:C5"/>
    <mergeCell ref="V37:X37"/>
    <mergeCell ref="R12:Y12"/>
    <mergeCell ref="V14:X14"/>
    <mergeCell ref="V20:X20"/>
    <mergeCell ref="V27:X27"/>
    <mergeCell ref="V31:X31"/>
    <mergeCell ref="B1:P1"/>
    <mergeCell ref="H4:I4"/>
    <mergeCell ref="J4:K4"/>
    <mergeCell ref="L4:M4"/>
    <mergeCell ref="N4:O4"/>
    <mergeCell ref="E3:P3"/>
  </mergeCells>
  <conditionalFormatting sqref="B5">
    <cfRule type="expression" dxfId="0" priority="1">
      <formula>C4&lt;15%</formula>
    </cfRule>
  </conditionalFormatting>
  <pageMargins left="0.7" right="0.7" top="0.75" bottom="0.75" header="0.3" footer="0.3"/>
  <pageSetup orientation="portrait"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087D-2CC2-D442-B919-CCE25658E65F}">
  <sheetPr codeName="Sheet32">
    <tabColor theme="0" tint="-0.499984740745262"/>
  </sheetPr>
  <dimension ref="A1:AJ41"/>
  <sheetViews>
    <sheetView workbookViewId="0">
      <selection activeCell="B1" sqref="B1:S1"/>
    </sheetView>
  </sheetViews>
  <sheetFormatPr defaultColWidth="11.42578125" defaultRowHeight="12.75"/>
  <cols>
    <col min="1" max="1" width="3.85546875" customWidth="1"/>
    <col min="2" max="2" width="27.140625" customWidth="1"/>
    <col min="3" max="3" width="5.42578125" customWidth="1"/>
    <col min="4" max="4" width="3.85546875" customWidth="1"/>
    <col min="5" max="5" width="26.5703125" customWidth="1"/>
    <col min="6" max="6" width="5.85546875" customWidth="1"/>
    <col min="7" max="7" width="3.85546875" customWidth="1"/>
    <col min="8" max="8" width="7.140625" bestFit="1" customWidth="1"/>
    <col min="9" max="9" width="32.5703125" bestFit="1" customWidth="1"/>
    <col min="10" max="10" width="3.85546875" customWidth="1"/>
    <col min="11" max="11" width="7" customWidth="1"/>
    <col min="12" max="12" width="4.85546875" customWidth="1"/>
    <col min="13" max="13" width="5.85546875" customWidth="1"/>
    <col min="14" max="14" width="4.140625" customWidth="1"/>
    <col min="15" max="17" width="5.85546875" customWidth="1"/>
    <col min="18" max="18" width="6" customWidth="1"/>
    <col min="19" max="19" width="8.5703125" customWidth="1"/>
    <col min="20" max="20" width="3.85546875" customWidth="1"/>
    <col min="21" max="21" width="27.5703125" bestFit="1" customWidth="1"/>
    <col min="22" max="23" width="6.85546875" bestFit="1" customWidth="1"/>
    <col min="24" max="24" width="6" bestFit="1" customWidth="1"/>
    <col min="25" max="25" width="7.140625" bestFit="1" customWidth="1"/>
    <col min="26" max="26" width="6.5703125" bestFit="1" customWidth="1"/>
    <col min="27" max="27" width="10" bestFit="1" customWidth="1"/>
    <col min="28" max="28" width="6.140625" bestFit="1" customWidth="1"/>
    <col min="29" max="29" width="30.42578125" bestFit="1" customWidth="1"/>
    <col min="30" max="31" width="6.85546875" bestFit="1" customWidth="1"/>
    <col min="32" max="32" width="6" bestFit="1" customWidth="1"/>
    <col min="33" max="33" width="7.140625" bestFit="1" customWidth="1"/>
    <col min="34" max="34" width="6.5703125" bestFit="1" customWidth="1"/>
    <col min="35" max="35" width="10" bestFit="1" customWidth="1"/>
    <col min="36" max="36" width="6.140625" bestFit="1" customWidth="1"/>
  </cols>
  <sheetData>
    <row r="1" spans="1:29" ht="31.5" customHeight="1" thickBot="1">
      <c r="A1" s="92"/>
      <c r="B1" s="1215" t="s">
        <v>589</v>
      </c>
      <c r="C1" s="1216"/>
      <c r="D1" s="1216"/>
      <c r="E1" s="1216"/>
      <c r="F1" s="1216"/>
      <c r="G1" s="1216"/>
      <c r="H1" s="1216"/>
      <c r="I1" s="1216"/>
      <c r="J1" s="1216"/>
      <c r="K1" s="1216"/>
      <c r="L1" s="1216"/>
      <c r="M1" s="1216"/>
      <c r="N1" s="1216"/>
      <c r="O1" s="1216"/>
      <c r="P1" s="1216"/>
      <c r="Q1" s="1216"/>
      <c r="R1" s="1216"/>
      <c r="S1" s="1217"/>
      <c r="V1" s="92"/>
      <c r="W1" s="92"/>
      <c r="X1" s="92"/>
      <c r="Y1" s="92"/>
      <c r="Z1" s="92"/>
      <c r="AA1" s="92"/>
      <c r="AB1" s="92"/>
      <c r="AC1" s="92"/>
    </row>
    <row r="2" spans="1:29" ht="13.5" thickBot="1">
      <c r="J2" s="3"/>
      <c r="K2" s="3"/>
      <c r="L2" s="3"/>
    </row>
    <row r="3" spans="1:29" ht="19.5" thickBot="1">
      <c r="B3" s="1221" t="s">
        <v>427</v>
      </c>
      <c r="C3" s="1223"/>
      <c r="D3" s="388"/>
      <c r="E3" s="1221" t="s">
        <v>428</v>
      </c>
      <c r="F3" s="1223"/>
      <c r="G3" s="390"/>
    </row>
    <row r="4" spans="1:29">
      <c r="B4" s="461" t="s">
        <v>429</v>
      </c>
      <c r="C4" s="612">
        <v>0</v>
      </c>
      <c r="E4" s="461" t="s">
        <v>432</v>
      </c>
      <c r="F4" s="612">
        <v>0</v>
      </c>
    </row>
    <row r="5" spans="1:29">
      <c r="B5" s="473"/>
      <c r="C5" s="56"/>
      <c r="E5" s="473"/>
      <c r="F5" s="56"/>
      <c r="G5" s="3"/>
    </row>
    <row r="6" spans="1:29">
      <c r="B6" s="461" t="s">
        <v>430</v>
      </c>
      <c r="C6" s="612">
        <v>0</v>
      </c>
      <c r="E6" s="461" t="s">
        <v>433</v>
      </c>
      <c r="F6" s="612">
        <v>0</v>
      </c>
      <c r="G6" s="3"/>
    </row>
    <row r="7" spans="1:29">
      <c r="B7" s="473"/>
      <c r="C7" s="56"/>
      <c r="E7" s="473"/>
      <c r="F7" s="56"/>
      <c r="G7" s="3"/>
    </row>
    <row r="8" spans="1:29">
      <c r="B8" s="461" t="s">
        <v>431</v>
      </c>
      <c r="C8" s="612">
        <v>0</v>
      </c>
      <c r="E8" s="461" t="s">
        <v>434</v>
      </c>
      <c r="F8" s="612">
        <v>0</v>
      </c>
      <c r="G8" s="3"/>
    </row>
    <row r="9" spans="1:29">
      <c r="B9" s="37"/>
      <c r="C9" s="56"/>
      <c r="E9" s="37"/>
      <c r="F9" s="56"/>
      <c r="G9" s="3"/>
    </row>
    <row r="10" spans="1:29" ht="13.5" thickBot="1">
      <c r="B10" s="462" t="s">
        <v>437</v>
      </c>
      <c r="C10" s="613">
        <v>0</v>
      </c>
      <c r="E10" s="462" t="s">
        <v>435</v>
      </c>
      <c r="F10" s="613">
        <v>0</v>
      </c>
      <c r="G10" s="3"/>
    </row>
    <row r="11" spans="1:29" ht="19.5" thickBot="1">
      <c r="A11" s="3"/>
      <c r="B11" s="397"/>
      <c r="C11" s="3"/>
      <c r="E11" s="3"/>
      <c r="F11" s="3"/>
      <c r="G11" s="3"/>
      <c r="H11" s="1221" t="s">
        <v>420</v>
      </c>
      <c r="I11" s="1222"/>
      <c r="J11" s="1222"/>
      <c r="K11" s="1222"/>
      <c r="L11" s="1222"/>
      <c r="M11" s="1222"/>
      <c r="N11" s="1222"/>
      <c r="O11" s="1222"/>
      <c r="P11" s="1222"/>
      <c r="Q11" s="1222"/>
      <c r="R11" s="1222"/>
      <c r="S11" s="1223"/>
      <c r="AC11" s="388"/>
    </row>
    <row r="12" spans="1:29" ht="25.5">
      <c r="A12" s="3"/>
      <c r="B12" s="1239"/>
      <c r="C12" s="1239"/>
      <c r="H12" s="441" t="s">
        <v>11</v>
      </c>
      <c r="I12" s="487" t="s">
        <v>12</v>
      </c>
      <c r="J12" s="443"/>
      <c r="K12" s="1218" t="s">
        <v>459</v>
      </c>
      <c r="L12" s="1219"/>
      <c r="M12" s="1220" t="s">
        <v>460</v>
      </c>
      <c r="N12" s="1219"/>
      <c r="O12" s="1220" t="s">
        <v>461</v>
      </c>
      <c r="P12" s="1219"/>
      <c r="Q12" s="1220" t="s">
        <v>462</v>
      </c>
      <c r="R12" s="1219"/>
      <c r="S12" s="444" t="s">
        <v>436</v>
      </c>
    </row>
    <row r="13" spans="1:29">
      <c r="A13" s="3"/>
      <c r="H13" s="440" t="s">
        <v>8</v>
      </c>
      <c r="I13" s="439" t="s">
        <v>438</v>
      </c>
      <c r="J13" s="435"/>
      <c r="K13" s="436"/>
      <c r="L13" s="435"/>
      <c r="M13" s="437"/>
      <c r="N13" s="435"/>
      <c r="O13" s="437"/>
      <c r="P13" s="435"/>
      <c r="Q13" s="437"/>
      <c r="R13" s="435"/>
      <c r="S13" s="438"/>
    </row>
    <row r="14" spans="1:29" ht="13.5" thickBot="1">
      <c r="B14" s="1239"/>
      <c r="C14" s="1239"/>
      <c r="H14" s="445"/>
      <c r="I14" s="446" t="s">
        <v>440</v>
      </c>
      <c r="J14" s="431"/>
      <c r="K14" s="452">
        <f>AB21</f>
        <v>0.25</v>
      </c>
      <c r="L14" s="431"/>
      <c r="M14" s="453">
        <f>AB25</f>
        <v>0.9</v>
      </c>
      <c r="N14" s="431"/>
      <c r="O14" s="453">
        <f>AB31</f>
        <v>0.8</v>
      </c>
      <c r="P14" s="431"/>
      <c r="Q14" s="453">
        <f>AB35</f>
        <v>0.25</v>
      </c>
      <c r="R14" s="431"/>
      <c r="S14" s="454">
        <f>AB39</f>
        <v>0.05</v>
      </c>
    </row>
    <row r="15" spans="1:29" ht="25.5">
      <c r="H15" s="441" t="s">
        <v>11</v>
      </c>
      <c r="I15" s="442" t="s">
        <v>12</v>
      </c>
      <c r="J15" s="443"/>
      <c r="K15" s="1218" t="s">
        <v>2</v>
      </c>
      <c r="L15" s="1219"/>
      <c r="M15" s="1220" t="s">
        <v>463</v>
      </c>
      <c r="N15" s="1219"/>
      <c r="O15" s="1220" t="s">
        <v>464</v>
      </c>
      <c r="P15" s="1219"/>
      <c r="Q15" s="1220" t="s">
        <v>465</v>
      </c>
      <c r="R15" s="1219"/>
      <c r="S15" s="444" t="s">
        <v>436</v>
      </c>
    </row>
    <row r="16" spans="1:29">
      <c r="H16" s="440" t="s">
        <v>9</v>
      </c>
      <c r="I16" s="439" t="s">
        <v>13</v>
      </c>
      <c r="J16" s="435"/>
      <c r="K16" s="436"/>
      <c r="L16" s="435"/>
      <c r="M16" s="437"/>
      <c r="N16" s="435"/>
      <c r="O16" s="437"/>
      <c r="P16" s="435"/>
      <c r="Q16" s="437"/>
      <c r="R16" s="435"/>
      <c r="S16" s="438"/>
    </row>
    <row r="17" spans="8:36" ht="13.5" thickBot="1">
      <c r="H17" s="445"/>
      <c r="I17" s="446" t="s">
        <v>439</v>
      </c>
      <c r="J17" s="431"/>
      <c r="K17" s="452">
        <f>AJ21</f>
        <v>0.1</v>
      </c>
      <c r="L17" s="431"/>
      <c r="M17" s="453">
        <f>AJ25</f>
        <v>0.35</v>
      </c>
      <c r="N17" s="431"/>
      <c r="O17" s="453">
        <f>AJ31</f>
        <v>0.25</v>
      </c>
      <c r="P17" s="431"/>
      <c r="Q17" s="453">
        <f>AJ35</f>
        <v>0.25</v>
      </c>
      <c r="R17" s="431"/>
      <c r="S17" s="454">
        <f>AJ39</f>
        <v>0.05</v>
      </c>
    </row>
    <row r="18" spans="8:36" ht="19.5" thickBot="1">
      <c r="U18" s="1221" t="s">
        <v>421</v>
      </c>
      <c r="V18" s="1222"/>
      <c r="W18" s="1222"/>
      <c r="X18" s="1222"/>
      <c r="Y18" s="1222"/>
      <c r="Z18" s="1222"/>
      <c r="AA18" s="1222"/>
      <c r="AB18" s="1222"/>
      <c r="AC18" s="1222"/>
      <c r="AD18" s="1222"/>
      <c r="AE18" s="1222"/>
      <c r="AF18" s="1222"/>
      <c r="AG18" s="1222"/>
      <c r="AH18" s="1222"/>
      <c r="AI18" s="1222"/>
      <c r="AJ18" s="1223"/>
    </row>
    <row r="19" spans="8:36" ht="18.75">
      <c r="U19" s="1233" t="s">
        <v>457</v>
      </c>
      <c r="V19" s="1234"/>
      <c r="W19" s="1234"/>
      <c r="X19" s="1234"/>
      <c r="Y19" s="1234"/>
      <c r="Z19" s="1234"/>
      <c r="AA19" s="1234"/>
      <c r="AB19" s="1235"/>
      <c r="AC19" s="1233" t="s">
        <v>458</v>
      </c>
      <c r="AD19" s="1234"/>
      <c r="AE19" s="1234"/>
      <c r="AF19" s="1234"/>
      <c r="AG19" s="1234"/>
      <c r="AH19" s="1234"/>
      <c r="AI19" s="1234"/>
      <c r="AJ19" s="1235"/>
    </row>
    <row r="20" spans="8:36" ht="13.5" thickBot="1">
      <c r="U20" s="401"/>
      <c r="V20" s="33"/>
      <c r="W20" s="33"/>
      <c r="X20" s="33"/>
      <c r="Y20" s="33"/>
      <c r="Z20" s="33"/>
      <c r="AA20" s="33"/>
      <c r="AB20" s="56"/>
      <c r="AC20" s="401"/>
      <c r="AD20" s="33"/>
      <c r="AE20" s="33"/>
      <c r="AF20" s="33"/>
      <c r="AG20" s="33"/>
      <c r="AH20" s="33"/>
      <c r="AI20" s="33"/>
      <c r="AJ20" s="56"/>
    </row>
    <row r="21" spans="8:36">
      <c r="U21" s="455" t="s">
        <v>375</v>
      </c>
      <c r="V21" s="33"/>
      <c r="W21" s="33"/>
      <c r="X21" s="33"/>
      <c r="Y21" s="1236" t="s">
        <v>376</v>
      </c>
      <c r="Z21" s="1237"/>
      <c r="AA21" s="1238"/>
      <c r="AB21" s="456">
        <f>SUM(AB23:AB23)</f>
        <v>0.25</v>
      </c>
      <c r="AC21" s="455" t="s">
        <v>375</v>
      </c>
      <c r="AD21" s="33"/>
      <c r="AE21" s="33"/>
      <c r="AF21" s="33"/>
      <c r="AG21" s="1236" t="s">
        <v>376</v>
      </c>
      <c r="AH21" s="1237"/>
      <c r="AI21" s="1238"/>
      <c r="AJ21" s="456">
        <f>SUM(AJ23:AJ23)</f>
        <v>0.1</v>
      </c>
    </row>
    <row r="22" spans="8:36" ht="63.75">
      <c r="U22" s="406" t="s">
        <v>377</v>
      </c>
      <c r="V22" s="378" t="s">
        <v>378</v>
      </c>
      <c r="W22" s="379" t="s">
        <v>379</v>
      </c>
      <c r="X22" s="380" t="s">
        <v>380</v>
      </c>
      <c r="Y22" s="451" t="s">
        <v>381</v>
      </c>
      <c r="Z22" s="451" t="s">
        <v>382</v>
      </c>
      <c r="AA22" s="378" t="s">
        <v>424</v>
      </c>
      <c r="AB22" s="393" t="s">
        <v>384</v>
      </c>
      <c r="AC22" s="406" t="s">
        <v>377</v>
      </c>
      <c r="AD22" s="378" t="s">
        <v>378</v>
      </c>
      <c r="AE22" s="379" t="s">
        <v>379</v>
      </c>
      <c r="AF22" s="380" t="s">
        <v>380</v>
      </c>
      <c r="AG22" s="451" t="s">
        <v>381</v>
      </c>
      <c r="AH22" s="451" t="s">
        <v>382</v>
      </c>
      <c r="AI22" s="378" t="s">
        <v>424</v>
      </c>
      <c r="AJ22" s="393" t="s">
        <v>384</v>
      </c>
    </row>
    <row r="23" spans="8:36">
      <c r="U23" s="396" t="s">
        <v>441</v>
      </c>
      <c r="V23" s="384">
        <v>0</v>
      </c>
      <c r="W23" s="385">
        <v>1</v>
      </c>
      <c r="X23" s="416">
        <f>(Z23-Y23)/(W23-V23)</f>
        <v>-0.25</v>
      </c>
      <c r="Y23" s="387">
        <v>0.25</v>
      </c>
      <c r="Z23" s="387">
        <v>0</v>
      </c>
      <c r="AA23" s="398">
        <f>IF(AND(RAMPPct&gt;=V23,RAMPPct&lt;=W23),((RAMPPct-V23)*X23),"XXX")</f>
        <v>0</v>
      </c>
      <c r="AB23" s="399">
        <f>IF(AA23&lt;&gt;"XXX",Y23+AA23,"XXX")</f>
        <v>0.25</v>
      </c>
      <c r="AC23" s="396" t="s">
        <v>449</v>
      </c>
      <c r="AD23" s="384">
        <v>0</v>
      </c>
      <c r="AE23" s="385">
        <v>1</v>
      </c>
      <c r="AF23" s="416">
        <f>(AH23-AG23)/(AE23-AD23)</f>
        <v>-0.1</v>
      </c>
      <c r="AG23" s="387">
        <v>0.1</v>
      </c>
      <c r="AH23" s="387">
        <v>0</v>
      </c>
      <c r="AI23" s="398">
        <f>IF(AND(VehDsgnPct&gt;=AD23,VehDsgnPct&lt;=AE23),((VehDsgnPct-AD23)*AF23),"XXX")</f>
        <v>0</v>
      </c>
      <c r="AJ23" s="399">
        <f>IF(AI23&lt;&gt;"XXX",AG23+AI23,"XXX")</f>
        <v>0.1</v>
      </c>
    </row>
    <row r="24" spans="8:36" ht="13.5" thickBot="1">
      <c r="U24" s="402"/>
      <c r="V24" s="33"/>
      <c r="W24" s="33"/>
      <c r="X24" s="403"/>
      <c r="Y24" s="403"/>
      <c r="Z24" s="33"/>
      <c r="AA24" s="33"/>
      <c r="AB24" s="56"/>
      <c r="AC24" s="402"/>
      <c r="AD24" s="33"/>
      <c r="AE24" s="33"/>
      <c r="AF24" s="403"/>
      <c r="AG24" s="403"/>
      <c r="AH24" s="33"/>
      <c r="AI24" s="33"/>
      <c r="AJ24" s="56"/>
    </row>
    <row r="25" spans="8:36">
      <c r="U25" s="455" t="s">
        <v>442</v>
      </c>
      <c r="V25" s="395"/>
      <c r="W25" s="395"/>
      <c r="X25" s="33"/>
      <c r="Y25" s="1236" t="s">
        <v>406</v>
      </c>
      <c r="Z25" s="1237"/>
      <c r="AA25" s="1238"/>
      <c r="AB25" s="456">
        <f>SUM(AB27:AB29)</f>
        <v>0.9</v>
      </c>
      <c r="AC25" s="455" t="s">
        <v>450</v>
      </c>
      <c r="AD25" s="395"/>
      <c r="AE25" s="395"/>
      <c r="AF25" s="33"/>
      <c r="AG25" s="1236" t="s">
        <v>406</v>
      </c>
      <c r="AH25" s="1237"/>
      <c r="AI25" s="1238"/>
      <c r="AJ25" s="456">
        <f>SUM(AJ27:AJ29)</f>
        <v>0.35</v>
      </c>
    </row>
    <row r="26" spans="8:36" ht="63.75">
      <c r="U26" s="406" t="s">
        <v>377</v>
      </c>
      <c r="V26" s="378" t="s">
        <v>378</v>
      </c>
      <c r="W26" s="379" t="s">
        <v>379</v>
      </c>
      <c r="X26" s="380" t="s">
        <v>380</v>
      </c>
      <c r="Y26" s="451" t="s">
        <v>381</v>
      </c>
      <c r="Z26" s="451" t="s">
        <v>382</v>
      </c>
      <c r="AA26" s="378" t="s">
        <v>383</v>
      </c>
      <c r="AB26" s="393" t="s">
        <v>384</v>
      </c>
      <c r="AC26" s="406" t="s">
        <v>377</v>
      </c>
      <c r="AD26" s="378" t="s">
        <v>378</v>
      </c>
      <c r="AE26" s="379" t="s">
        <v>379</v>
      </c>
      <c r="AF26" s="380" t="s">
        <v>380</v>
      </c>
      <c r="AG26" s="451" t="s">
        <v>381</v>
      </c>
      <c r="AH26" s="451" t="s">
        <v>382</v>
      </c>
      <c r="AI26" s="378" t="s">
        <v>383</v>
      </c>
      <c r="AJ26" s="393" t="s">
        <v>384</v>
      </c>
    </row>
    <row r="27" spans="8:36">
      <c r="U27" s="394" t="s">
        <v>441</v>
      </c>
      <c r="V27" s="395">
        <v>0</v>
      </c>
      <c r="W27" s="381">
        <v>0.5</v>
      </c>
      <c r="X27" s="415">
        <f>(Z27-Y27)/(W27-V27)</f>
        <v>0</v>
      </c>
      <c r="Y27" s="383">
        <v>0.85</v>
      </c>
      <c r="Z27" s="383">
        <v>0.85</v>
      </c>
      <c r="AA27" s="398">
        <f>IF(AND(RAMPPct&gt;=V27,RAMPPct&lt;W27),((RAMPPct-V27)*X27),"XXX")</f>
        <v>0</v>
      </c>
      <c r="AB27" s="399">
        <f>IF(AA27&lt;&gt;"XXX",Y27+AA27,"XXX")</f>
        <v>0.85</v>
      </c>
      <c r="AC27" s="394" t="s">
        <v>449</v>
      </c>
      <c r="AD27" s="395">
        <v>0</v>
      </c>
      <c r="AE27" s="381">
        <v>1</v>
      </c>
      <c r="AF27" s="415">
        <f t="shared" ref="AF27:AF28" si="0">(AH27-AG27)/(AE27-AD27)</f>
        <v>-0.19999999999999998</v>
      </c>
      <c r="AG27" s="383">
        <v>0.3</v>
      </c>
      <c r="AH27" s="383">
        <v>0.1</v>
      </c>
      <c r="AI27" s="398">
        <f>IF(AND(VehDsgnPct&gt;=AD27,VehDsgnPct&lt;AE27),((VehDsgnPct-AD27)*AF27),"XXX")</f>
        <v>0</v>
      </c>
      <c r="AJ27" s="399">
        <f t="shared" ref="AJ27:AJ28" si="1">IF(AI27&lt;&gt;"XXX",AG27+AI27,"XXX")</f>
        <v>0.3</v>
      </c>
    </row>
    <row r="28" spans="8:36">
      <c r="U28" s="394" t="s">
        <v>441</v>
      </c>
      <c r="V28" s="395">
        <v>0.5</v>
      </c>
      <c r="W28" s="381">
        <v>1</v>
      </c>
      <c r="X28" s="415">
        <f>(Z28-Y28)/(W28-V28)</f>
        <v>-1.7</v>
      </c>
      <c r="Y28" s="383">
        <v>0.85</v>
      </c>
      <c r="Z28" s="383">
        <v>0</v>
      </c>
      <c r="AA28" s="398" t="str">
        <f>IF(AND(RAMPPct&gt;=V28,RAMPPct&lt;W28),((RAMPPct-V28)*X28),"XXX")</f>
        <v>XXX</v>
      </c>
      <c r="AB28" s="34" t="str">
        <f>IF(AA28&lt;&gt;"XXX",Y28+AA28,"XXX")</f>
        <v>XXX</v>
      </c>
      <c r="AC28" s="396" t="s">
        <v>454</v>
      </c>
      <c r="AD28" s="384">
        <v>0</v>
      </c>
      <c r="AE28" s="385">
        <v>1</v>
      </c>
      <c r="AF28" s="416">
        <f t="shared" si="0"/>
        <v>0.05</v>
      </c>
      <c r="AG28" s="387">
        <v>0.05</v>
      </c>
      <c r="AH28" s="387">
        <v>0.1</v>
      </c>
      <c r="AI28" s="398">
        <f>IF(AND(VehProcurePct&gt;=AD28,VehProcurePct&lt;=AE28),((VehProcurePct-AD28)*AF28),"XXX")</f>
        <v>0</v>
      </c>
      <c r="AJ28" s="399">
        <f t="shared" si="1"/>
        <v>0.05</v>
      </c>
    </row>
    <row r="29" spans="8:36">
      <c r="U29" s="396" t="s">
        <v>446</v>
      </c>
      <c r="V29" s="384">
        <v>0</v>
      </c>
      <c r="W29" s="385">
        <v>1</v>
      </c>
      <c r="X29" s="416">
        <f>(Z29-Y29)/(W29-V29)</f>
        <v>-0.05</v>
      </c>
      <c r="Y29" s="387">
        <v>0.05</v>
      </c>
      <c r="Z29" s="387">
        <v>0</v>
      </c>
      <c r="AA29" s="398">
        <f>IF(AND(OffersPct&gt;=V29,OffersPct&lt;=W29),((OffersPct-V29)*X29),"XXX")</f>
        <v>0</v>
      </c>
      <c r="AB29" s="34">
        <f>IF(AA29&lt;&gt;"XXX",Y29+AA29,"XXX")</f>
        <v>0.05</v>
      </c>
      <c r="AC29" s="402"/>
      <c r="AD29" s="33"/>
      <c r="AE29" s="33"/>
      <c r="AF29" s="403"/>
      <c r="AG29" s="403"/>
      <c r="AH29" s="33"/>
      <c r="AI29" s="33"/>
      <c r="AJ29" s="56"/>
    </row>
    <row r="30" spans="8:36" ht="13.5" thickBot="1">
      <c r="U30" s="402"/>
      <c r="V30" s="33"/>
      <c r="W30" s="33"/>
      <c r="X30" s="403"/>
      <c r="Y30" s="403"/>
      <c r="Z30" s="33"/>
      <c r="AA30" s="33"/>
      <c r="AB30" s="56"/>
      <c r="AC30" s="402"/>
      <c r="AD30" s="33"/>
      <c r="AE30" s="33"/>
      <c r="AF30" s="403"/>
      <c r="AG30" s="403"/>
      <c r="AH30" s="33"/>
      <c r="AI30" s="33"/>
      <c r="AJ30" s="56"/>
    </row>
    <row r="31" spans="8:36">
      <c r="U31" s="455" t="s">
        <v>443</v>
      </c>
      <c r="V31" s="395"/>
      <c r="W31" s="395"/>
      <c r="X31" s="33"/>
      <c r="Y31" s="1236" t="s">
        <v>408</v>
      </c>
      <c r="Z31" s="1237"/>
      <c r="AA31" s="1238"/>
      <c r="AB31" s="456">
        <f>SUM(AB33)</f>
        <v>0.8</v>
      </c>
      <c r="AC31" s="455" t="s">
        <v>451</v>
      </c>
      <c r="AD31" s="395"/>
      <c r="AE31" s="395"/>
      <c r="AF31" s="33"/>
      <c r="AG31" s="1236" t="s">
        <v>408</v>
      </c>
      <c r="AH31" s="1237"/>
      <c r="AI31" s="1238"/>
      <c r="AJ31" s="456">
        <f>SUM(AJ33)</f>
        <v>0.25</v>
      </c>
    </row>
    <row r="32" spans="8:36" ht="63.75">
      <c r="U32" s="406" t="s">
        <v>377</v>
      </c>
      <c r="V32" s="378" t="s">
        <v>378</v>
      </c>
      <c r="W32" s="379" t="s">
        <v>379</v>
      </c>
      <c r="X32" s="380" t="s">
        <v>380</v>
      </c>
      <c r="Y32" s="451" t="s">
        <v>381</v>
      </c>
      <c r="Z32" s="451" t="s">
        <v>382</v>
      </c>
      <c r="AA32" s="378" t="s">
        <v>383</v>
      </c>
      <c r="AB32" s="393" t="s">
        <v>384</v>
      </c>
      <c r="AC32" s="406" t="s">
        <v>377</v>
      </c>
      <c r="AD32" s="378" t="s">
        <v>378</v>
      </c>
      <c r="AE32" s="379" t="s">
        <v>379</v>
      </c>
      <c r="AF32" s="380" t="s">
        <v>380</v>
      </c>
      <c r="AG32" s="451" t="s">
        <v>381</v>
      </c>
      <c r="AH32" s="451" t="s">
        <v>382</v>
      </c>
      <c r="AI32" s="378" t="s">
        <v>383</v>
      </c>
      <c r="AJ32" s="393" t="s">
        <v>384</v>
      </c>
    </row>
    <row r="33" spans="21:36">
      <c r="U33" s="396" t="s">
        <v>446</v>
      </c>
      <c r="V33" s="384">
        <v>0</v>
      </c>
      <c r="W33" s="385">
        <v>1</v>
      </c>
      <c r="X33" s="416">
        <f>(Z33-Y33)/(W33-V33)</f>
        <v>-0.8</v>
      </c>
      <c r="Y33" s="387">
        <v>0.8</v>
      </c>
      <c r="Z33" s="387">
        <v>0</v>
      </c>
      <c r="AA33" s="398">
        <f>IF(AND(OffersPct&gt;=V33,OffersPct&lt;=W33),((OffersPct-V33)*X33),"XXX")</f>
        <v>0</v>
      </c>
      <c r="AB33" s="34">
        <f>IF(AA33&lt;&gt;"XXX",Y33+AA33,"XXX")</f>
        <v>0.8</v>
      </c>
      <c r="AC33" s="396" t="s">
        <v>454</v>
      </c>
      <c r="AD33" s="384">
        <v>0</v>
      </c>
      <c r="AE33" s="385">
        <v>1</v>
      </c>
      <c r="AF33" s="416">
        <f t="shared" ref="AF33" si="2">(AH33-AG33)/(AE33-AD33)</f>
        <v>-0.25</v>
      </c>
      <c r="AG33" s="387">
        <v>0.25</v>
      </c>
      <c r="AH33" s="387">
        <v>0</v>
      </c>
      <c r="AI33" s="398">
        <f>IF(AND(VehProcurePct&gt;=AD33,VehProcurePct&lt;=AE33),((VehProcurePct-AD33)*AF33),"XXX")</f>
        <v>0</v>
      </c>
      <c r="AJ33" s="399">
        <f t="shared" ref="AJ33" si="3">IF(AI33&lt;&gt;"XXX",AG33+AI33,"XXX")</f>
        <v>0.25</v>
      </c>
    </row>
    <row r="34" spans="21:36" ht="13.5" thickBot="1">
      <c r="U34" s="402"/>
      <c r="V34" s="33"/>
      <c r="W34" s="33"/>
      <c r="X34" s="403"/>
      <c r="Y34" s="403"/>
      <c r="Z34" s="33"/>
      <c r="AA34" s="33"/>
      <c r="AB34" s="56"/>
      <c r="AC34" s="402"/>
      <c r="AD34" s="33"/>
      <c r="AE34" s="33"/>
      <c r="AF34" s="403"/>
      <c r="AG34" s="403"/>
      <c r="AH34" s="33"/>
      <c r="AI34" s="33"/>
      <c r="AJ34" s="56"/>
    </row>
    <row r="35" spans="21:36">
      <c r="U35" s="455" t="s">
        <v>444</v>
      </c>
      <c r="V35" s="395"/>
      <c r="W35" s="395"/>
      <c r="X35" s="33"/>
      <c r="Y35" s="1240" t="s">
        <v>531</v>
      </c>
      <c r="Z35" s="1237"/>
      <c r="AA35" s="1238"/>
      <c r="AB35" s="456">
        <f>SUM(AB37:AB37)</f>
        <v>0.25</v>
      </c>
      <c r="AC35" s="455" t="s">
        <v>453</v>
      </c>
      <c r="AD35" s="395"/>
      <c r="AE35" s="395"/>
      <c r="AF35" s="33"/>
      <c r="AG35" s="1240" t="s">
        <v>531</v>
      </c>
      <c r="AH35" s="1237"/>
      <c r="AI35" s="1238"/>
      <c r="AJ35" s="456">
        <f>SUM(AJ37:AJ37)</f>
        <v>0.25</v>
      </c>
    </row>
    <row r="36" spans="21:36" ht="63.75">
      <c r="U36" s="406" t="s">
        <v>377</v>
      </c>
      <c r="V36" s="378" t="s">
        <v>378</v>
      </c>
      <c r="W36" s="379" t="s">
        <v>379</v>
      </c>
      <c r="X36" s="380" t="s">
        <v>380</v>
      </c>
      <c r="Y36" s="451" t="s">
        <v>381</v>
      </c>
      <c r="Z36" s="451" t="s">
        <v>382</v>
      </c>
      <c r="AA36" s="378" t="s">
        <v>383</v>
      </c>
      <c r="AB36" s="393" t="s">
        <v>384</v>
      </c>
      <c r="AC36" s="406" t="s">
        <v>377</v>
      </c>
      <c r="AD36" s="378" t="s">
        <v>378</v>
      </c>
      <c r="AE36" s="379" t="s">
        <v>379</v>
      </c>
      <c r="AF36" s="380" t="s">
        <v>380</v>
      </c>
      <c r="AG36" s="451" t="s">
        <v>381</v>
      </c>
      <c r="AH36" s="451" t="s">
        <v>382</v>
      </c>
      <c r="AI36" s="378" t="s">
        <v>383</v>
      </c>
      <c r="AJ36" s="393" t="s">
        <v>384</v>
      </c>
    </row>
    <row r="37" spans="21:36">
      <c r="U37" s="396" t="s">
        <v>447</v>
      </c>
      <c r="V37" s="384">
        <v>0</v>
      </c>
      <c r="W37" s="385">
        <v>1</v>
      </c>
      <c r="X37" s="386">
        <f>(Z37-Y37)/(W37-V37)</f>
        <v>-0.25</v>
      </c>
      <c r="Y37" s="387">
        <v>0.25</v>
      </c>
      <c r="Z37" s="387">
        <v>0</v>
      </c>
      <c r="AA37" s="400">
        <f>IF(AND(ClosuresPct&gt;=V37,ClosuresPct&lt;=W37),((ClosuresPct-V37)*X37),"XXX")</f>
        <v>0</v>
      </c>
      <c r="AB37" s="34">
        <f>IF(AA37&lt;&gt;"XXX",Y37+AA37,"XXX")</f>
        <v>0.25</v>
      </c>
      <c r="AC37" s="396" t="s">
        <v>455</v>
      </c>
      <c r="AD37" s="384">
        <v>0</v>
      </c>
      <c r="AE37" s="385">
        <v>1</v>
      </c>
      <c r="AF37" s="386">
        <f>(AH37-AG37)/(AE37-AD37)</f>
        <v>-0.25</v>
      </c>
      <c r="AG37" s="387">
        <v>0.25</v>
      </c>
      <c r="AH37" s="387">
        <v>0</v>
      </c>
      <c r="AI37" s="400">
        <f>IF(AND(VehAcceptPct&gt;=AD37,VehAcceptPct&lt;=AE37),((VehAcceptPct-AD37)*AF37),"XXX")</f>
        <v>0</v>
      </c>
      <c r="AJ37" s="34">
        <f>IF(AI37&lt;&gt;"XXX",AG37+AI37,"XXX")</f>
        <v>0.25</v>
      </c>
    </row>
    <row r="38" spans="21:36" ht="13.5" thickBot="1">
      <c r="U38" s="402"/>
      <c r="V38" s="33"/>
      <c r="W38" s="33"/>
      <c r="X38" s="403"/>
      <c r="Y38" s="403"/>
      <c r="Z38" s="33"/>
      <c r="AA38" s="33"/>
      <c r="AB38" s="56"/>
      <c r="AC38" s="402"/>
      <c r="AD38" s="33"/>
      <c r="AE38" s="33"/>
      <c r="AF38" s="403"/>
      <c r="AG38" s="403"/>
      <c r="AH38" s="33"/>
      <c r="AI38" s="33"/>
      <c r="AJ38" s="56"/>
    </row>
    <row r="39" spans="21:36" ht="13.5" thickBot="1">
      <c r="U39" s="422" t="s">
        <v>445</v>
      </c>
      <c r="V39" s="395"/>
      <c r="W39" s="395"/>
      <c r="X39" s="33"/>
      <c r="Y39" s="1226" t="s">
        <v>392</v>
      </c>
      <c r="Z39" s="1227"/>
      <c r="AA39" s="1228"/>
      <c r="AB39" s="449">
        <f>SUM(AB41)</f>
        <v>0.05</v>
      </c>
      <c r="AC39" s="422" t="s">
        <v>452</v>
      </c>
      <c r="AD39" s="395"/>
      <c r="AE39" s="395"/>
      <c r="AF39" s="33"/>
      <c r="AG39" s="1226" t="s">
        <v>392</v>
      </c>
      <c r="AH39" s="1227"/>
      <c r="AI39" s="1228"/>
      <c r="AJ39" s="449">
        <f>SUM(AJ41)</f>
        <v>0.05</v>
      </c>
    </row>
    <row r="40" spans="21:36" ht="63.75">
      <c r="U40" s="392" t="s">
        <v>377</v>
      </c>
      <c r="V40" s="378" t="s">
        <v>378</v>
      </c>
      <c r="W40" s="379" t="s">
        <v>379</v>
      </c>
      <c r="X40" s="380" t="s">
        <v>380</v>
      </c>
      <c r="Y40" s="451" t="s">
        <v>381</v>
      </c>
      <c r="Z40" s="451" t="s">
        <v>382</v>
      </c>
      <c r="AA40" s="378" t="s">
        <v>383</v>
      </c>
      <c r="AB40" s="448" t="s">
        <v>384</v>
      </c>
      <c r="AC40" s="392" t="s">
        <v>377</v>
      </c>
      <c r="AD40" s="378" t="s">
        <v>378</v>
      </c>
      <c r="AE40" s="379" t="s">
        <v>379</v>
      </c>
      <c r="AF40" s="380" t="s">
        <v>380</v>
      </c>
      <c r="AG40" s="451" t="s">
        <v>381</v>
      </c>
      <c r="AH40" s="451" t="s">
        <v>382</v>
      </c>
      <c r="AI40" s="378" t="s">
        <v>383</v>
      </c>
      <c r="AJ40" s="448" t="s">
        <v>384</v>
      </c>
    </row>
    <row r="41" spans="21:36" ht="13.5" thickBot="1">
      <c r="U41" s="417" t="s">
        <v>448</v>
      </c>
      <c r="V41" s="418">
        <v>0</v>
      </c>
      <c r="W41" s="419">
        <v>1</v>
      </c>
      <c r="X41" s="447">
        <f>(Z41-Y41)/(W41-V41)</f>
        <v>-0.05</v>
      </c>
      <c r="Y41" s="420">
        <v>0.05</v>
      </c>
      <c r="Z41" s="420">
        <v>0</v>
      </c>
      <c r="AA41" s="450">
        <f>IF(AND(PostClosuresPct&gt;=V41,PostClosuresPct&lt;=W41),((PostClosuresPct-V41)*X41),"XXX")</f>
        <v>0</v>
      </c>
      <c r="AB41" s="35">
        <f>IF(AA41&lt;&gt;"XXX",Y41+AA41,"XXX")</f>
        <v>0.05</v>
      </c>
      <c r="AC41" s="417" t="s">
        <v>456</v>
      </c>
      <c r="AD41" s="418">
        <v>0</v>
      </c>
      <c r="AE41" s="419">
        <v>1</v>
      </c>
      <c r="AF41" s="447">
        <f>(AH41-AG41)/(AE41-AD41)</f>
        <v>-0.05</v>
      </c>
      <c r="AG41" s="420">
        <v>0.05</v>
      </c>
      <c r="AH41" s="420">
        <v>0</v>
      </c>
      <c r="AI41" s="450">
        <f>IF(AND(PostVehAcceptPct&gt;=AD41,PostVehAcceptPct&lt;=AE41),((PostVehAcceptPct-AD41)*AF41),"XXX")</f>
        <v>0</v>
      </c>
      <c r="AJ41" s="35">
        <f>IF(AI41&lt;&gt;"XXX",AG41+AI41,"XXX")</f>
        <v>0.05</v>
      </c>
    </row>
  </sheetData>
  <sheetProtection algorithmName="SHA-512" hashValue="nlam2yr6mrq7T3C2w840m5dzO+gf+4Z0d30qiuo7GGCX5L7b9Wqzvyw8ZcPJfpzKggM50BuTI/eJ4j3/Tgt7Ng==" saltValue="xPD43wuhuhLsm8TO52r4og==" spinCount="100000" sheet="1" scenarios="1" formatCells="0" formatColumns="0" formatRows="0"/>
  <mergeCells count="27">
    <mergeCell ref="AG39:AI39"/>
    <mergeCell ref="U18:AJ18"/>
    <mergeCell ref="AC19:AJ19"/>
    <mergeCell ref="AG21:AI21"/>
    <mergeCell ref="AG25:AI25"/>
    <mergeCell ref="AG31:AI31"/>
    <mergeCell ref="AG35:AI35"/>
    <mergeCell ref="Y35:AA35"/>
    <mergeCell ref="Y39:AA39"/>
    <mergeCell ref="Y31:AA31"/>
    <mergeCell ref="Q15:R15"/>
    <mergeCell ref="U19:AB19"/>
    <mergeCell ref="Y21:AA21"/>
    <mergeCell ref="Y25:AA25"/>
    <mergeCell ref="B12:C12"/>
    <mergeCell ref="B14:C14"/>
    <mergeCell ref="K15:L15"/>
    <mergeCell ref="M15:N15"/>
    <mergeCell ref="O15:P15"/>
    <mergeCell ref="B1:S1"/>
    <mergeCell ref="B3:C3"/>
    <mergeCell ref="H11:S11"/>
    <mergeCell ref="K12:L12"/>
    <mergeCell ref="M12:N12"/>
    <mergeCell ref="O12:P12"/>
    <mergeCell ref="Q12:R12"/>
    <mergeCell ref="E3:F3"/>
  </mergeCells>
  <pageMargins left="0.7" right="0.7" top="0.75" bottom="0.75" header="0.3" footer="0.3"/>
  <pageSetup orientation="portrait"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780B7-4C49-B448-B89B-9879EF8CE31A}">
  <sheetPr codeName="Sheet33">
    <tabColor theme="0" tint="-0.499984740745262"/>
  </sheetPr>
  <dimension ref="A1:AU93"/>
  <sheetViews>
    <sheetView workbookViewId="0">
      <selection activeCell="B1" sqref="B1:N1"/>
    </sheetView>
  </sheetViews>
  <sheetFormatPr defaultColWidth="11.42578125" defaultRowHeight="12.75"/>
  <cols>
    <col min="1" max="1" width="1.85546875" customWidth="1"/>
    <col min="2" max="2" width="28.42578125" customWidth="1"/>
    <col min="3" max="3" width="6.85546875" bestFit="1" customWidth="1"/>
    <col min="4" max="4" width="4.5703125" customWidth="1"/>
    <col min="5" max="5" width="6.85546875" customWidth="1"/>
    <col min="6" max="6" width="48.42578125" customWidth="1"/>
    <col min="7" max="7" width="6.85546875" customWidth="1"/>
    <col min="8" max="8" width="3.85546875" customWidth="1"/>
    <col min="9" max="9" width="6.85546875" customWidth="1"/>
    <col min="10" max="10" width="3.85546875" customWidth="1"/>
    <col min="11" max="11" width="6.85546875" customWidth="1"/>
    <col min="12" max="12" width="3.85546875" customWidth="1"/>
    <col min="13" max="14" width="6.85546875" customWidth="1"/>
    <col min="15" max="15" width="4" customWidth="1"/>
    <col min="16" max="16" width="25.140625" bestFit="1" customWidth="1"/>
    <col min="17" max="18" width="6.85546875" bestFit="1" customWidth="1"/>
    <col min="19" max="19" width="6" bestFit="1" customWidth="1"/>
    <col min="20" max="20" width="7.140625" bestFit="1" customWidth="1"/>
    <col min="21" max="21" width="6.5703125" bestFit="1" customWidth="1"/>
    <col min="22" max="22" width="10.85546875" customWidth="1"/>
    <col min="23" max="23" width="7" customWidth="1"/>
    <col min="24" max="24" width="25.140625" bestFit="1" customWidth="1"/>
    <col min="25" max="26" width="6.85546875" bestFit="1" customWidth="1"/>
    <col min="27" max="27" width="6" bestFit="1" customWidth="1"/>
    <col min="28" max="28" width="7.140625" bestFit="1" customWidth="1"/>
    <col min="29" max="29" width="6.5703125" bestFit="1" customWidth="1"/>
    <col min="30" max="30" width="10.85546875" bestFit="1" customWidth="1"/>
    <col min="31" max="31" width="6.85546875" customWidth="1"/>
    <col min="32" max="32" width="25.140625" bestFit="1" customWidth="1"/>
    <col min="33" max="34" width="6.85546875" bestFit="1" customWidth="1"/>
    <col min="35" max="35" width="6" bestFit="1" customWidth="1"/>
    <col min="36" max="36" width="7.140625" bestFit="1" customWidth="1"/>
    <col min="37" max="37" width="6.5703125" bestFit="1" customWidth="1"/>
    <col min="38" max="38" width="10.85546875" customWidth="1"/>
    <col min="39" max="39" width="6.85546875" customWidth="1"/>
    <col min="40" max="40" width="25.140625" bestFit="1" customWidth="1"/>
    <col min="41" max="42" width="6.85546875" bestFit="1" customWidth="1"/>
    <col min="43" max="43" width="6" bestFit="1" customWidth="1"/>
    <col min="44" max="44" width="7.140625" bestFit="1" customWidth="1"/>
    <col min="45" max="45" width="6.5703125" bestFit="1" customWidth="1"/>
    <col min="46" max="46" width="10.85546875" customWidth="1"/>
    <col min="47" max="47" width="6.85546875" customWidth="1"/>
    <col min="48" max="48" width="22.42578125" bestFit="1" customWidth="1"/>
    <col min="49" max="50" width="6.85546875" bestFit="1" customWidth="1"/>
    <col min="51" max="51" width="6" bestFit="1" customWidth="1"/>
    <col min="52" max="52" width="7.140625" bestFit="1" customWidth="1"/>
    <col min="53" max="54" width="11" bestFit="1" customWidth="1"/>
    <col min="55" max="55" width="6.140625" bestFit="1" customWidth="1"/>
  </cols>
  <sheetData>
    <row r="1" spans="1:47" s="92" customFormat="1" ht="165.75" customHeight="1" thickBot="1">
      <c r="B1" s="1243" t="s">
        <v>532</v>
      </c>
      <c r="C1" s="1244"/>
      <c r="D1" s="1244"/>
      <c r="E1" s="1244"/>
      <c r="F1" s="1244"/>
      <c r="G1" s="1244"/>
      <c r="H1" s="1244"/>
      <c r="I1" s="1244"/>
      <c r="J1" s="1244"/>
      <c r="K1" s="1244"/>
      <c r="L1" s="1244"/>
      <c r="M1" s="1244"/>
      <c r="N1" s="1245"/>
      <c r="O1" s="476"/>
      <c r="P1" s="476"/>
      <c r="Q1" s="476"/>
      <c r="R1" s="476"/>
      <c r="S1" s="476"/>
      <c r="T1" s="476"/>
      <c r="U1" s="476"/>
      <c r="V1" s="476"/>
      <c r="W1" s="476"/>
      <c r="X1" s="476"/>
      <c r="Y1" s="476"/>
    </row>
    <row r="2" spans="1:47" ht="13.5" thickBot="1">
      <c r="R2" s="3"/>
      <c r="S2" s="3"/>
      <c r="T2" s="3"/>
    </row>
    <row r="3" spans="1:47" ht="19.5" thickBot="1">
      <c r="B3" s="1221" t="s">
        <v>419</v>
      </c>
      <c r="C3" s="1223"/>
      <c r="E3" s="1246" t="s">
        <v>420</v>
      </c>
      <c r="F3" s="1247"/>
      <c r="G3" s="1247"/>
      <c r="H3" s="1247"/>
      <c r="I3" s="1247"/>
      <c r="J3" s="1247"/>
      <c r="K3" s="1247"/>
      <c r="L3" s="1247"/>
      <c r="M3" s="1247"/>
      <c r="N3" s="1248"/>
    </row>
    <row r="4" spans="1:47">
      <c r="B4" s="460" t="s">
        <v>393</v>
      </c>
      <c r="C4" s="614">
        <v>0</v>
      </c>
      <c r="E4" s="434" t="s">
        <v>10</v>
      </c>
      <c r="F4" s="459" t="s">
        <v>14</v>
      </c>
      <c r="G4" s="478" t="s">
        <v>193</v>
      </c>
      <c r="H4" s="479"/>
      <c r="I4" s="478" t="s">
        <v>223</v>
      </c>
      <c r="J4" s="479"/>
      <c r="K4" s="478" t="s">
        <v>194</v>
      </c>
      <c r="L4" s="479"/>
      <c r="M4" s="478" t="s">
        <v>195</v>
      </c>
      <c r="N4" s="480" t="s">
        <v>466</v>
      </c>
    </row>
    <row r="5" spans="1:47">
      <c r="B5" s="1249" t="s">
        <v>394</v>
      </c>
      <c r="C5" s="1250"/>
      <c r="E5" s="427">
        <v>80.010000000000005</v>
      </c>
      <c r="F5" s="457" t="s">
        <v>143</v>
      </c>
      <c r="G5" s="428">
        <f>W16</f>
        <v>0</v>
      </c>
      <c r="H5" s="435"/>
      <c r="I5" s="428">
        <f>W20</f>
        <v>0</v>
      </c>
      <c r="J5" s="435"/>
      <c r="K5" s="428">
        <f>W30</f>
        <v>0</v>
      </c>
      <c r="L5" s="435"/>
      <c r="M5" s="428">
        <f>W40</f>
        <v>0</v>
      </c>
      <c r="N5" s="429">
        <f>W52</f>
        <v>0.05</v>
      </c>
    </row>
    <row r="6" spans="1:47">
      <c r="B6" s="461" t="s">
        <v>395</v>
      </c>
      <c r="C6" s="612">
        <v>0</v>
      </c>
      <c r="E6" s="427">
        <v>80.02</v>
      </c>
      <c r="F6" s="457" t="s">
        <v>144</v>
      </c>
      <c r="G6" s="428">
        <f>AE16</f>
        <v>0</v>
      </c>
      <c r="H6" s="435"/>
      <c r="I6" s="428">
        <f>AE20</f>
        <v>0</v>
      </c>
      <c r="J6" s="435"/>
      <c r="K6" s="428">
        <f>AE30</f>
        <v>0</v>
      </c>
      <c r="L6" s="435"/>
      <c r="M6" s="428">
        <f>AE40</f>
        <v>0.1</v>
      </c>
      <c r="N6" s="429">
        <f>AE52</f>
        <v>0.05</v>
      </c>
    </row>
    <row r="7" spans="1:47">
      <c r="B7" s="473"/>
      <c r="C7" s="56"/>
      <c r="E7" s="427">
        <v>80.03</v>
      </c>
      <c r="F7" s="457" t="s">
        <v>57</v>
      </c>
      <c r="G7" s="428">
        <f>AM16</f>
        <v>0</v>
      </c>
      <c r="H7" s="435"/>
      <c r="I7" s="428">
        <f>AM20</f>
        <v>0.15</v>
      </c>
      <c r="J7" s="435"/>
      <c r="K7" s="428">
        <f>AM30</f>
        <v>0.1</v>
      </c>
      <c r="L7" s="435"/>
      <c r="M7" s="428">
        <f>AM40</f>
        <v>0.2</v>
      </c>
      <c r="N7" s="429">
        <f>AM52</f>
        <v>0.05</v>
      </c>
    </row>
    <row r="8" spans="1:47">
      <c r="B8" s="461" t="s">
        <v>396</v>
      </c>
      <c r="C8" s="612">
        <v>0</v>
      </c>
      <c r="E8" s="427">
        <v>80.040000000000006</v>
      </c>
      <c r="F8" s="457" t="s">
        <v>58</v>
      </c>
      <c r="G8" s="428">
        <f>AU16</f>
        <v>0</v>
      </c>
      <c r="H8" s="435"/>
      <c r="I8" s="428">
        <f>AU20</f>
        <v>0.2</v>
      </c>
      <c r="J8" s="435"/>
      <c r="K8" s="428">
        <f>AU30</f>
        <v>0.2</v>
      </c>
      <c r="L8" s="435"/>
      <c r="M8" s="428">
        <f>AU40</f>
        <v>0.35</v>
      </c>
      <c r="N8" s="429">
        <f>AU52</f>
        <v>0.05</v>
      </c>
    </row>
    <row r="9" spans="1:47">
      <c r="B9" s="37"/>
      <c r="C9" s="56"/>
      <c r="E9" s="427">
        <v>80.05</v>
      </c>
      <c r="F9" s="457" t="s">
        <v>59</v>
      </c>
      <c r="G9" s="428">
        <f>W57</f>
        <v>0</v>
      </c>
      <c r="H9" s="435"/>
      <c r="I9" s="428">
        <f>W61</f>
        <v>0</v>
      </c>
      <c r="J9" s="435"/>
      <c r="K9" s="428">
        <f>W71</f>
        <v>0</v>
      </c>
      <c r="L9" s="435"/>
      <c r="M9" s="428">
        <f>W81</f>
        <v>0.15</v>
      </c>
      <c r="N9" s="429">
        <f>W91</f>
        <v>0.05</v>
      </c>
    </row>
    <row r="10" spans="1:47" ht="13.5" thickBot="1">
      <c r="B10" s="462" t="s">
        <v>410</v>
      </c>
      <c r="C10" s="613">
        <v>0</v>
      </c>
      <c r="E10" s="427">
        <v>80.06</v>
      </c>
      <c r="F10" s="457" t="s">
        <v>60</v>
      </c>
      <c r="G10" s="428">
        <f>AE57</f>
        <v>0</v>
      </c>
      <c r="H10" s="435"/>
      <c r="I10" s="428">
        <f>AE61</f>
        <v>0.1</v>
      </c>
      <c r="J10" s="435"/>
      <c r="K10" s="428">
        <f>AE71</f>
        <v>0.05</v>
      </c>
      <c r="L10" s="435"/>
      <c r="M10" s="428">
        <f>AE81</f>
        <v>0.15</v>
      </c>
      <c r="N10" s="429">
        <f>AE91</f>
        <v>0.05</v>
      </c>
    </row>
    <row r="11" spans="1:47">
      <c r="B11" s="426"/>
      <c r="C11" s="3"/>
      <c r="E11" s="427">
        <v>80.069999999999993</v>
      </c>
      <c r="F11" s="457" t="s">
        <v>61</v>
      </c>
      <c r="G11" s="428">
        <f>AM57</f>
        <v>0</v>
      </c>
      <c r="H11" s="435"/>
      <c r="I11" s="428">
        <f>AM61</f>
        <v>0.1</v>
      </c>
      <c r="J11" s="435"/>
      <c r="K11" s="428">
        <f>AM71</f>
        <v>0.15</v>
      </c>
      <c r="L11" s="435"/>
      <c r="M11" s="428">
        <f>AM81</f>
        <v>0.30000000000000004</v>
      </c>
      <c r="N11" s="429">
        <f>AM91</f>
        <v>0.05</v>
      </c>
    </row>
    <row r="12" spans="1:47" ht="13.5" thickBot="1">
      <c r="B12" s="426"/>
      <c r="C12" s="3"/>
      <c r="E12" s="430">
        <v>80.08</v>
      </c>
      <c r="F12" s="458" t="s">
        <v>62</v>
      </c>
      <c r="G12" s="432">
        <f>AU57</f>
        <v>0</v>
      </c>
      <c r="H12" s="431"/>
      <c r="I12" s="432">
        <f>AU61</f>
        <v>0.4</v>
      </c>
      <c r="J12" s="431"/>
      <c r="K12" s="432">
        <f>AU71</f>
        <v>0.25</v>
      </c>
      <c r="L12" s="431"/>
      <c r="M12" s="432">
        <f>AU81</f>
        <v>0.60000000000000009</v>
      </c>
      <c r="N12" s="433">
        <f>AU91</f>
        <v>0.05</v>
      </c>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c r="AU12" s="475"/>
    </row>
    <row r="13" spans="1:47" ht="19.5" thickBot="1">
      <c r="A13" s="3"/>
      <c r="B13" s="397"/>
      <c r="C13" s="3"/>
      <c r="D13" s="388"/>
      <c r="E13" s="388"/>
      <c r="F13" s="388"/>
      <c r="G13" s="388"/>
      <c r="H13" s="388"/>
      <c r="I13" s="388"/>
      <c r="J13" s="388"/>
      <c r="K13" s="388"/>
      <c r="L13" s="388"/>
      <c r="M13" s="388"/>
      <c r="N13" s="388"/>
      <c r="O13" s="388"/>
      <c r="R13" s="3"/>
      <c r="S13" s="3"/>
      <c r="T13" s="3"/>
    </row>
    <row r="14" spans="1:47" ht="19.5" thickBot="1">
      <c r="A14" s="3"/>
      <c r="B14" s="397"/>
      <c r="C14" s="3"/>
      <c r="D14" s="3"/>
      <c r="E14" s="3"/>
      <c r="F14" s="3"/>
      <c r="G14" s="3"/>
      <c r="H14" s="3"/>
      <c r="I14" s="3"/>
      <c r="J14" s="3"/>
      <c r="K14" s="3"/>
      <c r="L14" s="3"/>
      <c r="M14" s="3"/>
      <c r="N14" s="3"/>
      <c r="O14" s="3"/>
      <c r="P14" s="1221" t="s">
        <v>421</v>
      </c>
      <c r="Q14" s="1222"/>
      <c r="R14" s="1222"/>
      <c r="S14" s="1222"/>
      <c r="T14" s="1222"/>
      <c r="U14" s="1222"/>
      <c r="V14" s="1222"/>
      <c r="W14" s="1222"/>
      <c r="X14" s="1222"/>
      <c r="Y14" s="1222"/>
      <c r="Z14" s="1222"/>
      <c r="AA14" s="1222"/>
      <c r="AB14" s="1222"/>
      <c r="AC14" s="1222"/>
      <c r="AD14" s="1222"/>
      <c r="AE14" s="1222"/>
      <c r="AF14" s="1222"/>
      <c r="AG14" s="1222"/>
      <c r="AH14" s="1222"/>
      <c r="AI14" s="1222"/>
      <c r="AJ14" s="1222"/>
      <c r="AK14" s="1222"/>
      <c r="AL14" s="1222"/>
      <c r="AM14" s="1222"/>
      <c r="AN14" s="1222"/>
      <c r="AO14" s="1222"/>
      <c r="AP14" s="1222"/>
      <c r="AQ14" s="1222"/>
      <c r="AR14" s="1222"/>
      <c r="AS14" s="1222"/>
      <c r="AT14" s="1222"/>
      <c r="AU14" s="1223"/>
    </row>
    <row r="15" spans="1:47" ht="19.5" thickBot="1">
      <c r="D15" s="92"/>
      <c r="E15" s="92"/>
      <c r="F15" s="92"/>
      <c r="G15" s="92"/>
      <c r="H15" s="92"/>
      <c r="I15" s="92"/>
      <c r="J15" s="92"/>
      <c r="K15" s="92"/>
      <c r="L15" s="92"/>
      <c r="M15" s="92"/>
      <c r="N15" s="92"/>
      <c r="O15" s="92"/>
      <c r="P15" s="1233" t="s">
        <v>403</v>
      </c>
      <c r="Q15" s="1234"/>
      <c r="R15" s="1234"/>
      <c r="S15" s="1234"/>
      <c r="T15" s="1234"/>
      <c r="U15" s="1234"/>
      <c r="V15" s="1234"/>
      <c r="W15" s="1235"/>
      <c r="X15" s="1233" t="s">
        <v>404</v>
      </c>
      <c r="Y15" s="1234"/>
      <c r="Z15" s="1234"/>
      <c r="AA15" s="1234"/>
      <c r="AB15" s="1234"/>
      <c r="AC15" s="1234"/>
      <c r="AD15" s="1234"/>
      <c r="AE15" s="1235"/>
      <c r="AF15" s="1233" t="s">
        <v>397</v>
      </c>
      <c r="AG15" s="1234"/>
      <c r="AH15" s="1234"/>
      <c r="AI15" s="1234"/>
      <c r="AJ15" s="1234"/>
      <c r="AK15" s="1234"/>
      <c r="AL15" s="1234"/>
      <c r="AM15" s="1235"/>
      <c r="AN15" s="1233" t="s">
        <v>398</v>
      </c>
      <c r="AO15" s="1234"/>
      <c r="AP15" s="1234"/>
      <c r="AQ15" s="1234"/>
      <c r="AR15" s="1234"/>
      <c r="AS15" s="1234"/>
      <c r="AT15" s="1234"/>
      <c r="AU15" s="1235"/>
    </row>
    <row r="16" spans="1:47" ht="13.5" thickBot="1">
      <c r="D16" s="92"/>
      <c r="E16" s="92"/>
      <c r="F16" s="92"/>
      <c r="G16" s="92"/>
      <c r="H16" s="92"/>
      <c r="I16" s="92"/>
      <c r="J16" s="92"/>
      <c r="K16" s="92"/>
      <c r="L16" s="92"/>
      <c r="M16" s="92"/>
      <c r="N16" s="92"/>
      <c r="O16" s="92"/>
      <c r="P16" s="422" t="s">
        <v>412</v>
      </c>
      <c r="Q16" s="33"/>
      <c r="R16" s="33"/>
      <c r="S16" s="33"/>
      <c r="T16" s="1241" t="s">
        <v>416</v>
      </c>
      <c r="U16" s="1241"/>
      <c r="V16" s="1242"/>
      <c r="W16" s="472">
        <f>SUM(W18)</f>
        <v>0</v>
      </c>
      <c r="X16" s="422" t="s">
        <v>375</v>
      </c>
      <c r="Y16" s="33"/>
      <c r="Z16" s="33"/>
      <c r="AA16" s="33"/>
      <c r="AB16" s="1241" t="s">
        <v>416</v>
      </c>
      <c r="AC16" s="1241"/>
      <c r="AD16" s="1242"/>
      <c r="AE16" s="472">
        <f>SUM(AE18)</f>
        <v>0</v>
      </c>
      <c r="AF16" s="422" t="s">
        <v>375</v>
      </c>
      <c r="AG16" s="33"/>
      <c r="AH16" s="33"/>
      <c r="AI16" s="33"/>
      <c r="AJ16" s="1241" t="s">
        <v>416</v>
      </c>
      <c r="AK16" s="1241"/>
      <c r="AL16" s="1242"/>
      <c r="AM16" s="472">
        <f>SUM(AM18)</f>
        <v>0</v>
      </c>
      <c r="AN16" s="422" t="s">
        <v>375</v>
      </c>
      <c r="AO16" s="33"/>
      <c r="AP16" s="33"/>
      <c r="AQ16" s="33"/>
      <c r="AR16" s="1241" t="s">
        <v>416</v>
      </c>
      <c r="AS16" s="1241"/>
      <c r="AT16" s="1242"/>
      <c r="AU16" s="472">
        <f>SUM(AU18)</f>
        <v>0</v>
      </c>
    </row>
    <row r="17" spans="4:47" ht="51">
      <c r="D17" s="92"/>
      <c r="E17" s="92"/>
      <c r="F17" s="92"/>
      <c r="G17" s="92"/>
      <c r="H17" s="92"/>
      <c r="I17" s="92"/>
      <c r="J17" s="92"/>
      <c r="K17" s="92"/>
      <c r="L17" s="92"/>
      <c r="M17" s="92"/>
      <c r="N17" s="92"/>
      <c r="O17" s="92"/>
      <c r="P17" s="406" t="s">
        <v>377</v>
      </c>
      <c r="Q17" s="378" t="s">
        <v>378</v>
      </c>
      <c r="R17" s="379" t="s">
        <v>379</v>
      </c>
      <c r="S17" s="466" t="s">
        <v>380</v>
      </c>
      <c r="T17" s="469" t="s">
        <v>381</v>
      </c>
      <c r="U17" s="470" t="s">
        <v>382</v>
      </c>
      <c r="V17" s="378" t="s">
        <v>383</v>
      </c>
      <c r="W17" s="448" t="s">
        <v>384</v>
      </c>
      <c r="X17" s="406" t="s">
        <v>377</v>
      </c>
      <c r="Y17" s="378" t="s">
        <v>378</v>
      </c>
      <c r="Z17" s="379" t="s">
        <v>379</v>
      </c>
      <c r="AA17" s="466" t="s">
        <v>380</v>
      </c>
      <c r="AB17" s="469" t="s">
        <v>381</v>
      </c>
      <c r="AC17" s="470" t="s">
        <v>382</v>
      </c>
      <c r="AD17" s="378" t="s">
        <v>383</v>
      </c>
      <c r="AE17" s="448" t="s">
        <v>384</v>
      </c>
      <c r="AF17" s="406" t="s">
        <v>377</v>
      </c>
      <c r="AG17" s="378" t="s">
        <v>378</v>
      </c>
      <c r="AH17" s="379" t="s">
        <v>379</v>
      </c>
      <c r="AI17" s="466" t="s">
        <v>380</v>
      </c>
      <c r="AJ17" s="469" t="s">
        <v>381</v>
      </c>
      <c r="AK17" s="470" t="s">
        <v>382</v>
      </c>
      <c r="AL17" s="378" t="s">
        <v>383</v>
      </c>
      <c r="AM17" s="448" t="s">
        <v>384</v>
      </c>
      <c r="AN17" s="406" t="s">
        <v>377</v>
      </c>
      <c r="AO17" s="378" t="s">
        <v>378</v>
      </c>
      <c r="AP17" s="379" t="s">
        <v>379</v>
      </c>
      <c r="AQ17" s="466" t="s">
        <v>380</v>
      </c>
      <c r="AR17" s="469" t="s">
        <v>381</v>
      </c>
      <c r="AS17" s="470" t="s">
        <v>382</v>
      </c>
      <c r="AT17" s="378" t="s">
        <v>383</v>
      </c>
      <c r="AU17" s="448" t="s">
        <v>384</v>
      </c>
    </row>
    <row r="18" spans="4:47">
      <c r="D18" s="92"/>
      <c r="E18" s="92"/>
      <c r="F18" s="92"/>
      <c r="G18" s="92"/>
      <c r="H18" s="92"/>
      <c r="I18" s="92"/>
      <c r="J18" s="92"/>
      <c r="K18" s="92"/>
      <c r="L18" s="92"/>
      <c r="M18" s="92"/>
      <c r="N18" s="92"/>
      <c r="O18" s="92"/>
      <c r="P18" s="396" t="s">
        <v>385</v>
      </c>
      <c r="Q18" s="384">
        <v>0.15</v>
      </c>
      <c r="R18" s="385">
        <v>1</v>
      </c>
      <c r="S18" s="467">
        <f>(U18-T18)/(R18-Q18)</f>
        <v>0</v>
      </c>
      <c r="T18" s="425">
        <v>0</v>
      </c>
      <c r="U18" s="471">
        <v>0</v>
      </c>
      <c r="V18" s="468" t="str">
        <f>IF(AND(PMDsgnPct&gt;=Q18,PMDsgnPct&lt;=R18),((PMDsgnPct-Q18)*S18),"XXX")</f>
        <v>XXX</v>
      </c>
      <c r="W18" s="399" t="str">
        <f>IF(V18&lt;&gt;"XXX",T18+V18,"XXX")</f>
        <v>XXX</v>
      </c>
      <c r="X18" s="396" t="s">
        <v>385</v>
      </c>
      <c r="Y18" s="384">
        <v>0</v>
      </c>
      <c r="Z18" s="385">
        <v>1</v>
      </c>
      <c r="AA18" s="467">
        <f>(AC18-AB18)/(Z18-Y18)</f>
        <v>0</v>
      </c>
      <c r="AB18" s="425">
        <v>0</v>
      </c>
      <c r="AC18" s="471">
        <v>0</v>
      </c>
      <c r="AD18" s="468">
        <f>IF(AND(PMDsgnPct&gt;=Y18,PMDsgnPct&lt;=Z18),((PMDsgnPct-Y18)*AA18),"XXX")</f>
        <v>0</v>
      </c>
      <c r="AE18" s="399">
        <f>IF(AD18&lt;&gt;"XXX",AB18+AD18,"XXX")</f>
        <v>0</v>
      </c>
      <c r="AF18" s="396" t="s">
        <v>385</v>
      </c>
      <c r="AG18" s="384">
        <v>0.15</v>
      </c>
      <c r="AH18" s="385">
        <v>1</v>
      </c>
      <c r="AI18" s="467">
        <f>(AK18-AJ18)/(AH18-AG18)</f>
        <v>0</v>
      </c>
      <c r="AJ18" s="425">
        <v>0</v>
      </c>
      <c r="AK18" s="471">
        <v>0</v>
      </c>
      <c r="AL18" s="468" t="str">
        <f>IF(AND(PMDsgnPct&gt;=AG18,PMDsgnPct&lt;=AH18),((PMDsgnPct-AG18)*AI18),"XXX")</f>
        <v>XXX</v>
      </c>
      <c r="AM18" s="399" t="str">
        <f>IF(AL18&lt;&gt;"XXX",AJ18+AL18,"XXX")</f>
        <v>XXX</v>
      </c>
      <c r="AN18" s="396" t="s">
        <v>385</v>
      </c>
      <c r="AO18" s="384">
        <v>0.15</v>
      </c>
      <c r="AP18" s="385">
        <v>1</v>
      </c>
      <c r="AQ18" s="467">
        <f>(AS18-AR18)/(AP18-AO18)</f>
        <v>0</v>
      </c>
      <c r="AR18" s="425">
        <v>0</v>
      </c>
      <c r="AS18" s="471">
        <v>0</v>
      </c>
      <c r="AT18" s="468" t="str">
        <f>IF(AND(PMDsgnPct&gt;=AO18,PMDsgnPct&lt;=AP18),((PMDsgnPct-AO18)*AQ18),"XXX")</f>
        <v>XXX</v>
      </c>
      <c r="AU18" s="399" t="str">
        <f>IF(AT18&lt;&gt;"XXX",AR18+AT18,"XXX")</f>
        <v>XXX</v>
      </c>
    </row>
    <row r="19" spans="4:47" ht="13.5" thickBot="1">
      <c r="D19" s="92"/>
      <c r="E19" s="92"/>
      <c r="F19" s="92"/>
      <c r="G19" s="92"/>
      <c r="H19" s="92"/>
      <c r="I19" s="92"/>
      <c r="J19" s="92"/>
      <c r="K19" s="92"/>
      <c r="L19" s="92"/>
      <c r="M19" s="92"/>
      <c r="N19" s="92"/>
      <c r="O19" s="92"/>
      <c r="P19" s="477"/>
      <c r="Q19" s="424"/>
      <c r="R19" s="424"/>
      <c r="S19" s="463"/>
      <c r="T19" s="463"/>
      <c r="U19" s="463"/>
      <c r="V19" s="463"/>
      <c r="W19" s="481"/>
      <c r="X19" s="477"/>
      <c r="Y19" s="424"/>
      <c r="Z19" s="424"/>
      <c r="AA19" s="463"/>
      <c r="AB19" s="463"/>
      <c r="AC19" s="464"/>
      <c r="AD19" s="424"/>
      <c r="AE19" s="486"/>
      <c r="AF19" s="402"/>
      <c r="AG19" s="33"/>
      <c r="AH19" s="33"/>
      <c r="AI19" s="403"/>
      <c r="AJ19" s="403"/>
      <c r="AK19" s="404"/>
      <c r="AL19" s="33"/>
      <c r="AM19" s="56"/>
      <c r="AN19" s="402"/>
      <c r="AO19" s="33"/>
      <c r="AP19" s="33"/>
      <c r="AQ19" s="403"/>
      <c r="AR19" s="403"/>
      <c r="AS19" s="404"/>
      <c r="AT19" s="33"/>
      <c r="AU19" s="56"/>
    </row>
    <row r="20" spans="4:47" ht="13.5" thickBot="1">
      <c r="D20" s="92"/>
      <c r="E20" s="92"/>
      <c r="F20" s="92"/>
      <c r="G20" s="92"/>
      <c r="H20" s="92"/>
      <c r="I20" s="92"/>
      <c r="J20" s="92"/>
      <c r="K20" s="92"/>
      <c r="L20" s="92"/>
      <c r="M20" s="92"/>
      <c r="N20" s="92"/>
      <c r="O20" s="92"/>
      <c r="P20" s="465" t="s">
        <v>413</v>
      </c>
      <c r="Q20" s="395"/>
      <c r="R20" s="395"/>
      <c r="S20" s="33"/>
      <c r="T20" s="1241" t="s">
        <v>417</v>
      </c>
      <c r="U20" s="1241"/>
      <c r="V20" s="1242"/>
      <c r="W20" s="472">
        <f>SUM(W22)</f>
        <v>0</v>
      </c>
      <c r="X20" s="465" t="s">
        <v>405</v>
      </c>
      <c r="Y20" s="395"/>
      <c r="Z20" s="395"/>
      <c r="AA20" s="33"/>
      <c r="AB20" s="1241" t="s">
        <v>417</v>
      </c>
      <c r="AC20" s="1241"/>
      <c r="AD20" s="1242"/>
      <c r="AE20" s="472">
        <f>SUM(AE22:AE24)</f>
        <v>0</v>
      </c>
      <c r="AF20" s="422" t="s">
        <v>405</v>
      </c>
      <c r="AG20" s="395"/>
      <c r="AH20" s="395"/>
      <c r="AI20" s="33"/>
      <c r="AJ20" s="1241" t="s">
        <v>417</v>
      </c>
      <c r="AK20" s="1241"/>
      <c r="AL20" s="1242"/>
      <c r="AM20" s="472">
        <f>SUM(AM22:AM28)</f>
        <v>0.15</v>
      </c>
      <c r="AN20" s="422" t="s">
        <v>405</v>
      </c>
      <c r="AO20" s="395"/>
      <c r="AP20" s="395"/>
      <c r="AQ20" s="33"/>
      <c r="AR20" s="1241" t="s">
        <v>417</v>
      </c>
      <c r="AS20" s="1241"/>
      <c r="AT20" s="1242"/>
      <c r="AU20" s="472">
        <f>SUM(AU22:AU28)</f>
        <v>0.2</v>
      </c>
    </row>
    <row r="21" spans="4:47" ht="51">
      <c r="D21" s="92"/>
      <c r="E21" s="92"/>
      <c r="F21" s="92"/>
      <c r="G21" s="92"/>
      <c r="H21" s="92"/>
      <c r="I21" s="92"/>
      <c r="J21" s="92"/>
      <c r="K21" s="92"/>
      <c r="L21" s="92"/>
      <c r="M21" s="92"/>
      <c r="N21" s="92"/>
      <c r="O21" s="92"/>
      <c r="P21" s="406" t="s">
        <v>377</v>
      </c>
      <c r="Q21" s="378" t="s">
        <v>378</v>
      </c>
      <c r="R21" s="379" t="s">
        <v>379</v>
      </c>
      <c r="S21" s="466" t="s">
        <v>380</v>
      </c>
      <c r="T21" s="469" t="s">
        <v>381</v>
      </c>
      <c r="U21" s="470" t="s">
        <v>382</v>
      </c>
      <c r="V21" s="378" t="s">
        <v>383</v>
      </c>
      <c r="W21" s="448" t="s">
        <v>384</v>
      </c>
      <c r="X21" s="406" t="s">
        <v>377</v>
      </c>
      <c r="Y21" s="378" t="s">
        <v>378</v>
      </c>
      <c r="Z21" s="379" t="s">
        <v>379</v>
      </c>
      <c r="AA21" s="466" t="s">
        <v>380</v>
      </c>
      <c r="AB21" s="469" t="s">
        <v>381</v>
      </c>
      <c r="AC21" s="470" t="s">
        <v>382</v>
      </c>
      <c r="AD21" s="378" t="s">
        <v>383</v>
      </c>
      <c r="AE21" s="448" t="s">
        <v>384</v>
      </c>
      <c r="AF21" s="406" t="s">
        <v>377</v>
      </c>
      <c r="AG21" s="378" t="s">
        <v>378</v>
      </c>
      <c r="AH21" s="379" t="s">
        <v>379</v>
      </c>
      <c r="AI21" s="466" t="s">
        <v>380</v>
      </c>
      <c r="AJ21" s="469" t="s">
        <v>381</v>
      </c>
      <c r="AK21" s="470" t="s">
        <v>382</v>
      </c>
      <c r="AL21" s="378" t="s">
        <v>383</v>
      </c>
      <c r="AM21" s="448" t="s">
        <v>384</v>
      </c>
      <c r="AN21" s="406" t="s">
        <v>377</v>
      </c>
      <c r="AO21" s="378" t="s">
        <v>378</v>
      </c>
      <c r="AP21" s="379" t="s">
        <v>379</v>
      </c>
      <c r="AQ21" s="466" t="s">
        <v>380</v>
      </c>
      <c r="AR21" s="469" t="s">
        <v>381</v>
      </c>
      <c r="AS21" s="470" t="s">
        <v>382</v>
      </c>
      <c r="AT21" s="378" t="s">
        <v>383</v>
      </c>
      <c r="AU21" s="448" t="s">
        <v>384</v>
      </c>
    </row>
    <row r="22" spans="4:47">
      <c r="D22" s="92"/>
      <c r="E22" s="92"/>
      <c r="F22" s="92"/>
      <c r="G22" s="92"/>
      <c r="H22" s="92"/>
      <c r="I22" s="92"/>
      <c r="J22" s="92"/>
      <c r="K22" s="92"/>
      <c r="L22" s="92"/>
      <c r="M22" s="92"/>
      <c r="N22" s="92"/>
      <c r="O22" s="92"/>
      <c r="P22" s="396" t="s">
        <v>385</v>
      </c>
      <c r="Q22" s="384">
        <v>0.15</v>
      </c>
      <c r="R22" s="385">
        <v>1</v>
      </c>
      <c r="S22" s="467">
        <f>(U22-T22)/(R22-Q22)</f>
        <v>0</v>
      </c>
      <c r="T22" s="425">
        <v>0</v>
      </c>
      <c r="U22" s="471">
        <v>0</v>
      </c>
      <c r="V22" s="468" t="str">
        <f>IF(AND(PMDsgnPct&gt;=Q22,PMDsgnPct&lt;=R22),((PMDsgnPct-Q22)*S22),"XXX")</f>
        <v>XXX</v>
      </c>
      <c r="W22" s="399" t="str">
        <f>IF(V22&lt;&gt;"XXX",T22+V22,"XXX")</f>
        <v>XXX</v>
      </c>
      <c r="X22" s="396" t="s">
        <v>385</v>
      </c>
      <c r="Y22" s="384">
        <v>0.15</v>
      </c>
      <c r="Z22" s="385">
        <v>0.3</v>
      </c>
      <c r="AA22" s="467">
        <f>(AC22-AB22)/(Z22-Y22)</f>
        <v>-0.33333333333333365</v>
      </c>
      <c r="AB22" s="425">
        <v>0.4</v>
      </c>
      <c r="AC22" s="471">
        <v>0.35</v>
      </c>
      <c r="AD22" s="468" t="str">
        <f>IF(AND(PMDsgnPct&gt;=Y22,PMDsgnPct&lt;=Z22),((PMDsgnPct-Y22)*AA22),"XXX")</f>
        <v>XXX</v>
      </c>
      <c r="AE22" s="399" t="str">
        <f>IF(AD22&lt;&gt;"XXX",AB22+AD22,"XXX")</f>
        <v>XXX</v>
      </c>
      <c r="AF22" s="396" t="s">
        <v>385</v>
      </c>
      <c r="AG22" s="384">
        <v>0.15</v>
      </c>
      <c r="AH22" s="385">
        <v>0.3</v>
      </c>
      <c r="AI22" s="467">
        <f>(AK22-AJ22)/(AH22-AG22)</f>
        <v>-0.33333333333333326</v>
      </c>
      <c r="AJ22" s="425">
        <v>0.35</v>
      </c>
      <c r="AK22" s="471">
        <v>0.3</v>
      </c>
      <c r="AL22" s="468" t="str">
        <f>IF(AND(PMDsgnPct&gt;=AG22,PMDsgnPct&lt;=AH22),((PMDsgnPct-AG22)*AI22),"XXX")</f>
        <v>XXX</v>
      </c>
      <c r="AM22" s="399" t="str">
        <f>IF(AL22&lt;&gt;"XXX",AJ22+AL22,"XXX")</f>
        <v>XXX</v>
      </c>
      <c r="AN22" s="396" t="s">
        <v>385</v>
      </c>
      <c r="AO22" s="384">
        <v>0.15</v>
      </c>
      <c r="AP22" s="385">
        <v>0.3</v>
      </c>
      <c r="AQ22" s="467">
        <f>(AS22-AR22)/(AP22-AO22)</f>
        <v>-1.0000000000000002</v>
      </c>
      <c r="AR22" s="425">
        <v>0.4</v>
      </c>
      <c r="AS22" s="471">
        <v>0.25</v>
      </c>
      <c r="AT22" s="468" t="str">
        <f>IF(AND(PMDsgnPct&gt;=AO22,PMDsgnPct&lt;=AP22),((PMDsgnPct-AO22)*AQ22),"XXX")</f>
        <v>XXX</v>
      </c>
      <c r="AU22" s="399" t="str">
        <f>IF(AT22&lt;&gt;"XXX",AR22+AT22,"XXX")</f>
        <v>XXX</v>
      </c>
    </row>
    <row r="23" spans="4:47">
      <c r="D23" s="92"/>
      <c r="E23" s="92"/>
      <c r="F23" s="92"/>
      <c r="G23" s="92"/>
      <c r="H23" s="92"/>
      <c r="I23" s="92"/>
      <c r="J23" s="92"/>
      <c r="K23" s="92"/>
      <c r="L23" s="92"/>
      <c r="M23" s="92"/>
      <c r="N23" s="92"/>
      <c r="O23" s="92"/>
      <c r="P23" s="37"/>
      <c r="Q23" s="33"/>
      <c r="R23" s="33"/>
      <c r="S23" s="33"/>
      <c r="T23" s="33"/>
      <c r="U23" s="33"/>
      <c r="V23" s="33"/>
      <c r="W23" s="56"/>
      <c r="X23" s="396" t="s">
        <v>385</v>
      </c>
      <c r="Y23" s="384">
        <v>0.3</v>
      </c>
      <c r="Z23" s="385">
        <v>0.95</v>
      </c>
      <c r="AA23" s="467">
        <f>(AC23-AB23)/(Z23-Y23)</f>
        <v>-0.46153846153846156</v>
      </c>
      <c r="AB23" s="425">
        <v>0.35</v>
      </c>
      <c r="AC23" s="471">
        <v>0.05</v>
      </c>
      <c r="AD23" s="468" t="str">
        <f>IF(AND(PMDsgnPct&gt;=Y23,PMDsgnPct&lt;=Z23),((PMDsgnPct-Y23)*AA23),"XXX")</f>
        <v>XXX</v>
      </c>
      <c r="AE23" s="399" t="str">
        <f t="shared" ref="AE23:AE24" si="0">IF(AD23&lt;&gt;"XXX",AB23+AD23,"XXX")</f>
        <v>XXX</v>
      </c>
      <c r="AF23" s="396" t="s">
        <v>385</v>
      </c>
      <c r="AG23" s="384">
        <v>0.3</v>
      </c>
      <c r="AH23" s="385">
        <v>0.6</v>
      </c>
      <c r="AI23" s="467">
        <f t="shared" ref="AI23:AI24" si="1">(AK23-AJ23)/(AH23-AG23)</f>
        <v>-0.16666666666666663</v>
      </c>
      <c r="AJ23" s="425">
        <v>0.3</v>
      </c>
      <c r="AK23" s="471">
        <v>0.25</v>
      </c>
      <c r="AL23" s="468" t="str">
        <f>IF(AND(PMDsgnPct&gt;=AG23,PMDsgnPct&lt;=AH23),((PMDsgnPct-AG23)*AI23),"XXX")</f>
        <v>XXX</v>
      </c>
      <c r="AM23" s="399" t="str">
        <f t="shared" ref="AM23:AM24" si="2">IF(AL23&lt;&gt;"XXX",AJ23+AL23,"XXX")</f>
        <v>XXX</v>
      </c>
      <c r="AN23" s="396" t="s">
        <v>385</v>
      </c>
      <c r="AO23" s="384">
        <v>0.3</v>
      </c>
      <c r="AP23" s="385">
        <v>0.6</v>
      </c>
      <c r="AQ23" s="467">
        <f t="shared" ref="AQ23:AQ24" si="3">(AS23-AR23)/(AP23-AO23)</f>
        <v>-0.5</v>
      </c>
      <c r="AR23" s="425">
        <v>0.25</v>
      </c>
      <c r="AS23" s="471">
        <v>0.1</v>
      </c>
      <c r="AT23" s="468" t="str">
        <f>IF(AND(PMDsgnPct&gt;=AO23,PMDsgnPct&lt;=AP23),((PMDsgnPct-AO23)*AQ23),"XXX")</f>
        <v>XXX</v>
      </c>
      <c r="AU23" s="399" t="str">
        <f t="shared" ref="AU23:AU24" si="4">IF(AT23&lt;&gt;"XXX",AR23+AT23,"XXX")</f>
        <v>XXX</v>
      </c>
    </row>
    <row r="24" spans="4:47">
      <c r="D24" s="92"/>
      <c r="E24" s="92"/>
      <c r="F24" s="92"/>
      <c r="G24" s="92"/>
      <c r="H24" s="92"/>
      <c r="I24" s="92"/>
      <c r="J24" s="92"/>
      <c r="K24" s="92"/>
      <c r="L24" s="92"/>
      <c r="M24" s="92"/>
      <c r="N24" s="92"/>
      <c r="O24" s="92"/>
      <c r="P24" s="37"/>
      <c r="Q24" s="33"/>
      <c r="R24" s="33"/>
      <c r="S24" s="33"/>
      <c r="T24" s="33"/>
      <c r="U24" s="33"/>
      <c r="V24" s="33"/>
      <c r="W24" s="56"/>
      <c r="X24" s="396" t="s">
        <v>385</v>
      </c>
      <c r="Y24" s="384">
        <v>0.95</v>
      </c>
      <c r="Z24" s="385">
        <v>1</v>
      </c>
      <c r="AA24" s="467">
        <f>(AC24-AB24)/(Z24-Y24)</f>
        <v>-0.99999999999999911</v>
      </c>
      <c r="AB24" s="425">
        <v>0.05</v>
      </c>
      <c r="AC24" s="471">
        <v>0</v>
      </c>
      <c r="AD24" s="468" t="str">
        <f>IF(AND(PMDsgnPct&gt;=Y24,PMDsgnPct&lt;=Z24),((PMDsgnPct-Y24)*AA24),"XXX")</f>
        <v>XXX</v>
      </c>
      <c r="AE24" s="399" t="str">
        <f t="shared" si="0"/>
        <v>XXX</v>
      </c>
      <c r="AF24" s="396" t="s">
        <v>385</v>
      </c>
      <c r="AG24" s="384">
        <v>0.6</v>
      </c>
      <c r="AH24" s="385">
        <v>0.95</v>
      </c>
      <c r="AI24" s="467">
        <f t="shared" si="1"/>
        <v>-0.4285714285714286</v>
      </c>
      <c r="AJ24" s="425">
        <v>0.25</v>
      </c>
      <c r="AK24" s="471">
        <v>0.1</v>
      </c>
      <c r="AL24" s="468" t="str">
        <f>IF(AND(PMDsgnPct&gt;=AG24,PMDsgnPct&lt;=AH24),((PMDsgnPct-AG24)*AI24),"XXX")</f>
        <v>XXX</v>
      </c>
      <c r="AM24" s="399" t="str">
        <f t="shared" si="2"/>
        <v>XXX</v>
      </c>
      <c r="AN24" s="396" t="s">
        <v>385</v>
      </c>
      <c r="AO24" s="384">
        <v>0.6</v>
      </c>
      <c r="AP24" s="385">
        <v>0.95</v>
      </c>
      <c r="AQ24" s="467">
        <f t="shared" si="3"/>
        <v>-0.14285714285714288</v>
      </c>
      <c r="AR24" s="425">
        <v>0.1</v>
      </c>
      <c r="AS24" s="471">
        <v>0.05</v>
      </c>
      <c r="AT24" s="468" t="str">
        <f>IF(AND(PMDsgnPct&gt;=AO24,PMDsgnPct&lt;=AP24),((PMDsgnPct-AO24)*AQ24),"XXX")</f>
        <v>XXX</v>
      </c>
      <c r="AU24" s="399" t="str">
        <f t="shared" si="4"/>
        <v>XXX</v>
      </c>
    </row>
    <row r="25" spans="4:47">
      <c r="D25" s="92"/>
      <c r="E25" s="92"/>
      <c r="F25" s="92"/>
      <c r="G25" s="92"/>
      <c r="H25" s="92"/>
      <c r="I25" s="92"/>
      <c r="J25" s="92"/>
      <c r="K25" s="92"/>
      <c r="L25" s="92"/>
      <c r="M25" s="92"/>
      <c r="N25" s="92"/>
      <c r="O25" s="92"/>
      <c r="P25" s="37"/>
      <c r="Q25" s="33"/>
      <c r="R25" s="33"/>
      <c r="S25" s="33"/>
      <c r="T25" s="33"/>
      <c r="U25" s="33"/>
      <c r="V25" s="33"/>
      <c r="W25" s="56"/>
      <c r="X25" s="402"/>
      <c r="Y25" s="395"/>
      <c r="Z25" s="395"/>
      <c r="AA25" s="403"/>
      <c r="AB25" s="407"/>
      <c r="AC25" s="407"/>
      <c r="AD25" s="407"/>
      <c r="AE25" s="56"/>
      <c r="AF25" s="396" t="s">
        <v>385</v>
      </c>
      <c r="AG25" s="384">
        <v>0.95</v>
      </c>
      <c r="AH25" s="385">
        <v>1</v>
      </c>
      <c r="AI25" s="467">
        <f>(AK25-AJ25)/(AH25-AG25)</f>
        <v>-1.9999999999999982</v>
      </c>
      <c r="AJ25" s="425">
        <f>AK24</f>
        <v>0.1</v>
      </c>
      <c r="AK25" s="471">
        <v>0</v>
      </c>
      <c r="AL25" s="468" t="str">
        <f>IF(AND(PMDsgnPct&gt;=AG25,PMDsgnPct&lt;=AH25),((PMDsgnPct-AG25)*AI25),"XXX")</f>
        <v>XXX</v>
      </c>
      <c r="AM25" s="399" t="str">
        <f>IF(AL25&lt;&gt;"XXX",AJ25+AL25,"XXX")</f>
        <v>XXX</v>
      </c>
      <c r="AN25" s="396" t="s">
        <v>385</v>
      </c>
      <c r="AO25" s="384">
        <v>0.95</v>
      </c>
      <c r="AP25" s="385">
        <v>1</v>
      </c>
      <c r="AQ25" s="467">
        <f>(AS25-AR25)/(AP25-AO25)</f>
        <v>-0.99999999999999911</v>
      </c>
      <c r="AR25" s="425">
        <v>0.05</v>
      </c>
      <c r="AS25" s="471">
        <v>0</v>
      </c>
      <c r="AT25" s="468" t="str">
        <f>IF(AND(PMDsgnPct&gt;=AO25,PMDsgnPct&lt;=AP25),((PMDsgnPct-AO25)*AQ25),"XXX")</f>
        <v>XXX</v>
      </c>
      <c r="AU25" s="399" t="str">
        <f>IF(AT25&lt;&gt;"XXX",AR25+AT25,"XXX")</f>
        <v>XXX</v>
      </c>
    </row>
    <row r="26" spans="4:47">
      <c r="D26" s="92"/>
      <c r="E26" s="92"/>
      <c r="F26" s="92"/>
      <c r="G26" s="92"/>
      <c r="H26" s="92"/>
      <c r="I26" s="92"/>
      <c r="J26" s="92"/>
      <c r="K26" s="92"/>
      <c r="L26" s="92"/>
      <c r="M26" s="92"/>
      <c r="N26" s="92"/>
      <c r="O26" s="92"/>
      <c r="P26" s="37"/>
      <c r="Q26" s="33"/>
      <c r="R26" s="33"/>
      <c r="S26" s="33"/>
      <c r="T26" s="33"/>
      <c r="U26" s="33"/>
      <c r="V26" s="33"/>
      <c r="W26" s="56"/>
      <c r="X26" s="402"/>
      <c r="Y26" s="395"/>
      <c r="Z26" s="395"/>
      <c r="AA26" s="403"/>
      <c r="AB26" s="407"/>
      <c r="AC26" s="407"/>
      <c r="AD26" s="407"/>
      <c r="AE26" s="56"/>
      <c r="AF26" s="396" t="s">
        <v>390</v>
      </c>
      <c r="AG26" s="384">
        <v>0</v>
      </c>
      <c r="AH26" s="385">
        <v>0.2</v>
      </c>
      <c r="AI26" s="467">
        <f>(AK26-AJ26)/(AH26-AG26)</f>
        <v>-0.24999999999999994</v>
      </c>
      <c r="AJ26" s="425">
        <v>0.15</v>
      </c>
      <c r="AK26" s="471">
        <v>0.1</v>
      </c>
      <c r="AL26" s="468">
        <f>IF(AND(PMConstrPct&gt;=AG26,PMConstrPct&lt;=AH26),((PMConstrPct-AG26)*AI26),"XXX")</f>
        <v>0</v>
      </c>
      <c r="AM26" s="399">
        <f>IF(AL26&lt;&gt;"XXX",AJ26+AL26,"XXX")</f>
        <v>0.15</v>
      </c>
      <c r="AN26" s="396" t="s">
        <v>390</v>
      </c>
      <c r="AO26" s="384">
        <v>0</v>
      </c>
      <c r="AP26" s="385">
        <v>0.2</v>
      </c>
      <c r="AQ26" s="467">
        <f>(AS26-AR26)/(AP26-AO26)</f>
        <v>-0.5</v>
      </c>
      <c r="AR26" s="425">
        <v>0.2</v>
      </c>
      <c r="AS26" s="471">
        <v>0.1</v>
      </c>
      <c r="AT26" s="468">
        <f>IF(AND(PMConstrPct&gt;=AO26,PMConstrPct&lt;=AP26),((PMConstrPct-AO26)*AQ26),"XXX")</f>
        <v>0</v>
      </c>
      <c r="AU26" s="399">
        <f>IF(AT26&lt;&gt;"XXX",AR26+AT26,"XXX")</f>
        <v>0.2</v>
      </c>
    </row>
    <row r="27" spans="4:47">
      <c r="D27" s="92"/>
      <c r="E27" s="92"/>
      <c r="F27" s="92"/>
      <c r="G27" s="92"/>
      <c r="H27" s="92"/>
      <c r="I27" s="92"/>
      <c r="J27" s="92"/>
      <c r="K27" s="92"/>
      <c r="L27" s="92"/>
      <c r="M27" s="92"/>
      <c r="N27" s="92"/>
      <c r="O27" s="92"/>
      <c r="P27" s="37"/>
      <c r="Q27" s="33"/>
      <c r="R27" s="33"/>
      <c r="S27" s="33"/>
      <c r="T27" s="33"/>
      <c r="U27" s="33"/>
      <c r="V27" s="33"/>
      <c r="W27" s="56"/>
      <c r="X27" s="402"/>
      <c r="Y27" s="395"/>
      <c r="Z27" s="395"/>
      <c r="AA27" s="403"/>
      <c r="AB27" s="407"/>
      <c r="AC27" s="407"/>
      <c r="AD27" s="407"/>
      <c r="AE27" s="56"/>
      <c r="AF27" s="396" t="s">
        <v>390</v>
      </c>
      <c r="AG27" s="384">
        <v>0.2</v>
      </c>
      <c r="AH27" s="385">
        <v>0.5</v>
      </c>
      <c r="AI27" s="467">
        <f>(AK27-AJ27)/(AH27-AG27)</f>
        <v>-0.16666666666666669</v>
      </c>
      <c r="AJ27" s="425">
        <v>0.1</v>
      </c>
      <c r="AK27" s="471">
        <v>0.05</v>
      </c>
      <c r="AL27" s="468" t="str">
        <f>IF(AND(PMConstrPct&gt;=AG27,PMConstrPct&lt;=AH27),((PMConstrPct-AG27)*AI27),"XXX")</f>
        <v>XXX</v>
      </c>
      <c r="AM27" s="399" t="str">
        <f>IF(AL27&lt;&gt;"XXX",AJ27+AL27,"XXX")</f>
        <v>XXX</v>
      </c>
      <c r="AN27" s="396" t="s">
        <v>390</v>
      </c>
      <c r="AO27" s="384">
        <v>0.2</v>
      </c>
      <c r="AP27" s="385">
        <v>0.5</v>
      </c>
      <c r="AQ27" s="467">
        <f>(AS27-AR27)/(AP27-AO27)</f>
        <v>-0.16666666666666669</v>
      </c>
      <c r="AR27" s="425">
        <v>0.1</v>
      </c>
      <c r="AS27" s="471">
        <v>0.05</v>
      </c>
      <c r="AT27" s="468" t="str">
        <f>IF(AND(PMConstrPct&gt;=AO27,PMConstrPct&lt;=AP27),((PMConstrPct-AO27)*AQ27),"XXX")</f>
        <v>XXX</v>
      </c>
      <c r="AU27" s="399" t="str">
        <f>IF(AT27&lt;&gt;"XXX",AR27+AT27,"XXX")</f>
        <v>XXX</v>
      </c>
    </row>
    <row r="28" spans="4:47">
      <c r="D28" s="92"/>
      <c r="E28" s="92"/>
      <c r="F28" s="92"/>
      <c r="G28" s="92"/>
      <c r="H28" s="92"/>
      <c r="I28" s="92"/>
      <c r="J28" s="92"/>
      <c r="K28" s="92"/>
      <c r="L28" s="92"/>
      <c r="M28" s="92"/>
      <c r="N28" s="92"/>
      <c r="O28" s="92"/>
      <c r="P28" s="37"/>
      <c r="Q28" s="33"/>
      <c r="R28" s="33"/>
      <c r="S28" s="33"/>
      <c r="T28" s="33"/>
      <c r="U28" s="33"/>
      <c r="V28" s="33"/>
      <c r="W28" s="56"/>
      <c r="X28" s="402"/>
      <c r="Y28" s="395"/>
      <c r="Z28" s="395"/>
      <c r="AA28" s="403"/>
      <c r="AB28" s="407"/>
      <c r="AC28" s="407"/>
      <c r="AD28" s="407"/>
      <c r="AE28" s="56"/>
      <c r="AF28" s="396" t="s">
        <v>390</v>
      </c>
      <c r="AG28" s="384">
        <v>0.5</v>
      </c>
      <c r="AH28" s="385">
        <v>1</v>
      </c>
      <c r="AI28" s="467">
        <f>(AK28-AJ28)/(AH28-AG28)</f>
        <v>-0.1</v>
      </c>
      <c r="AJ28" s="425">
        <v>0.05</v>
      </c>
      <c r="AK28" s="471">
        <v>0</v>
      </c>
      <c r="AL28" s="468" t="str">
        <f>IF(AND(PMConstrPct&gt;=AG28,PMConstrPct&lt;=AH28),((PMConstrPct-AG28)*AI28),"XXX")</f>
        <v>XXX</v>
      </c>
      <c r="AM28" s="399" t="str">
        <f>IF(AL28&lt;&gt;"XXX",AJ28+AL28,"XXX")</f>
        <v>XXX</v>
      </c>
      <c r="AN28" s="396" t="s">
        <v>390</v>
      </c>
      <c r="AO28" s="384">
        <v>0.5</v>
      </c>
      <c r="AP28" s="385">
        <v>1</v>
      </c>
      <c r="AQ28" s="467">
        <f>(AS28-AR28)/(AP28-AO28)</f>
        <v>-0.1</v>
      </c>
      <c r="AR28" s="425">
        <v>0.05</v>
      </c>
      <c r="AS28" s="471">
        <v>0</v>
      </c>
      <c r="AT28" s="468" t="str">
        <f>IF(AND(PMConstrPct&gt;=AO28,PMConstrPct&lt;=AP28),((PMConstrPct-AO28)*AQ28),"XXX")</f>
        <v>XXX</v>
      </c>
      <c r="AU28" s="399" t="str">
        <f>IF(AT28&lt;&gt;"XXX",AR28+AT28,"XXX")</f>
        <v>XXX</v>
      </c>
    </row>
    <row r="29" spans="4:47" ht="13.5" thickBot="1">
      <c r="D29" s="92"/>
      <c r="E29" s="92"/>
      <c r="F29" s="92"/>
      <c r="G29" s="92"/>
      <c r="H29" s="92"/>
      <c r="I29" s="92"/>
      <c r="J29" s="92"/>
      <c r="K29" s="92"/>
      <c r="L29" s="92"/>
      <c r="M29" s="92"/>
      <c r="N29" s="92"/>
      <c r="O29" s="92"/>
      <c r="P29" s="402"/>
      <c r="Q29" s="33"/>
      <c r="R29" s="33"/>
      <c r="S29" s="403"/>
      <c r="T29" s="403"/>
      <c r="U29" s="33"/>
      <c r="V29" s="33"/>
      <c r="W29" s="56"/>
      <c r="X29" s="402"/>
      <c r="Y29" s="33"/>
      <c r="Z29" s="33"/>
      <c r="AA29" s="403"/>
      <c r="AB29" s="403"/>
      <c r="AC29" s="404"/>
      <c r="AD29" s="33"/>
      <c r="AE29" s="56"/>
      <c r="AF29" s="402"/>
      <c r="AG29" s="33"/>
      <c r="AH29" s="33"/>
      <c r="AI29" s="403"/>
      <c r="AJ29" s="403"/>
      <c r="AK29" s="404"/>
      <c r="AL29" s="33"/>
      <c r="AM29" s="56"/>
      <c r="AN29" s="402"/>
      <c r="AO29" s="33"/>
      <c r="AP29" s="33"/>
      <c r="AQ29" s="403"/>
      <c r="AR29" s="403"/>
      <c r="AS29" s="404"/>
      <c r="AT29" s="33"/>
      <c r="AU29" s="56"/>
    </row>
    <row r="30" spans="4:47" ht="13.5" thickBot="1">
      <c r="D30" s="92"/>
      <c r="E30" s="92"/>
      <c r="F30" s="92"/>
      <c r="G30" s="92"/>
      <c r="H30" s="92"/>
      <c r="I30" s="92"/>
      <c r="J30" s="92"/>
      <c r="K30" s="92"/>
      <c r="L30" s="92"/>
      <c r="M30" s="92"/>
      <c r="N30" s="92"/>
      <c r="O30" s="92"/>
      <c r="P30" s="422" t="s">
        <v>414</v>
      </c>
      <c r="Q30" s="395"/>
      <c r="R30" s="395"/>
      <c r="S30" s="33"/>
      <c r="T30" s="1241" t="s">
        <v>418</v>
      </c>
      <c r="U30" s="1241"/>
      <c r="V30" s="1242"/>
      <c r="W30" s="472">
        <f>SUM(W32:W34)</f>
        <v>0</v>
      </c>
      <c r="X30" s="422" t="s">
        <v>407</v>
      </c>
      <c r="Y30" s="395"/>
      <c r="Z30" s="395"/>
      <c r="AA30" s="33"/>
      <c r="AB30" s="1241" t="s">
        <v>418</v>
      </c>
      <c r="AC30" s="1241"/>
      <c r="AD30" s="1242"/>
      <c r="AE30" s="472">
        <f>SUM(AE32:AE34)</f>
        <v>0</v>
      </c>
      <c r="AF30" s="422" t="s">
        <v>407</v>
      </c>
      <c r="AG30" s="395"/>
      <c r="AH30" s="395"/>
      <c r="AI30" s="33"/>
      <c r="AJ30" s="1241" t="s">
        <v>418</v>
      </c>
      <c r="AK30" s="1241"/>
      <c r="AL30" s="1242"/>
      <c r="AM30" s="472">
        <f>SUM(AM32:AM38)</f>
        <v>0.1</v>
      </c>
      <c r="AN30" s="422" t="s">
        <v>407</v>
      </c>
      <c r="AO30" s="395"/>
      <c r="AP30" s="395"/>
      <c r="AQ30" s="33"/>
      <c r="AR30" s="1241" t="s">
        <v>418</v>
      </c>
      <c r="AS30" s="1241"/>
      <c r="AT30" s="1242"/>
      <c r="AU30" s="472">
        <f>SUM(AU32:AU37)</f>
        <v>0.2</v>
      </c>
    </row>
    <row r="31" spans="4:47" ht="51">
      <c r="D31" s="92"/>
      <c r="E31" s="92"/>
      <c r="F31" s="92"/>
      <c r="G31" s="92"/>
      <c r="H31" s="92"/>
      <c r="I31" s="92"/>
      <c r="J31" s="92"/>
      <c r="K31" s="92"/>
      <c r="L31" s="92"/>
      <c r="M31" s="92"/>
      <c r="N31" s="92"/>
      <c r="O31" s="92"/>
      <c r="P31" s="406" t="s">
        <v>377</v>
      </c>
      <c r="Q31" s="378" t="s">
        <v>378</v>
      </c>
      <c r="R31" s="379" t="s">
        <v>379</v>
      </c>
      <c r="S31" s="466" t="s">
        <v>380</v>
      </c>
      <c r="T31" s="469" t="s">
        <v>381</v>
      </c>
      <c r="U31" s="470" t="s">
        <v>382</v>
      </c>
      <c r="V31" s="378" t="s">
        <v>383</v>
      </c>
      <c r="W31" s="448" t="s">
        <v>384</v>
      </c>
      <c r="X31" s="406" t="s">
        <v>377</v>
      </c>
      <c r="Y31" s="378" t="s">
        <v>378</v>
      </c>
      <c r="Z31" s="379" t="s">
        <v>379</v>
      </c>
      <c r="AA31" s="466" t="s">
        <v>380</v>
      </c>
      <c r="AB31" s="469" t="s">
        <v>381</v>
      </c>
      <c r="AC31" s="470" t="s">
        <v>382</v>
      </c>
      <c r="AD31" s="378" t="s">
        <v>383</v>
      </c>
      <c r="AE31" s="448" t="s">
        <v>384</v>
      </c>
      <c r="AF31" s="406" t="s">
        <v>377</v>
      </c>
      <c r="AG31" s="378" t="s">
        <v>378</v>
      </c>
      <c r="AH31" s="379" t="s">
        <v>379</v>
      </c>
      <c r="AI31" s="466" t="s">
        <v>380</v>
      </c>
      <c r="AJ31" s="469" t="s">
        <v>381</v>
      </c>
      <c r="AK31" s="470" t="s">
        <v>382</v>
      </c>
      <c r="AL31" s="378" t="s">
        <v>383</v>
      </c>
      <c r="AM31" s="448" t="s">
        <v>384</v>
      </c>
      <c r="AN31" s="406" t="s">
        <v>377</v>
      </c>
      <c r="AO31" s="378" t="s">
        <v>378</v>
      </c>
      <c r="AP31" s="379" t="s">
        <v>379</v>
      </c>
      <c r="AQ31" s="466" t="s">
        <v>380</v>
      </c>
      <c r="AR31" s="469" t="s">
        <v>381</v>
      </c>
      <c r="AS31" s="470" t="s">
        <v>382</v>
      </c>
      <c r="AT31" s="378" t="s">
        <v>383</v>
      </c>
      <c r="AU31" s="448" t="s">
        <v>384</v>
      </c>
    </row>
    <row r="32" spans="4:47">
      <c r="D32" s="92"/>
      <c r="E32" s="92"/>
      <c r="F32" s="92"/>
      <c r="G32" s="92"/>
      <c r="H32" s="92"/>
      <c r="I32" s="92"/>
      <c r="J32" s="92"/>
      <c r="K32" s="92"/>
      <c r="L32" s="92"/>
      <c r="M32" s="92"/>
      <c r="N32" s="92"/>
      <c r="O32" s="92"/>
      <c r="P32" s="396" t="s">
        <v>385</v>
      </c>
      <c r="Q32" s="384">
        <v>0.15</v>
      </c>
      <c r="R32" s="385">
        <v>0.3</v>
      </c>
      <c r="S32" s="467">
        <f>(U32-T32)/(R32-Q32)</f>
        <v>0</v>
      </c>
      <c r="T32" s="425">
        <v>0.05</v>
      </c>
      <c r="U32" s="471">
        <v>0.05</v>
      </c>
      <c r="V32" s="468" t="str">
        <f>IF(AND(PMDsgnPct&gt;=Q32,PMDsgnPct&lt;=R32),((PMDsgnPct-Q32)*S32),"XXX")</f>
        <v>XXX</v>
      </c>
      <c r="W32" s="399" t="str">
        <f t="shared" ref="W32:W34" si="5">IF(V32&lt;&gt;"XXX",T32+V32,"XXX")</f>
        <v>XXX</v>
      </c>
      <c r="X32" s="396" t="s">
        <v>385</v>
      </c>
      <c r="Y32" s="384">
        <v>0.15</v>
      </c>
      <c r="Z32" s="385">
        <v>0.3</v>
      </c>
      <c r="AA32" s="467">
        <f>(AC32-AB32)/(Z32-Y32)</f>
        <v>-0.66666666666666652</v>
      </c>
      <c r="AB32" s="425">
        <v>0.3</v>
      </c>
      <c r="AC32" s="471">
        <v>0.2</v>
      </c>
      <c r="AD32" s="468" t="str">
        <f>IF(AND(PMDsgnPct&gt;=Y32,PMDsgnPct&lt;=Z32),((PMDsgnPct-Y32)*AA32),"XXX")</f>
        <v>XXX</v>
      </c>
      <c r="AE32" s="399" t="str">
        <f t="shared" ref="AE32:AE34" si="6">IF(AD32&lt;&gt;"XXX",AB32+AD32,"XXX")</f>
        <v>XXX</v>
      </c>
      <c r="AF32" s="396" t="s">
        <v>385</v>
      </c>
      <c r="AG32" s="384">
        <v>0.15</v>
      </c>
      <c r="AH32" s="385">
        <v>0.3</v>
      </c>
      <c r="AI32" s="467">
        <f t="shared" ref="AI32:AI38" si="7">(AK32-AJ32)/(AH32-AG32)</f>
        <v>-0.46666666666666656</v>
      </c>
      <c r="AJ32" s="425">
        <v>0.3</v>
      </c>
      <c r="AK32" s="471">
        <v>0.23</v>
      </c>
      <c r="AL32" s="468" t="str">
        <f>IF(AND(PMDsgnPct&gt;=AG32,PMDsgnPct&lt;=AH32),((PMDsgnPct-AG32)*AI32),"XXX")</f>
        <v>XXX</v>
      </c>
      <c r="AM32" s="399" t="str">
        <f t="shared" ref="AM32:AM34" si="8">IF(AL32&lt;&gt;"XXX",AJ32+AL32,"XXX")</f>
        <v>XXX</v>
      </c>
      <c r="AN32" s="396" t="s">
        <v>385</v>
      </c>
      <c r="AO32" s="384">
        <v>0.15</v>
      </c>
      <c r="AP32" s="385">
        <v>0.6</v>
      </c>
      <c r="AQ32" s="467">
        <f t="shared" ref="AQ32:AQ37" si="9">(AS32-AR32)/(AP32-AO32)</f>
        <v>0</v>
      </c>
      <c r="AR32" s="425">
        <v>0.3</v>
      </c>
      <c r="AS32" s="471">
        <v>0.3</v>
      </c>
      <c r="AT32" s="468" t="str">
        <f>IF(AND(PMDsgnPct&gt;=AO32,PMDsgnPct&lt;=AP32),((PMDsgnPct-AO32)*AQ32),"XXX")</f>
        <v>XXX</v>
      </c>
      <c r="AU32" s="399" t="str">
        <f t="shared" ref="AU32:AU34" si="10">IF(AT32&lt;&gt;"XXX",AR32+AT32,"XXX")</f>
        <v>XXX</v>
      </c>
    </row>
    <row r="33" spans="4:47">
      <c r="D33" s="92"/>
      <c r="E33" s="92"/>
      <c r="F33" s="92"/>
      <c r="G33" s="92"/>
      <c r="H33" s="92"/>
      <c r="I33" s="92"/>
      <c r="J33" s="92"/>
      <c r="K33" s="92"/>
      <c r="L33" s="92"/>
      <c r="M33" s="92"/>
      <c r="N33" s="92"/>
      <c r="O33" s="92"/>
      <c r="P33" s="396" t="s">
        <v>385</v>
      </c>
      <c r="Q33" s="384">
        <v>0.3</v>
      </c>
      <c r="R33" s="385">
        <v>0.6</v>
      </c>
      <c r="S33" s="467">
        <f>(U33-T33)/(R33-Q33)</f>
        <v>-0.16666666666666669</v>
      </c>
      <c r="T33" s="425">
        <v>0.05</v>
      </c>
      <c r="U33" s="471">
        <v>0</v>
      </c>
      <c r="V33" s="468" t="str">
        <f>IF(AND(PMDsgnPct&gt;=Q33,PMDsgnPct&lt;=R33),((PMDsgnPct-Q33)*S33),"XXX")</f>
        <v>XXX</v>
      </c>
      <c r="W33" s="399" t="str">
        <f t="shared" si="5"/>
        <v>XXX</v>
      </c>
      <c r="X33" s="396" t="s">
        <v>385</v>
      </c>
      <c r="Y33" s="384">
        <v>0.6</v>
      </c>
      <c r="Z33" s="385">
        <v>0.95</v>
      </c>
      <c r="AA33" s="467">
        <f>(AC33-AB33)/(Z33-Y33)</f>
        <v>-0.42857142857142866</v>
      </c>
      <c r="AB33" s="425">
        <v>0.2</v>
      </c>
      <c r="AC33" s="471">
        <v>0.05</v>
      </c>
      <c r="AD33" s="468" t="str">
        <f>IF(AND(PMDsgnPct&gt;=Y33,PMDsgnPct&lt;=Z33),((PMDsgnPct-Y33)*AA33),"XXX")</f>
        <v>XXX</v>
      </c>
      <c r="AE33" s="399" t="str">
        <f t="shared" si="6"/>
        <v>XXX</v>
      </c>
      <c r="AF33" s="396" t="s">
        <v>385</v>
      </c>
      <c r="AG33" s="384">
        <v>0.3</v>
      </c>
      <c r="AH33" s="385">
        <v>0.6</v>
      </c>
      <c r="AI33" s="467">
        <f t="shared" si="7"/>
        <v>-0.26666666666666672</v>
      </c>
      <c r="AJ33" s="425">
        <v>0.23</v>
      </c>
      <c r="AK33" s="471">
        <v>0.15</v>
      </c>
      <c r="AL33" s="468" t="str">
        <f>IF(AND(PMDsgnPct&gt;=AG33,PMDsgnPct&lt;=AH33),((PMDsgnPct-AG33)*AI33),"XXX")</f>
        <v>XXX</v>
      </c>
      <c r="AM33" s="399" t="str">
        <f t="shared" si="8"/>
        <v>XXX</v>
      </c>
      <c r="AN33" s="396" t="s">
        <v>385</v>
      </c>
      <c r="AO33" s="384">
        <v>0.6</v>
      </c>
      <c r="AP33" s="385">
        <v>0.95</v>
      </c>
      <c r="AQ33" s="467">
        <f t="shared" si="9"/>
        <v>-0.7142857142857143</v>
      </c>
      <c r="AR33" s="425">
        <v>0.3</v>
      </c>
      <c r="AS33" s="471">
        <v>0.05</v>
      </c>
      <c r="AT33" s="468" t="str">
        <f>IF(AND(PMDsgnPct&gt;=AO33,PMDsgnPct&lt;=AP33),((PMDsgnPct-AO33)*AQ33),"XXX")</f>
        <v>XXX</v>
      </c>
      <c r="AU33" s="399" t="str">
        <f t="shared" si="10"/>
        <v>XXX</v>
      </c>
    </row>
    <row r="34" spans="4:47">
      <c r="D34" s="92"/>
      <c r="E34" s="92"/>
      <c r="F34" s="92"/>
      <c r="G34" s="92"/>
      <c r="H34" s="92"/>
      <c r="I34" s="92"/>
      <c r="J34" s="92"/>
      <c r="K34" s="92"/>
      <c r="L34" s="92"/>
      <c r="M34" s="92"/>
      <c r="N34" s="92"/>
      <c r="O34" s="92"/>
      <c r="P34" s="396" t="s">
        <v>385</v>
      </c>
      <c r="Q34" s="384">
        <v>0.6</v>
      </c>
      <c r="R34" s="385">
        <v>1</v>
      </c>
      <c r="S34" s="467">
        <f>(U34-T34)/(R34-Q34)</f>
        <v>0</v>
      </c>
      <c r="T34" s="425">
        <v>0</v>
      </c>
      <c r="U34" s="471">
        <v>0</v>
      </c>
      <c r="V34" s="468" t="str">
        <f>IF(AND(PMDsgnPct&gt;=Q34,PMDsgnPct&lt;=R34),((PMDsgnPct-Q34)*S34),"XXX")</f>
        <v>XXX</v>
      </c>
      <c r="W34" s="399" t="str">
        <f t="shared" si="5"/>
        <v>XXX</v>
      </c>
      <c r="X34" s="396" t="s">
        <v>385</v>
      </c>
      <c r="Y34" s="384">
        <v>0.95</v>
      </c>
      <c r="Z34" s="385">
        <v>1</v>
      </c>
      <c r="AA34" s="467">
        <f>(AC34-AB34)/(Z34-Y34)</f>
        <v>0</v>
      </c>
      <c r="AB34" s="425">
        <v>0</v>
      </c>
      <c r="AC34" s="471">
        <v>0</v>
      </c>
      <c r="AD34" s="468" t="str">
        <f>IF(AND(PMDsgnPct&gt;=Y34,PMDsgnPct&lt;=Z34),((PMDsgnPct-Y34)*AA34),"XXX")</f>
        <v>XXX</v>
      </c>
      <c r="AE34" s="399" t="str">
        <f t="shared" si="6"/>
        <v>XXX</v>
      </c>
      <c r="AF34" s="396" t="s">
        <v>385</v>
      </c>
      <c r="AG34" s="384">
        <v>0.6</v>
      </c>
      <c r="AH34" s="385">
        <v>0.95</v>
      </c>
      <c r="AI34" s="467">
        <f t="shared" si="7"/>
        <v>-0.2857142857142857</v>
      </c>
      <c r="AJ34" s="425">
        <v>0.15</v>
      </c>
      <c r="AK34" s="471">
        <v>0.05</v>
      </c>
      <c r="AL34" s="468" t="str">
        <f>IF(AND(PMDsgnPct&gt;=AG34,PMDsgnPct&lt;=AH34),((PMDsgnPct-AG34)*AI34),"XXX")</f>
        <v>XXX</v>
      </c>
      <c r="AM34" s="399" t="str">
        <f t="shared" si="8"/>
        <v>XXX</v>
      </c>
      <c r="AN34" s="396" t="s">
        <v>385</v>
      </c>
      <c r="AO34" s="384">
        <v>0.95</v>
      </c>
      <c r="AP34" s="385">
        <v>1</v>
      </c>
      <c r="AQ34" s="467">
        <f t="shared" si="9"/>
        <v>-0.99999999999999911</v>
      </c>
      <c r="AR34" s="425">
        <v>0.05</v>
      </c>
      <c r="AS34" s="471">
        <v>0</v>
      </c>
      <c r="AT34" s="468" t="str">
        <f>IF(AND(PMDsgnPct&gt;=AO34,PMDsgnPct&lt;=AP34),((PMDsgnPct-AO34)*AQ34),"XXX")</f>
        <v>XXX</v>
      </c>
      <c r="AU34" s="399" t="str">
        <f t="shared" si="10"/>
        <v>XXX</v>
      </c>
    </row>
    <row r="35" spans="4:47">
      <c r="D35" s="92"/>
      <c r="E35" s="92"/>
      <c r="F35" s="92"/>
      <c r="G35" s="92"/>
      <c r="H35" s="92"/>
      <c r="I35" s="92"/>
      <c r="J35" s="92"/>
      <c r="K35" s="92"/>
      <c r="L35" s="92"/>
      <c r="M35" s="92"/>
      <c r="N35" s="92"/>
      <c r="O35" s="92"/>
      <c r="P35" s="402"/>
      <c r="Q35" s="395"/>
      <c r="R35" s="395"/>
      <c r="S35" s="404"/>
      <c r="T35" s="407"/>
      <c r="U35" s="407"/>
      <c r="V35" s="407"/>
      <c r="W35" s="423"/>
      <c r="X35" s="402"/>
      <c r="Y35" s="395"/>
      <c r="Z35" s="395"/>
      <c r="AA35" s="404"/>
      <c r="AB35" s="407"/>
      <c r="AC35" s="407"/>
      <c r="AD35" s="407"/>
      <c r="AE35" s="423"/>
      <c r="AF35" s="396" t="s">
        <v>385</v>
      </c>
      <c r="AG35" s="384">
        <v>0.95</v>
      </c>
      <c r="AH35" s="385">
        <v>1</v>
      </c>
      <c r="AI35" s="467">
        <f t="shared" si="7"/>
        <v>-0.99999999999999911</v>
      </c>
      <c r="AJ35" s="425">
        <f>AK34</f>
        <v>0.05</v>
      </c>
      <c r="AK35" s="471">
        <v>0</v>
      </c>
      <c r="AL35" s="468" t="str">
        <f>IF(AND(PMDsgnPct&gt;=AG35,PMDsgnPct&lt;=AH35),((PMDsgnPct-AG35)*AI35),"XXX")</f>
        <v>XXX</v>
      </c>
      <c r="AM35" s="399" t="str">
        <f>IF(AL35&lt;&gt;"XXX",AJ35+AL35,"XXX")</f>
        <v>XXX</v>
      </c>
      <c r="AN35" s="396" t="s">
        <v>390</v>
      </c>
      <c r="AO35" s="384">
        <v>0</v>
      </c>
      <c r="AP35" s="385">
        <v>0.2</v>
      </c>
      <c r="AQ35" s="467">
        <f t="shared" si="9"/>
        <v>-0.25000000000000006</v>
      </c>
      <c r="AR35" s="425">
        <v>0.2</v>
      </c>
      <c r="AS35" s="471">
        <v>0.15</v>
      </c>
      <c r="AT35" s="468">
        <f>IF(AND(PMConstrPct&gt;=AO35,PMConstrPct&lt;=AP35),((PMConstrPct-AO35)*AQ35),"XXX")</f>
        <v>0</v>
      </c>
      <c r="AU35" s="399">
        <f>IF(AT35&lt;&gt;"XXX",AR35+AT35,"XXX")</f>
        <v>0.2</v>
      </c>
    </row>
    <row r="36" spans="4:47">
      <c r="D36" s="92"/>
      <c r="E36" s="92"/>
      <c r="F36" s="92"/>
      <c r="G36" s="92"/>
      <c r="H36" s="92"/>
      <c r="I36" s="92"/>
      <c r="J36" s="92"/>
      <c r="K36" s="92"/>
      <c r="L36" s="92"/>
      <c r="M36" s="92"/>
      <c r="N36" s="92"/>
      <c r="O36" s="92"/>
      <c r="P36" s="402"/>
      <c r="Q36" s="395"/>
      <c r="R36" s="395"/>
      <c r="S36" s="404"/>
      <c r="T36" s="407"/>
      <c r="U36" s="407"/>
      <c r="V36" s="407"/>
      <c r="W36" s="423"/>
      <c r="X36" s="402"/>
      <c r="Y36" s="395"/>
      <c r="Z36" s="395"/>
      <c r="AA36" s="404"/>
      <c r="AB36" s="407"/>
      <c r="AC36" s="407"/>
      <c r="AD36" s="407"/>
      <c r="AE36" s="423"/>
      <c r="AF36" s="396" t="s">
        <v>390</v>
      </c>
      <c r="AG36" s="384">
        <v>0</v>
      </c>
      <c r="AH36" s="385">
        <v>0.2</v>
      </c>
      <c r="AI36" s="467">
        <f t="shared" si="7"/>
        <v>-0.25</v>
      </c>
      <c r="AJ36" s="425">
        <v>0.1</v>
      </c>
      <c r="AK36" s="471">
        <v>0.05</v>
      </c>
      <c r="AL36" s="468">
        <f>IF(AND(PMConstrPct&gt;=AG36,PMConstrPct&lt;=AH36),((PMConstrPct-AG36)*AI36),"XXX")</f>
        <v>0</v>
      </c>
      <c r="AM36" s="399">
        <f>IF(AL36&lt;&gt;"XXX",AJ36+AL36,"XXX")</f>
        <v>0.1</v>
      </c>
      <c r="AN36" s="396" t="s">
        <v>390</v>
      </c>
      <c r="AO36" s="384">
        <v>0.2</v>
      </c>
      <c r="AP36" s="385">
        <v>0.5</v>
      </c>
      <c r="AQ36" s="467">
        <f t="shared" si="9"/>
        <v>-0.33333333333333331</v>
      </c>
      <c r="AR36" s="425">
        <v>0.15</v>
      </c>
      <c r="AS36" s="471">
        <v>0.05</v>
      </c>
      <c r="AT36" s="468" t="str">
        <f>IF(AND(PMConstrPct&gt;=AO36,PMConstrPct&lt;=AP36),((PMConstrPct-AO36)*AQ36),"XXX")</f>
        <v>XXX</v>
      </c>
      <c r="AU36" s="399" t="str">
        <f>IF(AT36&lt;&gt;"XXX",AR36+AT36,"XXX")</f>
        <v>XXX</v>
      </c>
    </row>
    <row r="37" spans="4:47">
      <c r="D37" s="92"/>
      <c r="E37" s="92"/>
      <c r="F37" s="92"/>
      <c r="G37" s="92"/>
      <c r="H37" s="92"/>
      <c r="I37" s="92"/>
      <c r="J37" s="92"/>
      <c r="K37" s="92"/>
      <c r="L37" s="92"/>
      <c r="M37" s="92"/>
      <c r="N37" s="92"/>
      <c r="O37" s="92"/>
      <c r="P37" s="402"/>
      <c r="Q37" s="395"/>
      <c r="R37" s="395"/>
      <c r="S37" s="404"/>
      <c r="T37" s="407"/>
      <c r="U37" s="407"/>
      <c r="V37" s="407"/>
      <c r="W37" s="423"/>
      <c r="X37" s="402"/>
      <c r="Y37" s="395"/>
      <c r="Z37" s="395"/>
      <c r="AA37" s="404"/>
      <c r="AB37" s="407"/>
      <c r="AC37" s="407"/>
      <c r="AD37" s="407"/>
      <c r="AE37" s="423"/>
      <c r="AF37" s="396" t="s">
        <v>390</v>
      </c>
      <c r="AG37" s="384">
        <v>0.2</v>
      </c>
      <c r="AH37" s="385">
        <v>0.5</v>
      </c>
      <c r="AI37" s="467">
        <f t="shared" si="7"/>
        <v>0</v>
      </c>
      <c r="AJ37" s="425">
        <v>0.05</v>
      </c>
      <c r="AK37" s="471">
        <v>0.05</v>
      </c>
      <c r="AL37" s="468" t="str">
        <f>IF(AND(PMConstrPct&gt;=AG37,PMConstrPct&lt;=AH37),((PMConstrPct-AG37)*AI37),"XXX")</f>
        <v>XXX</v>
      </c>
      <c r="AM37" s="399" t="str">
        <f>IF(AL37&lt;&gt;"XXX",AJ37+AL37,"XXX")</f>
        <v>XXX</v>
      </c>
      <c r="AN37" s="396" t="s">
        <v>390</v>
      </c>
      <c r="AO37" s="384">
        <v>0.5</v>
      </c>
      <c r="AP37" s="385">
        <v>1</v>
      </c>
      <c r="AQ37" s="467">
        <f t="shared" si="9"/>
        <v>-0.1</v>
      </c>
      <c r="AR37" s="425">
        <v>0.05</v>
      </c>
      <c r="AS37" s="471">
        <v>0</v>
      </c>
      <c r="AT37" s="468" t="str">
        <f>IF(AND(PMConstrPct&gt;=AO37,PMConstrPct&lt;=AP37),((PMConstrPct-AO37)*AQ37),"XXX")</f>
        <v>XXX</v>
      </c>
      <c r="AU37" s="399" t="str">
        <f>IF(AT37&lt;&gt;"XXX",AR37+AT37,"XXX")</f>
        <v>XXX</v>
      </c>
    </row>
    <row r="38" spans="4:47">
      <c r="D38" s="92"/>
      <c r="E38" s="92"/>
      <c r="F38" s="92"/>
      <c r="G38" s="92"/>
      <c r="H38" s="92"/>
      <c r="I38" s="92"/>
      <c r="J38" s="92"/>
      <c r="K38" s="92"/>
      <c r="L38" s="92"/>
      <c r="M38" s="92"/>
      <c r="N38" s="92"/>
      <c r="O38" s="92"/>
      <c r="P38" s="402"/>
      <c r="Q38" s="395"/>
      <c r="R38" s="395"/>
      <c r="S38" s="404"/>
      <c r="T38" s="407"/>
      <c r="U38" s="407"/>
      <c r="V38" s="407"/>
      <c r="W38" s="423"/>
      <c r="X38" s="402"/>
      <c r="Y38" s="395"/>
      <c r="Z38" s="395"/>
      <c r="AA38" s="404"/>
      <c r="AB38" s="407"/>
      <c r="AC38" s="407"/>
      <c r="AD38" s="407"/>
      <c r="AE38" s="423"/>
      <c r="AF38" s="396" t="s">
        <v>390</v>
      </c>
      <c r="AG38" s="384">
        <v>0.5</v>
      </c>
      <c r="AH38" s="385">
        <v>1</v>
      </c>
      <c r="AI38" s="467">
        <f t="shared" si="7"/>
        <v>-0.1</v>
      </c>
      <c r="AJ38" s="425">
        <v>0.05</v>
      </c>
      <c r="AK38" s="471">
        <v>0</v>
      </c>
      <c r="AL38" s="468" t="str">
        <f>IF(AND(PMConstrPct&gt;=AG38,PMConstrPct&lt;=AH38),((PMConstrPct-AG38)*AI38),"XXX")</f>
        <v>XXX</v>
      </c>
      <c r="AM38" s="399" t="str">
        <f>IF(AL38&lt;&gt;"XXX",AJ38+AL38,"XXX")</f>
        <v>XXX</v>
      </c>
      <c r="AN38" s="402"/>
      <c r="AO38" s="395"/>
      <c r="AP38" s="395"/>
      <c r="AQ38" s="404"/>
      <c r="AR38" s="407"/>
      <c r="AS38" s="407"/>
      <c r="AT38" s="407"/>
      <c r="AU38" s="423"/>
    </row>
    <row r="39" spans="4:47" ht="13.5" thickBot="1">
      <c r="D39" s="92"/>
      <c r="E39" s="92"/>
      <c r="F39" s="92"/>
      <c r="G39" s="92"/>
      <c r="H39" s="92"/>
      <c r="I39" s="92"/>
      <c r="J39" s="92"/>
      <c r="K39" s="92"/>
      <c r="L39" s="92"/>
      <c r="M39" s="92"/>
      <c r="N39" s="92"/>
      <c r="O39" s="92"/>
      <c r="P39" s="402"/>
      <c r="Q39" s="395"/>
      <c r="R39" s="395"/>
      <c r="S39" s="403"/>
      <c r="T39" s="403"/>
      <c r="U39" s="404"/>
      <c r="V39" s="33"/>
      <c r="W39" s="56"/>
      <c r="X39" s="402"/>
      <c r="Y39" s="395"/>
      <c r="Z39" s="395"/>
      <c r="AA39" s="403"/>
      <c r="AB39" s="403"/>
      <c r="AC39" s="404"/>
      <c r="AD39" s="33"/>
      <c r="AE39" s="56"/>
      <c r="AF39" s="402"/>
      <c r="AG39" s="395"/>
      <c r="AH39" s="395"/>
      <c r="AI39" s="403"/>
      <c r="AJ39" s="403"/>
      <c r="AK39" s="404"/>
      <c r="AL39" s="33"/>
      <c r="AM39" s="56"/>
      <c r="AN39" s="402"/>
      <c r="AO39" s="395"/>
      <c r="AP39" s="395"/>
      <c r="AQ39" s="403"/>
      <c r="AR39" s="403"/>
      <c r="AS39" s="404"/>
      <c r="AT39" s="33"/>
      <c r="AU39" s="56"/>
    </row>
    <row r="40" spans="4:47" ht="13.5" thickBot="1">
      <c r="D40" s="92"/>
      <c r="E40" s="92"/>
      <c r="F40" s="92"/>
      <c r="G40" s="92"/>
      <c r="H40" s="92"/>
      <c r="I40" s="92"/>
      <c r="J40" s="92"/>
      <c r="K40" s="92"/>
      <c r="L40" s="92"/>
      <c r="M40" s="92"/>
      <c r="N40" s="92"/>
      <c r="O40" s="92"/>
      <c r="P40" s="422" t="s">
        <v>415</v>
      </c>
      <c r="Q40" s="395"/>
      <c r="R40" s="395"/>
      <c r="S40" s="33"/>
      <c r="T40" s="1241" t="s">
        <v>467</v>
      </c>
      <c r="U40" s="1241"/>
      <c r="V40" s="1242"/>
      <c r="W40" s="472">
        <f>SUM(W42:W44)</f>
        <v>0</v>
      </c>
      <c r="X40" s="422" t="s">
        <v>409</v>
      </c>
      <c r="Y40" s="395"/>
      <c r="Z40" s="395"/>
      <c r="AA40" s="33"/>
      <c r="AB40" s="1241" t="s">
        <v>467</v>
      </c>
      <c r="AC40" s="1241"/>
      <c r="AD40" s="1242"/>
      <c r="AE40" s="472">
        <f>SUM(AE42:AE46)</f>
        <v>0.1</v>
      </c>
      <c r="AF40" s="422" t="s">
        <v>409</v>
      </c>
      <c r="AG40" s="395"/>
      <c r="AH40" s="395"/>
      <c r="AI40" s="33"/>
      <c r="AJ40" s="1241" t="s">
        <v>467</v>
      </c>
      <c r="AK40" s="1241"/>
      <c r="AL40" s="1242"/>
      <c r="AM40" s="472">
        <f>SUM(AM42:AM48)</f>
        <v>0.2</v>
      </c>
      <c r="AN40" s="422" t="s">
        <v>409</v>
      </c>
      <c r="AO40" s="395"/>
      <c r="AP40" s="395"/>
      <c r="AQ40" s="33"/>
      <c r="AR40" s="1241" t="s">
        <v>467</v>
      </c>
      <c r="AS40" s="1241"/>
      <c r="AT40" s="1242"/>
      <c r="AU40" s="472">
        <f>SUM(AU42:AU45)</f>
        <v>0.35</v>
      </c>
    </row>
    <row r="41" spans="4:47" ht="51">
      <c r="D41" s="92"/>
      <c r="E41" s="92"/>
      <c r="F41" s="92"/>
      <c r="G41" s="92"/>
      <c r="H41" s="92"/>
      <c r="I41" s="92"/>
      <c r="J41" s="92"/>
      <c r="K41" s="92"/>
      <c r="L41" s="92"/>
      <c r="M41" s="92"/>
      <c r="N41" s="92"/>
      <c r="O41" s="92"/>
      <c r="P41" s="406" t="s">
        <v>377</v>
      </c>
      <c r="Q41" s="378" t="s">
        <v>378</v>
      </c>
      <c r="R41" s="379" t="s">
        <v>379</v>
      </c>
      <c r="S41" s="466" t="s">
        <v>380</v>
      </c>
      <c r="T41" s="469" t="s">
        <v>381</v>
      </c>
      <c r="U41" s="470" t="s">
        <v>382</v>
      </c>
      <c r="V41" s="378" t="s">
        <v>383</v>
      </c>
      <c r="W41" s="448" t="s">
        <v>384</v>
      </c>
      <c r="X41" s="406" t="s">
        <v>377</v>
      </c>
      <c r="Y41" s="378" t="s">
        <v>378</v>
      </c>
      <c r="Z41" s="379" t="s">
        <v>379</v>
      </c>
      <c r="AA41" s="466" t="s">
        <v>380</v>
      </c>
      <c r="AB41" s="469" t="s">
        <v>381</v>
      </c>
      <c r="AC41" s="470" t="s">
        <v>382</v>
      </c>
      <c r="AD41" s="378" t="s">
        <v>383</v>
      </c>
      <c r="AE41" s="448" t="s">
        <v>384</v>
      </c>
      <c r="AF41" s="406" t="s">
        <v>377</v>
      </c>
      <c r="AG41" s="378" t="s">
        <v>378</v>
      </c>
      <c r="AH41" s="379" t="s">
        <v>379</v>
      </c>
      <c r="AI41" s="466" t="s">
        <v>380</v>
      </c>
      <c r="AJ41" s="469" t="s">
        <v>381</v>
      </c>
      <c r="AK41" s="470" t="s">
        <v>382</v>
      </c>
      <c r="AL41" s="378" t="s">
        <v>383</v>
      </c>
      <c r="AM41" s="448" t="s">
        <v>384</v>
      </c>
      <c r="AN41" s="406" t="s">
        <v>377</v>
      </c>
      <c r="AO41" s="378" t="s">
        <v>378</v>
      </c>
      <c r="AP41" s="379" t="s">
        <v>379</v>
      </c>
      <c r="AQ41" s="466" t="s">
        <v>380</v>
      </c>
      <c r="AR41" s="469" t="s">
        <v>381</v>
      </c>
      <c r="AS41" s="470" t="s">
        <v>382</v>
      </c>
      <c r="AT41" s="378" t="s">
        <v>383</v>
      </c>
      <c r="AU41" s="448" t="s">
        <v>384</v>
      </c>
    </row>
    <row r="42" spans="4:47">
      <c r="D42" s="92"/>
      <c r="E42" s="92"/>
      <c r="F42" s="92"/>
      <c r="G42" s="92"/>
      <c r="H42" s="92"/>
      <c r="I42" s="92"/>
      <c r="J42" s="92"/>
      <c r="K42" s="92"/>
      <c r="L42" s="92"/>
      <c r="M42" s="92"/>
      <c r="N42" s="92"/>
      <c r="O42" s="92"/>
      <c r="P42" s="396" t="s">
        <v>385</v>
      </c>
      <c r="Q42" s="384">
        <v>0.15</v>
      </c>
      <c r="R42" s="385">
        <v>0.3</v>
      </c>
      <c r="S42" s="467">
        <f>(U42-T42)/(R42-Q42)</f>
        <v>-0.33333333333333348</v>
      </c>
      <c r="T42" s="425">
        <v>0.2</v>
      </c>
      <c r="U42" s="471">
        <v>0.15</v>
      </c>
      <c r="V42" s="468" t="str">
        <f>IF(AND(PMDsgnPct&gt;=Q42,PMDsgnPct&lt;=R42),((PMDsgnPct-Q42)*S42),"XXX")</f>
        <v>XXX</v>
      </c>
      <c r="W42" s="399" t="str">
        <f t="shared" ref="W42:W44" si="11">IF(V42&lt;&gt;"XXX",T42+V42,"XXX")</f>
        <v>XXX</v>
      </c>
      <c r="X42" s="396" t="s">
        <v>385</v>
      </c>
      <c r="Y42" s="384">
        <v>0.15</v>
      </c>
      <c r="Z42" s="385">
        <v>0.6</v>
      </c>
      <c r="AA42" s="467">
        <f>(AC42-AB42)/(Z42-Y42)</f>
        <v>0</v>
      </c>
      <c r="AB42" s="425">
        <v>0.25</v>
      </c>
      <c r="AC42" s="471">
        <v>0.25</v>
      </c>
      <c r="AD42" s="468" t="str">
        <f>IF(AND(PMDsgnPct&gt;=Y42,PMDsgnPct&lt;=Z42),((PMDsgnPct-Y42)*AA42),"XXX")</f>
        <v>XXX</v>
      </c>
      <c r="AE42" s="399" t="str">
        <f t="shared" ref="AE42:AE44" si="12">IF(AD42&lt;&gt;"XXX",AB42+AD42,"XXX")</f>
        <v>XXX</v>
      </c>
      <c r="AF42" s="396" t="s">
        <v>385</v>
      </c>
      <c r="AG42" s="384">
        <v>0.15</v>
      </c>
      <c r="AH42" s="385">
        <v>0.3</v>
      </c>
      <c r="AI42" s="467">
        <f t="shared" ref="AI42:AI48" si="13">(AK42-AJ42)/(AH42-AG42)</f>
        <v>-0.33333333333333326</v>
      </c>
      <c r="AJ42" s="425">
        <v>0.15</v>
      </c>
      <c r="AK42" s="471">
        <v>0.1</v>
      </c>
      <c r="AL42" s="468" t="str">
        <f>IF(AND(PMDsgnPct&gt;=AG42,PMDsgnPct&lt;=AH42),((PMDsgnPct-AG42)*AI42),"XXX")</f>
        <v>XXX</v>
      </c>
      <c r="AM42" s="399" t="str">
        <f t="shared" ref="AM42:AM44" si="14">IF(AL42&lt;&gt;"XXX",AJ42+AL42,"XXX")</f>
        <v>XXX</v>
      </c>
      <c r="AN42" s="396" t="s">
        <v>390</v>
      </c>
      <c r="AO42" s="384">
        <v>0</v>
      </c>
      <c r="AP42" s="385">
        <v>0.2</v>
      </c>
      <c r="AQ42" s="467">
        <f>(AS42-AR42)/(AP42-AO42)</f>
        <v>-0.24999999999999994</v>
      </c>
      <c r="AR42" s="425">
        <v>0.25</v>
      </c>
      <c r="AS42" s="471">
        <v>0.2</v>
      </c>
      <c r="AT42" s="468">
        <f>IF(AND(PMConstrPct&gt;=AO42,PMConstrPct&lt;=AP42),((PMConstrPct-AO42)*AQ42),"XXX")</f>
        <v>0</v>
      </c>
      <c r="AU42" s="399">
        <f>IF(AT42&lt;&gt;"XXX",AR42+AT42,"XXX")</f>
        <v>0.25</v>
      </c>
    </row>
    <row r="43" spans="4:47">
      <c r="D43" s="92"/>
      <c r="E43" s="92"/>
      <c r="F43" s="92"/>
      <c r="G43" s="92"/>
      <c r="H43" s="92"/>
      <c r="I43" s="92"/>
      <c r="J43" s="92"/>
      <c r="K43" s="92"/>
      <c r="L43" s="92"/>
      <c r="M43" s="92"/>
      <c r="N43" s="92"/>
      <c r="O43" s="92"/>
      <c r="P43" s="396" t="s">
        <v>385</v>
      </c>
      <c r="Q43" s="384">
        <v>0.3</v>
      </c>
      <c r="R43" s="385">
        <v>0.6</v>
      </c>
      <c r="S43" s="467">
        <f>(U43-T43)/(R43-Q43)</f>
        <v>-0.5</v>
      </c>
      <c r="T43" s="425">
        <v>0.15</v>
      </c>
      <c r="U43" s="471">
        <v>0</v>
      </c>
      <c r="V43" s="468" t="str">
        <f>IF(AND(PMDsgnPct&gt;=Q43,PMDsgnPct&lt;=R43),((PMDsgnPct-Q43)*S43),"XXX")</f>
        <v>XXX</v>
      </c>
      <c r="W43" s="399" t="str">
        <f t="shared" si="11"/>
        <v>XXX</v>
      </c>
      <c r="X43" s="396" t="s">
        <v>385</v>
      </c>
      <c r="Y43" s="384">
        <v>0.6</v>
      </c>
      <c r="Z43" s="385">
        <v>0.95</v>
      </c>
      <c r="AA43" s="467">
        <f>(AC43-AB43)/(Z43-Y43)</f>
        <v>-0.7142857142857143</v>
      </c>
      <c r="AB43" s="425">
        <v>0.25</v>
      </c>
      <c r="AC43" s="471">
        <v>0</v>
      </c>
      <c r="AD43" s="468" t="str">
        <f>IF(AND(PMDsgnPct&gt;=Y43,PMDsgnPct&lt;=Z43),((PMDsgnPct-Y43)*AA43),"XXX")</f>
        <v>XXX</v>
      </c>
      <c r="AE43" s="399" t="str">
        <f t="shared" si="12"/>
        <v>XXX</v>
      </c>
      <c r="AF43" s="396" t="s">
        <v>385</v>
      </c>
      <c r="AG43" s="384">
        <v>0.3</v>
      </c>
      <c r="AH43" s="385">
        <v>0.6</v>
      </c>
      <c r="AI43" s="467">
        <f t="shared" si="13"/>
        <v>-0.16666666666666669</v>
      </c>
      <c r="AJ43" s="425">
        <v>0.1</v>
      </c>
      <c r="AK43" s="471">
        <v>0.05</v>
      </c>
      <c r="AL43" s="468" t="str">
        <f>IF(AND(PMDsgnPct&gt;=AG43,PMDsgnPct&lt;=AH43),((PMDsgnPct-AG43)*AI43),"XXX")</f>
        <v>XXX</v>
      </c>
      <c r="AM43" s="399" t="str">
        <f t="shared" si="14"/>
        <v>XXX</v>
      </c>
      <c r="AN43" s="396" t="s">
        <v>390</v>
      </c>
      <c r="AO43" s="384">
        <v>0.2</v>
      </c>
      <c r="AP43" s="385">
        <v>0.5</v>
      </c>
      <c r="AQ43" s="467">
        <f>(AS43-AR43)/(AP43-AO43)</f>
        <v>-0.16666666666666674</v>
      </c>
      <c r="AR43" s="425">
        <v>0.2</v>
      </c>
      <c r="AS43" s="471">
        <v>0.15</v>
      </c>
      <c r="AT43" s="468" t="str">
        <f>IF(AND(PMConstrPct&gt;=AO43,PMConstrPct&lt;=AP43),((PMConstrPct-AO43)*AQ43),"XXX")</f>
        <v>XXX</v>
      </c>
      <c r="AU43" s="399" t="str">
        <f>IF(AT43&lt;&gt;"XXX",AR43+AT43,"XXX")</f>
        <v>XXX</v>
      </c>
    </row>
    <row r="44" spans="4:47">
      <c r="D44" s="92"/>
      <c r="E44" s="92"/>
      <c r="F44" s="92"/>
      <c r="G44" s="92"/>
      <c r="H44" s="92"/>
      <c r="I44" s="92"/>
      <c r="J44" s="92"/>
      <c r="K44" s="92"/>
      <c r="L44" s="92"/>
      <c r="M44" s="92"/>
      <c r="N44" s="92"/>
      <c r="O44" s="92"/>
      <c r="P44" s="396" t="s">
        <v>385</v>
      </c>
      <c r="Q44" s="384">
        <v>0.6</v>
      </c>
      <c r="R44" s="385">
        <v>1</v>
      </c>
      <c r="S44" s="467">
        <f>(U44-T44)/(R44-Q44)</f>
        <v>0</v>
      </c>
      <c r="T44" s="425">
        <v>0</v>
      </c>
      <c r="U44" s="471">
        <v>0</v>
      </c>
      <c r="V44" s="468" t="str">
        <f>IF(AND(PMDsgnPct&gt;=Q44,PMDsgnPct&lt;=R44),((PMDsgnPct-Q44)*S44),"XXX")</f>
        <v>XXX</v>
      </c>
      <c r="W44" s="399" t="str">
        <f t="shared" si="11"/>
        <v>XXX</v>
      </c>
      <c r="X44" s="396" t="s">
        <v>385</v>
      </c>
      <c r="Y44" s="384">
        <v>0.95</v>
      </c>
      <c r="Z44" s="385">
        <v>1</v>
      </c>
      <c r="AA44" s="467">
        <f>(AC44-AB44)/(Z44-Y44)</f>
        <v>0</v>
      </c>
      <c r="AB44" s="425">
        <v>0</v>
      </c>
      <c r="AC44" s="471">
        <v>0</v>
      </c>
      <c r="AD44" s="468" t="str">
        <f>IF(AND(PMDsgnPct&gt;=Y44,PMDsgnPct&lt;=Z44),((PMDsgnPct-Y44)*AA44),"XXX")</f>
        <v>XXX</v>
      </c>
      <c r="AE44" s="399" t="str">
        <f t="shared" si="12"/>
        <v>XXX</v>
      </c>
      <c r="AF44" s="396" t="s">
        <v>385</v>
      </c>
      <c r="AG44" s="384">
        <v>0.6</v>
      </c>
      <c r="AH44" s="385">
        <v>0.95</v>
      </c>
      <c r="AI44" s="467">
        <f t="shared" si="13"/>
        <v>-0.14285714285714288</v>
      </c>
      <c r="AJ44" s="425">
        <v>0.05</v>
      </c>
      <c r="AK44" s="471">
        <v>0</v>
      </c>
      <c r="AL44" s="468" t="str">
        <f>IF(AND(PMDsgnPct&gt;=AG44,PMDsgnPct&lt;=AH44),((PMDsgnPct-AG44)*AI44),"XXX")</f>
        <v>XXX</v>
      </c>
      <c r="AM44" s="399" t="str">
        <f t="shared" si="14"/>
        <v>XXX</v>
      </c>
      <c r="AN44" s="396" t="s">
        <v>390</v>
      </c>
      <c r="AO44" s="384">
        <v>0.5</v>
      </c>
      <c r="AP44" s="385">
        <v>1</v>
      </c>
      <c r="AQ44" s="467">
        <f>(AS44-AR44)/(AP44-AO44)</f>
        <v>-0.3</v>
      </c>
      <c r="AR44" s="425">
        <v>0.15</v>
      </c>
      <c r="AS44" s="471">
        <v>0</v>
      </c>
      <c r="AT44" s="468" t="str">
        <f>IF(AND(PMConstrPct&gt;=AO44,PMConstrPct&lt;=AP44),((PMConstrPct-AO44)*AQ44),"XXX")</f>
        <v>XXX</v>
      </c>
      <c r="AU44" s="399" t="str">
        <f>IF(AT44&lt;&gt;"XXX",AR44+AT44,"XXX")</f>
        <v>XXX</v>
      </c>
    </row>
    <row r="45" spans="4:47">
      <c r="D45" s="92"/>
      <c r="E45" s="92"/>
      <c r="F45" s="92"/>
      <c r="G45" s="92"/>
      <c r="H45" s="92"/>
      <c r="I45" s="92"/>
      <c r="J45" s="92"/>
      <c r="K45" s="92"/>
      <c r="L45" s="92"/>
      <c r="M45" s="92"/>
      <c r="N45" s="92"/>
      <c r="O45" s="92"/>
      <c r="P45" s="402"/>
      <c r="Q45" s="395"/>
      <c r="R45" s="395"/>
      <c r="S45" s="404"/>
      <c r="T45" s="407"/>
      <c r="U45" s="407"/>
      <c r="V45" s="407"/>
      <c r="W45" s="423"/>
      <c r="X45" s="396" t="s">
        <v>390</v>
      </c>
      <c r="Y45" s="384">
        <v>0</v>
      </c>
      <c r="Z45" s="385">
        <v>0.2</v>
      </c>
      <c r="AA45" s="467">
        <f>(AC45-AB45)/(Z45-Y45)</f>
        <v>-0.5</v>
      </c>
      <c r="AB45" s="425">
        <v>0.1</v>
      </c>
      <c r="AC45" s="471">
        <v>0</v>
      </c>
      <c r="AD45" s="468">
        <f>IF(AND(PMConstrPct&gt;=Y45,PMConstrPct&lt;=Z45),((PMConstrPct-Y45)*AA45),"XXX")</f>
        <v>0</v>
      </c>
      <c r="AE45" s="399">
        <f>IF(AD45&lt;&gt;"XXX",AB45+AD45,"XXX")</f>
        <v>0.1</v>
      </c>
      <c r="AF45" s="396" t="s">
        <v>385</v>
      </c>
      <c r="AG45" s="384">
        <v>0.95</v>
      </c>
      <c r="AH45" s="385">
        <v>1</v>
      </c>
      <c r="AI45" s="467">
        <f t="shared" si="13"/>
        <v>0</v>
      </c>
      <c r="AJ45" s="425">
        <f>AK44</f>
        <v>0</v>
      </c>
      <c r="AK45" s="471">
        <v>0</v>
      </c>
      <c r="AL45" s="468" t="str">
        <f>IF(AND(PMDsgnPct&gt;=AG45,PMDsgnPct&lt;=AH45),((PMDsgnPct-AG45)*AI45),"XXX")</f>
        <v>XXX</v>
      </c>
      <c r="AM45" s="399" t="str">
        <f>IF(AL45&lt;&gt;"XXX",AJ45+AL45,"XXX")</f>
        <v>XXX</v>
      </c>
      <c r="AN45" s="396" t="s">
        <v>411</v>
      </c>
      <c r="AO45" s="384">
        <v>0</v>
      </c>
      <c r="AP45" s="385">
        <v>1</v>
      </c>
      <c r="AQ45" s="467">
        <f>(AS45-AR45)/(AP45-AO45)</f>
        <v>-0.1</v>
      </c>
      <c r="AR45" s="425">
        <v>0.1</v>
      </c>
      <c r="AS45" s="471">
        <v>0</v>
      </c>
      <c r="AT45" s="468">
        <f>IF(AND(PMClosePct&gt;=AO45,PMClosePct&lt;=AP45),((PMClosePct-AO45)*AQ45),"XXX")</f>
        <v>0</v>
      </c>
      <c r="AU45" s="399">
        <f>IF(AT45&lt;&gt;"XXX",AR45+AT45,"XXX")</f>
        <v>0.1</v>
      </c>
    </row>
    <row r="46" spans="4:47">
      <c r="D46" s="92"/>
      <c r="E46" s="92"/>
      <c r="F46" s="92"/>
      <c r="G46" s="92"/>
      <c r="H46" s="92"/>
      <c r="I46" s="92"/>
      <c r="J46" s="92"/>
      <c r="K46" s="92"/>
      <c r="L46" s="92"/>
      <c r="M46" s="92"/>
      <c r="N46" s="92"/>
      <c r="O46" s="92"/>
      <c r="P46" s="402"/>
      <c r="Q46" s="395"/>
      <c r="R46" s="395"/>
      <c r="S46" s="404"/>
      <c r="T46" s="407"/>
      <c r="U46" s="407"/>
      <c r="V46" s="407"/>
      <c r="W46" s="423"/>
      <c r="X46" s="396" t="s">
        <v>390</v>
      </c>
      <c r="Y46" s="384">
        <v>0.2</v>
      </c>
      <c r="Z46" s="385">
        <v>1</v>
      </c>
      <c r="AA46" s="467">
        <f>(AC46-AB46)/(Z46-Y46)</f>
        <v>0</v>
      </c>
      <c r="AB46" s="425">
        <v>0</v>
      </c>
      <c r="AC46" s="471">
        <v>0</v>
      </c>
      <c r="AD46" s="468" t="str">
        <f>IF(AND(PMConstrPct&gt;=Y46,PMConstrPct&lt;=Z46),((PMConstrPct-Y46)*AA46),"XXX")</f>
        <v>XXX</v>
      </c>
      <c r="AE46" s="399" t="str">
        <f>IF(AD46&lt;&gt;"XXX",AB46+AD46,"XXX")</f>
        <v>XXX</v>
      </c>
      <c r="AF46" s="396" t="s">
        <v>390</v>
      </c>
      <c r="AG46" s="384">
        <v>0</v>
      </c>
      <c r="AH46" s="385">
        <v>0.2</v>
      </c>
      <c r="AI46" s="467">
        <f t="shared" si="13"/>
        <v>0</v>
      </c>
      <c r="AJ46" s="425">
        <v>0.2</v>
      </c>
      <c r="AK46" s="471">
        <v>0.2</v>
      </c>
      <c r="AL46" s="468">
        <f>IF(AND(PMConstrPct&gt;=AG46,PMConstrPct&lt;=AH46),((PMConstrPct-AG46)*AI46),"XXX")</f>
        <v>0</v>
      </c>
      <c r="AM46" s="399">
        <f>IF(AL46&lt;&gt;"XXX",AJ46+AL46,"XXX")</f>
        <v>0.2</v>
      </c>
      <c r="AN46" s="402"/>
      <c r="AO46" s="395"/>
      <c r="AP46" s="395"/>
      <c r="AQ46" s="404"/>
      <c r="AR46" s="407"/>
      <c r="AS46" s="407"/>
      <c r="AT46" s="407"/>
      <c r="AU46" s="423"/>
    </row>
    <row r="47" spans="4:47">
      <c r="D47" s="92"/>
      <c r="E47" s="92"/>
      <c r="F47" s="92"/>
      <c r="G47" s="92"/>
      <c r="H47" s="92"/>
      <c r="I47" s="92"/>
      <c r="J47" s="92"/>
      <c r="K47" s="92"/>
      <c r="L47" s="92"/>
      <c r="M47" s="92"/>
      <c r="N47" s="92"/>
      <c r="O47" s="92"/>
      <c r="P47" s="402"/>
      <c r="Q47" s="395"/>
      <c r="R47" s="395"/>
      <c r="S47" s="404"/>
      <c r="T47" s="407"/>
      <c r="U47" s="407"/>
      <c r="V47" s="407"/>
      <c r="W47" s="423"/>
      <c r="X47" s="402"/>
      <c r="Y47" s="395"/>
      <c r="Z47" s="395"/>
      <c r="AA47" s="404"/>
      <c r="AB47" s="407"/>
      <c r="AC47" s="407"/>
      <c r="AD47" s="407"/>
      <c r="AE47" s="423"/>
      <c r="AF47" s="396" t="s">
        <v>390</v>
      </c>
      <c r="AG47" s="384">
        <v>0.2</v>
      </c>
      <c r="AH47" s="385">
        <v>0.5</v>
      </c>
      <c r="AI47" s="467">
        <f t="shared" si="13"/>
        <v>-0.16666666666666674</v>
      </c>
      <c r="AJ47" s="425">
        <v>0.2</v>
      </c>
      <c r="AK47" s="471">
        <v>0.15</v>
      </c>
      <c r="AL47" s="468" t="str">
        <f>IF(AND(PMConstrPct&gt;=AG47,PMConstrPct&lt;=AH47),((PMConstrPct-AG47)*AI47),"XXX")</f>
        <v>XXX</v>
      </c>
      <c r="AM47" s="399" t="str">
        <f>IF(AL47&lt;&gt;"XXX",AJ47+AL47,"XXX")</f>
        <v>XXX</v>
      </c>
      <c r="AN47" s="402"/>
      <c r="AO47" s="395"/>
      <c r="AP47" s="395"/>
      <c r="AQ47" s="404"/>
      <c r="AR47" s="407"/>
      <c r="AS47" s="407"/>
      <c r="AT47" s="407"/>
      <c r="AU47" s="423"/>
    </row>
    <row r="48" spans="4:47">
      <c r="D48" s="92"/>
      <c r="E48" s="92"/>
      <c r="F48" s="92"/>
      <c r="G48" s="92"/>
      <c r="H48" s="92"/>
      <c r="I48" s="92"/>
      <c r="J48" s="92"/>
      <c r="K48" s="92"/>
      <c r="L48" s="92"/>
      <c r="M48" s="92"/>
      <c r="N48" s="92"/>
      <c r="O48" s="92"/>
      <c r="P48" s="402"/>
      <c r="Q48" s="395"/>
      <c r="R48" s="395"/>
      <c r="S48" s="404"/>
      <c r="T48" s="407"/>
      <c r="U48" s="407"/>
      <c r="V48" s="407"/>
      <c r="W48" s="423"/>
      <c r="X48" s="402"/>
      <c r="Y48" s="395"/>
      <c r="Z48" s="395"/>
      <c r="AA48" s="404"/>
      <c r="AB48" s="407"/>
      <c r="AC48" s="407"/>
      <c r="AD48" s="407"/>
      <c r="AE48" s="423"/>
      <c r="AF48" s="396" t="s">
        <v>390</v>
      </c>
      <c r="AG48" s="384">
        <v>0.5</v>
      </c>
      <c r="AH48" s="385">
        <v>1</v>
      </c>
      <c r="AI48" s="467">
        <f t="shared" si="13"/>
        <v>-0.3</v>
      </c>
      <c r="AJ48" s="425">
        <v>0.15</v>
      </c>
      <c r="AK48" s="471">
        <v>0</v>
      </c>
      <c r="AL48" s="468" t="str">
        <f>IF(AND(PMConstrPct&gt;=AG48,PMConstrPct&lt;=AH48),((PMConstrPct-AG48)*AI48),"XXX")</f>
        <v>XXX</v>
      </c>
      <c r="AM48" s="399" t="str">
        <f>IF(AL48&lt;&gt;"XXX",AJ48+AL48,"XXX")</f>
        <v>XXX</v>
      </c>
      <c r="AN48" s="402"/>
      <c r="AO48" s="395"/>
      <c r="AP48" s="395"/>
      <c r="AQ48" s="404"/>
      <c r="AR48" s="407"/>
      <c r="AS48" s="407"/>
      <c r="AT48" s="407"/>
      <c r="AU48" s="423"/>
    </row>
    <row r="49" spans="4:47">
      <c r="D49" s="92"/>
      <c r="E49" s="92"/>
      <c r="F49" s="92"/>
      <c r="G49" s="92"/>
      <c r="H49" s="92"/>
      <c r="I49" s="92"/>
      <c r="J49" s="92"/>
      <c r="K49" s="92"/>
      <c r="L49" s="92"/>
      <c r="M49" s="92"/>
      <c r="N49" s="92"/>
      <c r="O49" s="92"/>
      <c r="P49" s="402"/>
      <c r="Q49" s="395"/>
      <c r="R49" s="395"/>
      <c r="S49" s="404"/>
      <c r="T49" s="407"/>
      <c r="U49" s="407"/>
      <c r="V49" s="407"/>
      <c r="W49" s="423"/>
      <c r="X49" s="402"/>
      <c r="Y49" s="395"/>
      <c r="Z49" s="395"/>
      <c r="AA49" s="404"/>
      <c r="AB49" s="407"/>
      <c r="AC49" s="407"/>
      <c r="AD49" s="407"/>
      <c r="AE49" s="423"/>
      <c r="AF49" s="402"/>
      <c r="AG49" s="395"/>
      <c r="AH49" s="395"/>
      <c r="AI49" s="404"/>
      <c r="AJ49" s="407"/>
      <c r="AK49" s="407"/>
      <c r="AL49" s="407"/>
      <c r="AM49" s="423"/>
      <c r="AN49" s="402"/>
      <c r="AO49" s="395"/>
      <c r="AP49" s="395"/>
      <c r="AQ49" s="404"/>
      <c r="AR49" s="407"/>
      <c r="AS49" s="407"/>
      <c r="AT49" s="407"/>
      <c r="AU49" s="423"/>
    </row>
    <row r="50" spans="4:47">
      <c r="D50" s="92"/>
      <c r="E50" s="92"/>
      <c r="F50" s="92"/>
      <c r="G50" s="92"/>
      <c r="H50" s="92"/>
      <c r="I50" s="92"/>
      <c r="J50" s="92"/>
      <c r="K50" s="92"/>
      <c r="L50" s="92"/>
      <c r="M50" s="92"/>
      <c r="N50" s="92"/>
      <c r="O50" s="92"/>
      <c r="P50" s="402"/>
      <c r="Q50" s="395"/>
      <c r="R50" s="395"/>
      <c r="S50" s="404"/>
      <c r="T50" s="407"/>
      <c r="U50" s="407"/>
      <c r="V50" s="407"/>
      <c r="W50" s="423"/>
      <c r="X50" s="402"/>
      <c r="Y50" s="395"/>
      <c r="Z50" s="395"/>
      <c r="AA50" s="404"/>
      <c r="AB50" s="407"/>
      <c r="AC50" s="407"/>
      <c r="AD50" s="407"/>
      <c r="AE50" s="423"/>
      <c r="AF50" s="402"/>
      <c r="AG50" s="395"/>
      <c r="AH50" s="395"/>
      <c r="AI50" s="404"/>
      <c r="AJ50" s="407"/>
      <c r="AK50" s="407"/>
      <c r="AL50" s="407"/>
      <c r="AM50" s="423"/>
      <c r="AN50" s="402"/>
      <c r="AO50" s="395"/>
      <c r="AP50" s="395"/>
      <c r="AQ50" s="404"/>
      <c r="AR50" s="407"/>
      <c r="AS50" s="407"/>
      <c r="AT50" s="407"/>
      <c r="AU50" s="423"/>
    </row>
    <row r="51" spans="4:47" ht="13.5" thickBot="1">
      <c r="D51" s="389"/>
      <c r="E51" s="389"/>
      <c r="F51" s="389"/>
      <c r="G51" s="389"/>
      <c r="H51" s="389"/>
      <c r="I51" s="389"/>
      <c r="J51" s="389"/>
      <c r="K51" s="389"/>
      <c r="L51" s="389"/>
      <c r="M51" s="389"/>
      <c r="N51" s="389"/>
      <c r="O51" s="389"/>
      <c r="P51" s="402"/>
      <c r="Q51" s="33"/>
      <c r="R51" s="395"/>
      <c r="S51" s="403"/>
      <c r="T51" s="403"/>
      <c r="U51" s="407"/>
      <c r="V51" s="407"/>
      <c r="W51" s="423"/>
      <c r="X51" s="402"/>
      <c r="Y51" s="33"/>
      <c r="Z51" s="395"/>
      <c r="AA51" s="403"/>
      <c r="AB51" s="403"/>
      <c r="AC51" s="404"/>
      <c r="AD51" s="33"/>
      <c r="AE51" s="56"/>
      <c r="AF51" s="402"/>
      <c r="AG51" s="33"/>
      <c r="AH51" s="395"/>
      <c r="AI51" s="403"/>
      <c r="AJ51" s="403"/>
      <c r="AK51" s="404"/>
      <c r="AL51" s="33"/>
      <c r="AM51" s="56"/>
      <c r="AN51" s="402"/>
      <c r="AO51" s="33"/>
      <c r="AP51" s="395"/>
      <c r="AQ51" s="403"/>
      <c r="AR51" s="403"/>
      <c r="AS51" s="404"/>
      <c r="AT51" s="33"/>
      <c r="AU51" s="56"/>
    </row>
    <row r="52" spans="4:47" ht="13.5" thickBot="1">
      <c r="D52" s="389"/>
      <c r="E52" s="389"/>
      <c r="F52" s="389"/>
      <c r="G52" s="389"/>
      <c r="H52" s="389"/>
      <c r="I52" s="389"/>
      <c r="J52" s="389"/>
      <c r="K52" s="389"/>
      <c r="L52" s="389"/>
      <c r="M52" s="389"/>
      <c r="N52" s="389"/>
      <c r="O52" s="389"/>
      <c r="P52" s="422" t="s">
        <v>391</v>
      </c>
      <c r="Q52" s="395"/>
      <c r="R52" s="395"/>
      <c r="S52" s="33"/>
      <c r="T52" s="1241" t="s">
        <v>468</v>
      </c>
      <c r="U52" s="1241"/>
      <c r="V52" s="1242"/>
      <c r="W52" s="472">
        <f>SUM(W54)</f>
        <v>0.05</v>
      </c>
      <c r="X52" s="422" t="s">
        <v>391</v>
      </c>
      <c r="Y52" s="395"/>
      <c r="Z52" s="395"/>
      <c r="AA52" s="33"/>
      <c r="AB52" s="1241" t="s">
        <v>468</v>
      </c>
      <c r="AC52" s="1241"/>
      <c r="AD52" s="1242"/>
      <c r="AE52" s="472">
        <f>SUM(AE54)</f>
        <v>0.05</v>
      </c>
      <c r="AF52" s="422" t="s">
        <v>391</v>
      </c>
      <c r="AG52" s="395"/>
      <c r="AH52" s="395"/>
      <c r="AI52" s="33"/>
      <c r="AJ52" s="1241" t="s">
        <v>468</v>
      </c>
      <c r="AK52" s="1241"/>
      <c r="AL52" s="1242"/>
      <c r="AM52" s="472">
        <f>SUM(AM54)</f>
        <v>0.05</v>
      </c>
      <c r="AN52" s="422" t="s">
        <v>391</v>
      </c>
      <c r="AO52" s="395"/>
      <c r="AP52" s="395"/>
      <c r="AQ52" s="33"/>
      <c r="AR52" s="1241" t="s">
        <v>468</v>
      </c>
      <c r="AS52" s="1241"/>
      <c r="AT52" s="1242"/>
      <c r="AU52" s="472">
        <f>SUM(AU54)</f>
        <v>0.05</v>
      </c>
    </row>
    <row r="53" spans="4:47" ht="51">
      <c r="D53" s="389"/>
      <c r="E53" s="389"/>
      <c r="F53" s="389"/>
      <c r="G53" s="389"/>
      <c r="H53" s="389"/>
      <c r="I53" s="389"/>
      <c r="J53" s="389"/>
      <c r="K53" s="389"/>
      <c r="L53" s="389"/>
      <c r="M53" s="389"/>
      <c r="N53" s="389"/>
      <c r="O53" s="389"/>
      <c r="P53" s="406" t="s">
        <v>377</v>
      </c>
      <c r="Q53" s="378" t="s">
        <v>378</v>
      </c>
      <c r="R53" s="379" t="s">
        <v>379</v>
      </c>
      <c r="S53" s="466" t="s">
        <v>380</v>
      </c>
      <c r="T53" s="469" t="s">
        <v>381</v>
      </c>
      <c r="U53" s="470" t="s">
        <v>382</v>
      </c>
      <c r="V53" s="378" t="s">
        <v>383</v>
      </c>
      <c r="W53" s="448" t="s">
        <v>384</v>
      </c>
      <c r="X53" s="406" t="s">
        <v>377</v>
      </c>
      <c r="Y53" s="378" t="s">
        <v>378</v>
      </c>
      <c r="Z53" s="379" t="s">
        <v>379</v>
      </c>
      <c r="AA53" s="466" t="s">
        <v>380</v>
      </c>
      <c r="AB53" s="469" t="s">
        <v>381</v>
      </c>
      <c r="AC53" s="470" t="s">
        <v>382</v>
      </c>
      <c r="AD53" s="378" t="s">
        <v>383</v>
      </c>
      <c r="AE53" s="448" t="s">
        <v>384</v>
      </c>
      <c r="AF53" s="406" t="s">
        <v>377</v>
      </c>
      <c r="AG53" s="378" t="s">
        <v>378</v>
      </c>
      <c r="AH53" s="379" t="s">
        <v>379</v>
      </c>
      <c r="AI53" s="466" t="s">
        <v>380</v>
      </c>
      <c r="AJ53" s="469" t="s">
        <v>381</v>
      </c>
      <c r="AK53" s="470" t="s">
        <v>382</v>
      </c>
      <c r="AL53" s="378" t="s">
        <v>383</v>
      </c>
      <c r="AM53" s="448" t="s">
        <v>384</v>
      </c>
      <c r="AN53" s="406" t="s">
        <v>377</v>
      </c>
      <c r="AO53" s="378" t="s">
        <v>378</v>
      </c>
      <c r="AP53" s="379" t="s">
        <v>379</v>
      </c>
      <c r="AQ53" s="466" t="s">
        <v>380</v>
      </c>
      <c r="AR53" s="469" t="s">
        <v>381</v>
      </c>
      <c r="AS53" s="470" t="s">
        <v>382</v>
      </c>
      <c r="AT53" s="378" t="s">
        <v>383</v>
      </c>
      <c r="AU53" s="448" t="s">
        <v>384</v>
      </c>
    </row>
    <row r="54" spans="4:47" ht="13.5" thickBot="1">
      <c r="D54" s="389"/>
      <c r="E54" s="389"/>
      <c r="F54" s="389"/>
      <c r="G54" s="389"/>
      <c r="H54" s="389"/>
      <c r="I54" s="389"/>
      <c r="J54" s="389"/>
      <c r="K54" s="389"/>
      <c r="L54" s="389"/>
      <c r="M54" s="389"/>
      <c r="N54" s="389"/>
      <c r="O54" s="389"/>
      <c r="P54" s="417" t="s">
        <v>411</v>
      </c>
      <c r="Q54" s="418">
        <v>0</v>
      </c>
      <c r="R54" s="419">
        <v>1</v>
      </c>
      <c r="S54" s="482">
        <f>(U54-T54)/(R54-Q54)</f>
        <v>-0.05</v>
      </c>
      <c r="T54" s="483">
        <v>0.05</v>
      </c>
      <c r="U54" s="484">
        <v>0</v>
      </c>
      <c r="V54" s="485">
        <f>IF(AND(PMClosePct&gt;=Q54,PMClosePct&lt;=R54),((PMClosePct-Q54)*S54),"XXX")</f>
        <v>0</v>
      </c>
      <c r="W54" s="421">
        <f>IF(V54&lt;&gt;"XXX",T54+V54,"XXX")</f>
        <v>0.05</v>
      </c>
      <c r="X54" s="417" t="s">
        <v>411</v>
      </c>
      <c r="Y54" s="418">
        <v>0</v>
      </c>
      <c r="Z54" s="419">
        <v>1</v>
      </c>
      <c r="AA54" s="482">
        <f>(AC54-AB54)/(Z54-Y54)</f>
        <v>-0.05</v>
      </c>
      <c r="AB54" s="483">
        <v>0.05</v>
      </c>
      <c r="AC54" s="484">
        <v>0</v>
      </c>
      <c r="AD54" s="485">
        <f>IF(AND(PMClosePct&gt;=Y54,PMClosePct&lt;=Z54),((PMClosePct-Y54)*AA54),"XXX")</f>
        <v>0</v>
      </c>
      <c r="AE54" s="421">
        <f>IF(AD54&lt;&gt;"XXX",AB54+AD54,"XXX")</f>
        <v>0.05</v>
      </c>
      <c r="AF54" s="417" t="s">
        <v>411</v>
      </c>
      <c r="AG54" s="418">
        <v>0</v>
      </c>
      <c r="AH54" s="419">
        <v>1</v>
      </c>
      <c r="AI54" s="482">
        <f>(AK54-AJ54)/(AH54-AG54)</f>
        <v>-0.05</v>
      </c>
      <c r="AJ54" s="483">
        <v>0.05</v>
      </c>
      <c r="AK54" s="484">
        <v>0</v>
      </c>
      <c r="AL54" s="485">
        <f>IF(AND(PMClosePct&gt;=AG54,PMClosePct&lt;=AH54),((PMClosePct-AG54)*AI54),"XXX")</f>
        <v>0</v>
      </c>
      <c r="AM54" s="421">
        <f>IF(AL54&lt;&gt;"XXX",AJ54+AL54,"XXX")</f>
        <v>0.05</v>
      </c>
      <c r="AN54" s="417" t="s">
        <v>411</v>
      </c>
      <c r="AO54" s="418">
        <v>0</v>
      </c>
      <c r="AP54" s="419">
        <v>1</v>
      </c>
      <c r="AQ54" s="482">
        <f>(AS54-AR54)/(AP54-AO54)</f>
        <v>-0.05</v>
      </c>
      <c r="AR54" s="483">
        <v>0.05</v>
      </c>
      <c r="AS54" s="484">
        <v>0</v>
      </c>
      <c r="AT54" s="485">
        <f>IF(AND(PMClosePct&gt;=AO54,PMClosePct&lt;=AP54),((PMClosePct-AO54)*AQ54),"XXX")</f>
        <v>0</v>
      </c>
      <c r="AU54" s="421">
        <f>IF(AT54&lt;&gt;"XXX",AR54+AT54,"XXX")</f>
        <v>0.05</v>
      </c>
    </row>
    <row r="55" spans="4:47" ht="13.5" thickBot="1">
      <c r="P55" s="408"/>
      <c r="Q55" s="409"/>
      <c r="R55" s="409"/>
      <c r="S55" s="410"/>
      <c r="T55" s="411"/>
      <c r="U55" s="411"/>
      <c r="V55" s="411"/>
      <c r="W55" s="412"/>
      <c r="X55" s="413"/>
      <c r="Y55" s="409"/>
      <c r="Z55" s="409"/>
      <c r="AA55" s="410"/>
      <c r="AB55" s="411"/>
      <c r="AC55" s="411"/>
      <c r="AD55" s="411"/>
      <c r="AE55" s="412"/>
      <c r="AF55" s="413"/>
      <c r="AG55" s="409"/>
      <c r="AH55" s="409"/>
      <c r="AI55" s="410"/>
      <c r="AJ55" s="411"/>
      <c r="AK55" s="411"/>
      <c r="AL55" s="411"/>
      <c r="AM55" s="412"/>
      <c r="AN55" s="413"/>
      <c r="AO55" s="409"/>
      <c r="AP55" s="409"/>
      <c r="AQ55" s="410"/>
      <c r="AR55" s="411"/>
      <c r="AS55" s="411"/>
      <c r="AT55" s="411"/>
      <c r="AU55" s="414"/>
    </row>
    <row r="56" spans="4:47" ht="19.5" thickBot="1">
      <c r="P56" s="1233" t="s">
        <v>399</v>
      </c>
      <c r="Q56" s="1234"/>
      <c r="R56" s="1234"/>
      <c r="S56" s="1234"/>
      <c r="T56" s="1234"/>
      <c r="U56" s="1234"/>
      <c r="V56" s="1234"/>
      <c r="W56" s="1235"/>
      <c r="X56" s="1233" t="s">
        <v>400</v>
      </c>
      <c r="Y56" s="1234"/>
      <c r="Z56" s="1234"/>
      <c r="AA56" s="1234"/>
      <c r="AB56" s="1234"/>
      <c r="AC56" s="1234"/>
      <c r="AD56" s="1234"/>
      <c r="AE56" s="1235"/>
      <c r="AF56" s="1233" t="s">
        <v>401</v>
      </c>
      <c r="AG56" s="1234"/>
      <c r="AH56" s="1234"/>
      <c r="AI56" s="1234"/>
      <c r="AJ56" s="1234"/>
      <c r="AK56" s="1234"/>
      <c r="AL56" s="1234"/>
      <c r="AM56" s="1235"/>
      <c r="AN56" s="1233" t="s">
        <v>402</v>
      </c>
      <c r="AO56" s="1234"/>
      <c r="AP56" s="1234"/>
      <c r="AQ56" s="1234"/>
      <c r="AR56" s="1234"/>
      <c r="AS56" s="1234"/>
      <c r="AT56" s="1234"/>
      <c r="AU56" s="1235"/>
    </row>
    <row r="57" spans="4:47" ht="13.5" thickBot="1">
      <c r="D57" s="615"/>
      <c r="P57" s="422" t="s">
        <v>375</v>
      </c>
      <c r="Q57" s="33"/>
      <c r="R57" s="33"/>
      <c r="S57" s="33"/>
      <c r="T57" s="1241" t="s">
        <v>416</v>
      </c>
      <c r="U57" s="1241"/>
      <c r="V57" s="1242"/>
      <c r="W57" s="472">
        <f>SUM(W59)</f>
        <v>0</v>
      </c>
      <c r="X57" s="422" t="s">
        <v>375</v>
      </c>
      <c r="Y57" s="33"/>
      <c r="Z57" s="33"/>
      <c r="AA57" s="33"/>
      <c r="AB57" s="1241" t="s">
        <v>416</v>
      </c>
      <c r="AC57" s="1241"/>
      <c r="AD57" s="1242"/>
      <c r="AE57" s="472">
        <f>SUM(AE59)</f>
        <v>0</v>
      </c>
      <c r="AF57" s="422" t="s">
        <v>375</v>
      </c>
      <c r="AG57" s="33"/>
      <c r="AH57" s="33"/>
      <c r="AI57" s="33"/>
      <c r="AJ57" s="1241" t="s">
        <v>416</v>
      </c>
      <c r="AK57" s="1241"/>
      <c r="AL57" s="1242"/>
      <c r="AM57" s="472">
        <f>SUM(AM59)</f>
        <v>0</v>
      </c>
      <c r="AN57" s="422" t="s">
        <v>375</v>
      </c>
      <c r="AO57" s="33"/>
      <c r="AP57" s="33"/>
      <c r="AQ57" s="33"/>
      <c r="AR57" s="1241" t="s">
        <v>416</v>
      </c>
      <c r="AS57" s="1241"/>
      <c r="AT57" s="1242"/>
      <c r="AU57" s="472">
        <f>SUM(AU59)</f>
        <v>0</v>
      </c>
    </row>
    <row r="58" spans="4:47" ht="51">
      <c r="P58" s="406" t="s">
        <v>377</v>
      </c>
      <c r="Q58" s="378" t="s">
        <v>378</v>
      </c>
      <c r="R58" s="379" t="s">
        <v>379</v>
      </c>
      <c r="S58" s="466" t="s">
        <v>380</v>
      </c>
      <c r="T58" s="469" t="s">
        <v>381</v>
      </c>
      <c r="U58" s="470" t="s">
        <v>382</v>
      </c>
      <c r="V58" s="378" t="s">
        <v>383</v>
      </c>
      <c r="W58" s="448" t="s">
        <v>384</v>
      </c>
      <c r="X58" s="406" t="s">
        <v>377</v>
      </c>
      <c r="Y58" s="378" t="s">
        <v>378</v>
      </c>
      <c r="Z58" s="379" t="s">
        <v>379</v>
      </c>
      <c r="AA58" s="466" t="s">
        <v>380</v>
      </c>
      <c r="AB58" s="469" t="s">
        <v>381</v>
      </c>
      <c r="AC58" s="470" t="s">
        <v>382</v>
      </c>
      <c r="AD58" s="378" t="s">
        <v>383</v>
      </c>
      <c r="AE58" s="448" t="s">
        <v>384</v>
      </c>
      <c r="AF58" s="406" t="s">
        <v>377</v>
      </c>
      <c r="AG58" s="378" t="s">
        <v>378</v>
      </c>
      <c r="AH58" s="379" t="s">
        <v>379</v>
      </c>
      <c r="AI58" s="466" t="s">
        <v>380</v>
      </c>
      <c r="AJ58" s="469" t="s">
        <v>381</v>
      </c>
      <c r="AK58" s="470" t="s">
        <v>382</v>
      </c>
      <c r="AL58" s="378" t="s">
        <v>383</v>
      </c>
      <c r="AM58" s="448" t="s">
        <v>384</v>
      </c>
      <c r="AN58" s="406" t="s">
        <v>377</v>
      </c>
      <c r="AO58" s="378" t="s">
        <v>378</v>
      </c>
      <c r="AP58" s="379" t="s">
        <v>379</v>
      </c>
      <c r="AQ58" s="466" t="s">
        <v>380</v>
      </c>
      <c r="AR58" s="469" t="s">
        <v>381</v>
      </c>
      <c r="AS58" s="470" t="s">
        <v>382</v>
      </c>
      <c r="AT58" s="378" t="s">
        <v>383</v>
      </c>
      <c r="AU58" s="448" t="s">
        <v>384</v>
      </c>
    </row>
    <row r="59" spans="4:47">
      <c r="P59" s="396" t="s">
        <v>385</v>
      </c>
      <c r="Q59" s="384">
        <v>0.15</v>
      </c>
      <c r="R59" s="385">
        <v>1</v>
      </c>
      <c r="S59" s="467">
        <f>(U59-T59)/(R59-Q59)</f>
        <v>0</v>
      </c>
      <c r="T59" s="425">
        <v>0</v>
      </c>
      <c r="U59" s="471">
        <v>0</v>
      </c>
      <c r="V59" s="468" t="str">
        <f>IF(AND(PMDsgnPct&gt;=Q59,PMDsgnPct&lt;=R59),((PMDsgnPct-Q59)*S59),"XXX")</f>
        <v>XXX</v>
      </c>
      <c r="W59" s="399" t="str">
        <f>IF(V59&lt;&gt;"XXX",T59+V59,"XXX")</f>
        <v>XXX</v>
      </c>
      <c r="X59" s="396" t="s">
        <v>385</v>
      </c>
      <c r="Y59" s="384">
        <v>0.15</v>
      </c>
      <c r="Z59" s="385">
        <v>1</v>
      </c>
      <c r="AA59" s="467">
        <f>(AC59-AB59)/(Z59-Y59)</f>
        <v>0</v>
      </c>
      <c r="AB59" s="425">
        <v>0</v>
      </c>
      <c r="AC59" s="471">
        <v>0</v>
      </c>
      <c r="AD59" s="468" t="str">
        <f>IF(AND(PMDsgnPct&gt;=Y59,PMDsgnPct&lt;=Z59),((PMDsgnPct-Y59)*AA59),"XXX")</f>
        <v>XXX</v>
      </c>
      <c r="AE59" s="399" t="str">
        <f>IF(AD59&lt;&gt;"XXX",AB59+AD59,"XXX")</f>
        <v>XXX</v>
      </c>
      <c r="AF59" s="396" t="s">
        <v>385</v>
      </c>
      <c r="AG59" s="384">
        <v>0.15</v>
      </c>
      <c r="AH59" s="385">
        <v>1</v>
      </c>
      <c r="AI59" s="467">
        <f>(AK59-AJ59)/(AH59-AG59)</f>
        <v>0</v>
      </c>
      <c r="AJ59" s="425">
        <v>0</v>
      </c>
      <c r="AK59" s="471">
        <v>0</v>
      </c>
      <c r="AL59" s="468" t="str">
        <f>IF(AND(PMDsgnPct&gt;=AG59,PMDsgnPct&lt;=AH59),((PMDsgnPct-AG59)*AI59),"XXX")</f>
        <v>XXX</v>
      </c>
      <c r="AM59" s="399" t="str">
        <f>IF(AL59&lt;&gt;"XXX",AJ59+AL59,"XXX")</f>
        <v>XXX</v>
      </c>
      <c r="AN59" s="396" t="s">
        <v>385</v>
      </c>
      <c r="AO59" s="384">
        <v>0.15</v>
      </c>
      <c r="AP59" s="385">
        <v>1</v>
      </c>
      <c r="AQ59" s="467">
        <f>(AS59-AR59)/(AP59-AO59)</f>
        <v>0</v>
      </c>
      <c r="AR59" s="425">
        <v>0</v>
      </c>
      <c r="AS59" s="471">
        <v>0</v>
      </c>
      <c r="AT59" s="468" t="str">
        <f>IF(AND(PMDsgnPct&gt;=AO59,PMDsgnPct&lt;=AP59),((PMDsgnPct-AO59)*AQ59),"XXX")</f>
        <v>XXX</v>
      </c>
      <c r="AU59" s="399" t="str">
        <f>IF(AT59&lt;&gt;"XXX",AR59+AT59,"XXX")</f>
        <v>XXX</v>
      </c>
    </row>
    <row r="60" spans="4:47" ht="13.5" thickBot="1">
      <c r="P60" s="402"/>
      <c r="Q60" s="33"/>
      <c r="R60" s="33"/>
      <c r="S60" s="403"/>
      <c r="T60" s="403"/>
      <c r="U60" s="404"/>
      <c r="V60" s="33"/>
      <c r="W60" s="56"/>
      <c r="X60" s="477"/>
      <c r="Y60" s="424"/>
      <c r="Z60" s="424"/>
      <c r="AA60" s="463"/>
      <c r="AB60" s="463"/>
      <c r="AC60" s="464"/>
      <c r="AD60" s="424"/>
      <c r="AE60" s="486"/>
      <c r="AF60" s="402"/>
      <c r="AG60" s="33"/>
      <c r="AH60" s="33"/>
      <c r="AI60" s="403"/>
      <c r="AJ60" s="403"/>
      <c r="AK60" s="404"/>
      <c r="AL60" s="33"/>
      <c r="AM60" s="56"/>
      <c r="AN60" s="402"/>
      <c r="AO60" s="33"/>
      <c r="AP60" s="33"/>
      <c r="AQ60" s="403"/>
      <c r="AR60" s="403"/>
      <c r="AS60" s="404"/>
      <c r="AT60" s="33"/>
      <c r="AU60" s="56"/>
    </row>
    <row r="61" spans="4:47" ht="13.5" thickBot="1">
      <c r="P61" s="422" t="s">
        <v>405</v>
      </c>
      <c r="Q61" s="395"/>
      <c r="R61" s="395"/>
      <c r="S61" s="33"/>
      <c r="T61" s="1241" t="s">
        <v>417</v>
      </c>
      <c r="U61" s="1241"/>
      <c r="V61" s="1242"/>
      <c r="W61" s="472">
        <f>SUM(W63:W65)</f>
        <v>0</v>
      </c>
      <c r="X61" s="465" t="s">
        <v>405</v>
      </c>
      <c r="Y61" s="395"/>
      <c r="Z61" s="395"/>
      <c r="AA61" s="33"/>
      <c r="AB61" s="1241" t="s">
        <v>417</v>
      </c>
      <c r="AC61" s="1241"/>
      <c r="AD61" s="1242"/>
      <c r="AE61" s="472">
        <f>SUM(AE63:AE69)</f>
        <v>0.1</v>
      </c>
      <c r="AF61" s="422" t="s">
        <v>405</v>
      </c>
      <c r="AG61" s="395"/>
      <c r="AH61" s="395"/>
      <c r="AI61" s="33"/>
      <c r="AJ61" s="1241" t="s">
        <v>417</v>
      </c>
      <c r="AK61" s="1241"/>
      <c r="AL61" s="1242"/>
      <c r="AM61" s="472">
        <f>SUM(AM63:AM69)</f>
        <v>0.1</v>
      </c>
      <c r="AN61" s="422" t="s">
        <v>405</v>
      </c>
      <c r="AO61" s="395"/>
      <c r="AP61" s="395"/>
      <c r="AQ61" s="33"/>
      <c r="AR61" s="1241" t="s">
        <v>417</v>
      </c>
      <c r="AS61" s="1241"/>
      <c r="AT61" s="1242"/>
      <c r="AU61" s="472">
        <f>SUM(AU63:AU68)</f>
        <v>0.4</v>
      </c>
    </row>
    <row r="62" spans="4:47" ht="51">
      <c r="P62" s="406" t="s">
        <v>377</v>
      </c>
      <c r="Q62" s="378" t="s">
        <v>378</v>
      </c>
      <c r="R62" s="379" t="s">
        <v>379</v>
      </c>
      <c r="S62" s="466" t="s">
        <v>380</v>
      </c>
      <c r="T62" s="469" t="s">
        <v>381</v>
      </c>
      <c r="U62" s="470" t="s">
        <v>382</v>
      </c>
      <c r="V62" s="378" t="s">
        <v>383</v>
      </c>
      <c r="W62" s="448" t="s">
        <v>384</v>
      </c>
      <c r="X62" s="406" t="s">
        <v>377</v>
      </c>
      <c r="Y62" s="378" t="s">
        <v>378</v>
      </c>
      <c r="Z62" s="379" t="s">
        <v>379</v>
      </c>
      <c r="AA62" s="466" t="s">
        <v>380</v>
      </c>
      <c r="AB62" s="469" t="s">
        <v>381</v>
      </c>
      <c r="AC62" s="470" t="s">
        <v>382</v>
      </c>
      <c r="AD62" s="378" t="s">
        <v>383</v>
      </c>
      <c r="AE62" s="448" t="s">
        <v>384</v>
      </c>
      <c r="AF62" s="406" t="s">
        <v>377</v>
      </c>
      <c r="AG62" s="378" t="s">
        <v>378</v>
      </c>
      <c r="AH62" s="379" t="s">
        <v>379</v>
      </c>
      <c r="AI62" s="466" t="s">
        <v>380</v>
      </c>
      <c r="AJ62" s="469" t="s">
        <v>381</v>
      </c>
      <c r="AK62" s="470" t="s">
        <v>382</v>
      </c>
      <c r="AL62" s="378" t="s">
        <v>383</v>
      </c>
      <c r="AM62" s="448" t="s">
        <v>384</v>
      </c>
      <c r="AN62" s="406" t="s">
        <v>377</v>
      </c>
      <c r="AO62" s="378" t="s">
        <v>378</v>
      </c>
      <c r="AP62" s="379" t="s">
        <v>379</v>
      </c>
      <c r="AQ62" s="466" t="s">
        <v>380</v>
      </c>
      <c r="AR62" s="469" t="s">
        <v>381</v>
      </c>
      <c r="AS62" s="470" t="s">
        <v>382</v>
      </c>
      <c r="AT62" s="378" t="s">
        <v>383</v>
      </c>
      <c r="AU62" s="448" t="s">
        <v>384</v>
      </c>
    </row>
    <row r="63" spans="4:47">
      <c r="P63" s="396" t="s">
        <v>385</v>
      </c>
      <c r="Q63" s="384">
        <v>0.15</v>
      </c>
      <c r="R63" s="385">
        <v>0.3</v>
      </c>
      <c r="S63" s="467">
        <f>(U63-T63)/(R63-Q63)</f>
        <v>-0.46666666666666656</v>
      </c>
      <c r="T63" s="425">
        <v>0.3</v>
      </c>
      <c r="U63" s="471">
        <v>0.23</v>
      </c>
      <c r="V63" s="468" t="str">
        <f>IF(AND(PMDsgnPct&gt;=Q63,PMDsgnPct&lt;R63),((PMDsgnPct-Q63)*S63),"XXX")</f>
        <v>XXX</v>
      </c>
      <c r="W63" s="399" t="str">
        <f>IF(V63&lt;&gt;"XXX",T63+V63,"XXX")</f>
        <v>XXX</v>
      </c>
      <c r="X63" s="396" t="s">
        <v>385</v>
      </c>
      <c r="Y63" s="384">
        <v>0.15</v>
      </c>
      <c r="Z63" s="385">
        <v>0.3</v>
      </c>
      <c r="AA63" s="467">
        <f t="shared" ref="AA63:AA69" si="15">(AC63-AB63)/(Z63-Y63)</f>
        <v>-1.0000000000000002</v>
      </c>
      <c r="AB63" s="425">
        <v>0.5</v>
      </c>
      <c r="AC63" s="471">
        <v>0.35</v>
      </c>
      <c r="AD63" s="468" t="str">
        <f>IF(AND(PMDsgnPct&gt;=Y63,PMDsgnPct&lt;Z63),((PMDsgnPct-Y63)*AA63),"XXX")</f>
        <v>XXX</v>
      </c>
      <c r="AE63" s="399" t="str">
        <f t="shared" ref="AE63:AE69" si="16">IF(AD63&lt;&gt;"XXX",AB63+AD63,"XXX")</f>
        <v>XXX</v>
      </c>
      <c r="AF63" s="396" t="s">
        <v>385</v>
      </c>
      <c r="AG63" s="384">
        <v>0.15</v>
      </c>
      <c r="AH63" s="385">
        <v>0.3</v>
      </c>
      <c r="AI63" s="467">
        <f t="shared" ref="AI63:AI69" si="17">(AK63-AJ63)/(AH63-AG63)</f>
        <v>-0.66666666666666652</v>
      </c>
      <c r="AJ63" s="425">
        <v>0.3</v>
      </c>
      <c r="AK63" s="471">
        <v>0.2</v>
      </c>
      <c r="AL63" s="468" t="str">
        <f>IF(AND(PMDsgnPct&gt;=AG63,PMDsgnPct&lt;AH63),((PMDsgnPct-AG63)*AI63),"XXX")</f>
        <v>XXX</v>
      </c>
      <c r="AM63" s="399" t="str">
        <f t="shared" ref="AM63:AM69" si="18">IF(AL63&lt;&gt;"XXX",AJ63+AL63,"XXX")</f>
        <v>XXX</v>
      </c>
      <c r="AN63" s="396" t="s">
        <v>385</v>
      </c>
      <c r="AO63" s="384">
        <v>0.15</v>
      </c>
      <c r="AP63" s="385">
        <v>0.6</v>
      </c>
      <c r="AQ63" s="467">
        <f t="shared" ref="AQ63:AQ68" si="19">(AS63-AR63)/(AP63-AO63)</f>
        <v>0</v>
      </c>
      <c r="AR63" s="425">
        <v>0.2</v>
      </c>
      <c r="AS63" s="471">
        <v>0.2</v>
      </c>
      <c r="AT63" s="468" t="str">
        <f>IF(AND(PMDsgnPct&gt;=AO63,PMDsgnPct&lt;AP63),((PMDsgnPct-AO63)*AQ63),"XXX")</f>
        <v>XXX</v>
      </c>
      <c r="AU63" s="399" t="str">
        <f t="shared" ref="AU63:AU68" si="20">IF(AT63&lt;&gt;"XXX",AR63+AT63,"XXX")</f>
        <v>XXX</v>
      </c>
    </row>
    <row r="64" spans="4:47">
      <c r="P64" s="396" t="s">
        <v>385</v>
      </c>
      <c r="Q64" s="384">
        <v>0.3</v>
      </c>
      <c r="R64" s="385">
        <v>0.6</v>
      </c>
      <c r="S64" s="467">
        <f>(U64-T64)/(R64-Q64)</f>
        <v>-0.26666666666666672</v>
      </c>
      <c r="T64" s="425">
        <v>0.23</v>
      </c>
      <c r="U64" s="471">
        <v>0.15</v>
      </c>
      <c r="V64" s="468" t="str">
        <f>IF(AND(PMDsgnPct&gt;=Q64,PMDsgnPct&lt;R64),((PMDsgnPct-Q64)*S64),"XXX")</f>
        <v>XXX</v>
      </c>
      <c r="W64" s="399" t="str">
        <f>IF(V64&lt;&gt;"XXX",T64+V64,"XXX")</f>
        <v>XXX</v>
      </c>
      <c r="X64" s="396" t="s">
        <v>385</v>
      </c>
      <c r="Y64" s="384">
        <v>0.3</v>
      </c>
      <c r="Z64" s="385">
        <v>0.6</v>
      </c>
      <c r="AA64" s="467">
        <f t="shared" si="15"/>
        <v>-0.49999999999999989</v>
      </c>
      <c r="AB64" s="425">
        <v>0.35</v>
      </c>
      <c r="AC64" s="471">
        <v>0.2</v>
      </c>
      <c r="AD64" s="468" t="str">
        <f>IF(AND(PMDsgnPct&gt;=Y64,PMDsgnPct&lt;Z64),((PMDsgnPct-Y64)*AA64),"XXX")</f>
        <v>XXX</v>
      </c>
      <c r="AE64" s="399" t="str">
        <f t="shared" si="16"/>
        <v>XXX</v>
      </c>
      <c r="AF64" s="396" t="s">
        <v>385</v>
      </c>
      <c r="AG64" s="384">
        <v>0.3</v>
      </c>
      <c r="AH64" s="385">
        <v>0.6</v>
      </c>
      <c r="AI64" s="467">
        <f t="shared" si="17"/>
        <v>-0.33333333333333337</v>
      </c>
      <c r="AJ64" s="425">
        <v>0.2</v>
      </c>
      <c r="AK64" s="471">
        <v>0.1</v>
      </c>
      <c r="AL64" s="468" t="str">
        <f>IF(AND(PMDsgnPct&gt;=AG64,PMDsgnPct&lt;AH64),((PMDsgnPct-AG64)*AI64),"XXX")</f>
        <v>XXX</v>
      </c>
      <c r="AM64" s="399" t="str">
        <f t="shared" si="18"/>
        <v>XXX</v>
      </c>
      <c r="AN64" s="396" t="s">
        <v>385</v>
      </c>
      <c r="AO64" s="384">
        <v>0.3</v>
      </c>
      <c r="AP64" s="385">
        <v>0.6</v>
      </c>
      <c r="AQ64" s="467">
        <f t="shared" si="19"/>
        <v>-0.66666666666666674</v>
      </c>
      <c r="AR64" s="425">
        <v>0.2</v>
      </c>
      <c r="AS64" s="471">
        <v>0</v>
      </c>
      <c r="AT64" s="468" t="str">
        <f>IF(AND(PMDsgnPct&gt;=AO64,PMDsgnPct&lt;AP64),((PMDsgnPct-AO64)*AQ64),"XXX")</f>
        <v>XXX</v>
      </c>
      <c r="AU64" s="399" t="str">
        <f t="shared" si="20"/>
        <v>XXX</v>
      </c>
    </row>
    <row r="65" spans="16:47">
      <c r="P65" s="396" t="s">
        <v>385</v>
      </c>
      <c r="Q65" s="384">
        <v>0.6</v>
      </c>
      <c r="R65" s="385">
        <v>0.95</v>
      </c>
      <c r="S65" s="467">
        <f>(U65-T65)/(R65-Q65)</f>
        <v>-0.2857142857142857</v>
      </c>
      <c r="T65" s="425">
        <v>0.15</v>
      </c>
      <c r="U65" s="471">
        <v>0.05</v>
      </c>
      <c r="V65" s="468" t="str">
        <f>IF(AND(PMDsgnPct&gt;=Q65,PMDsgnPct&lt;=R65),((PMDsgnPct-Q65)*S65),"XXX")</f>
        <v>XXX</v>
      </c>
      <c r="W65" s="399" t="str">
        <f>IF(V65&lt;&gt;"XXX",T65+V65,"XXX")</f>
        <v>XXX</v>
      </c>
      <c r="X65" s="396" t="s">
        <v>385</v>
      </c>
      <c r="Y65" s="384">
        <v>0.6</v>
      </c>
      <c r="Z65" s="385">
        <v>0.95</v>
      </c>
      <c r="AA65" s="467">
        <f t="shared" si="15"/>
        <v>-0.28571428571428575</v>
      </c>
      <c r="AB65" s="425">
        <v>0.2</v>
      </c>
      <c r="AC65" s="471">
        <v>0.1</v>
      </c>
      <c r="AD65" s="468" t="str">
        <f>IF(AND(PMDsgnPct&gt;=Y65,PMDsgnPct&lt;Z65),((PMDsgnPct-Y65)*AA65),"XXX")</f>
        <v>XXX</v>
      </c>
      <c r="AE65" s="399" t="str">
        <f t="shared" si="16"/>
        <v>XXX</v>
      </c>
      <c r="AF65" s="396" t="s">
        <v>385</v>
      </c>
      <c r="AG65" s="384">
        <v>0.6</v>
      </c>
      <c r="AH65" s="385">
        <v>0.95</v>
      </c>
      <c r="AI65" s="467">
        <f t="shared" si="17"/>
        <v>0</v>
      </c>
      <c r="AJ65" s="425">
        <v>0.1</v>
      </c>
      <c r="AK65" s="471">
        <v>0.1</v>
      </c>
      <c r="AL65" s="468" t="str">
        <f>IF(AND(PMDsgnPct&gt;=AG65,PMDsgnPct&lt;AH65),((PMDsgnPct-AG65)*AI65),"XXX")</f>
        <v>XXX</v>
      </c>
      <c r="AM65" s="399" t="str">
        <f t="shared" si="18"/>
        <v>XXX</v>
      </c>
      <c r="AN65" s="396" t="s">
        <v>385</v>
      </c>
      <c r="AO65" s="384">
        <v>0.6</v>
      </c>
      <c r="AP65" s="385">
        <v>1</v>
      </c>
      <c r="AQ65" s="467">
        <f t="shared" si="19"/>
        <v>0</v>
      </c>
      <c r="AR65" s="425">
        <f>AS64</f>
        <v>0</v>
      </c>
      <c r="AS65" s="471">
        <v>0</v>
      </c>
      <c r="AT65" s="468" t="str">
        <f>IF(AND(PMDsgnPct&gt;=AO65,PMDsgnPct&lt;AP65),((PMDsgnPct-AO65)*AQ65),"XXX")</f>
        <v>XXX</v>
      </c>
      <c r="AU65" s="399" t="str">
        <f t="shared" si="20"/>
        <v>XXX</v>
      </c>
    </row>
    <row r="66" spans="16:47">
      <c r="P66" s="402"/>
      <c r="Q66" s="33"/>
      <c r="R66" s="33"/>
      <c r="S66" s="403"/>
      <c r="T66" s="403"/>
      <c r="U66" s="404"/>
      <c r="V66" s="33"/>
      <c r="W66" s="56"/>
      <c r="X66" s="396" t="s">
        <v>385</v>
      </c>
      <c r="Y66" s="384">
        <v>0.95</v>
      </c>
      <c r="Z66" s="385">
        <v>1</v>
      </c>
      <c r="AA66" s="467">
        <f t="shared" si="15"/>
        <v>-1.9999999999999982</v>
      </c>
      <c r="AB66" s="425">
        <f>AC65</f>
        <v>0.1</v>
      </c>
      <c r="AC66" s="471">
        <v>0</v>
      </c>
      <c r="AD66" s="468" t="str">
        <f>IF(AND(PMDsgnPct&gt;=Y66,PMDsgnPct&lt;Z66),((PMDsgnPct-Y66)*AA66),"XXX")</f>
        <v>XXX</v>
      </c>
      <c r="AE66" s="399" t="str">
        <f t="shared" si="16"/>
        <v>XXX</v>
      </c>
      <c r="AF66" s="396" t="s">
        <v>385</v>
      </c>
      <c r="AG66" s="384">
        <v>0.95</v>
      </c>
      <c r="AH66" s="385">
        <v>1</v>
      </c>
      <c r="AI66" s="467">
        <f t="shared" si="17"/>
        <v>-1.9999999999999982</v>
      </c>
      <c r="AJ66" s="425">
        <f>AK65</f>
        <v>0.1</v>
      </c>
      <c r="AK66" s="471">
        <v>0</v>
      </c>
      <c r="AL66" s="468" t="str">
        <f>IF(AND(PMDsgnPct&gt;=AG66,PMDsgnPct&lt;AH66),((PMDsgnPct-AG66)*AI66),"XXX")</f>
        <v>XXX</v>
      </c>
      <c r="AM66" s="399" t="str">
        <f t="shared" si="18"/>
        <v>XXX</v>
      </c>
      <c r="AN66" s="396" t="s">
        <v>390</v>
      </c>
      <c r="AO66" s="384">
        <v>0</v>
      </c>
      <c r="AP66" s="385">
        <v>0.2</v>
      </c>
      <c r="AQ66" s="467">
        <f t="shared" si="19"/>
        <v>-1</v>
      </c>
      <c r="AR66" s="425">
        <v>0.4</v>
      </c>
      <c r="AS66" s="471">
        <v>0.2</v>
      </c>
      <c r="AT66" s="468">
        <f>IF(AND(PMConstrPct&gt;=AO66,PMConstrPct&lt;AP66),((PMConstrPct-AO66)*AQ66),"XXX")</f>
        <v>0</v>
      </c>
      <c r="AU66" s="399">
        <f t="shared" si="20"/>
        <v>0.4</v>
      </c>
    </row>
    <row r="67" spans="16:47">
      <c r="P67" s="402"/>
      <c r="Q67" s="33"/>
      <c r="R67" s="33"/>
      <c r="S67" s="403"/>
      <c r="T67" s="403"/>
      <c r="U67" s="404"/>
      <c r="V67" s="33"/>
      <c r="W67" s="56"/>
      <c r="X67" s="396" t="s">
        <v>390</v>
      </c>
      <c r="Y67" s="384">
        <v>0</v>
      </c>
      <c r="Z67" s="385">
        <v>0.2</v>
      </c>
      <c r="AA67" s="467">
        <f t="shared" si="15"/>
        <v>-0.25</v>
      </c>
      <c r="AB67" s="425">
        <v>0.1</v>
      </c>
      <c r="AC67" s="471">
        <v>0.05</v>
      </c>
      <c r="AD67" s="468">
        <f>IF(AND(PMConstrPct&gt;=Y67,PMConstrPct&lt;Z67),((PMConstrPct-Y67)*AA67),"XXX")</f>
        <v>0</v>
      </c>
      <c r="AE67" s="399">
        <f t="shared" si="16"/>
        <v>0.1</v>
      </c>
      <c r="AF67" s="396" t="s">
        <v>390</v>
      </c>
      <c r="AG67" s="384">
        <v>0</v>
      </c>
      <c r="AH67" s="385">
        <v>0.2</v>
      </c>
      <c r="AI67" s="467">
        <f t="shared" si="17"/>
        <v>0</v>
      </c>
      <c r="AJ67" s="425">
        <v>0.1</v>
      </c>
      <c r="AK67" s="471">
        <v>0.1</v>
      </c>
      <c r="AL67" s="468">
        <f>IF(AND(PMConstrPct&gt;=AG67,PMConstrPct&lt;AH67),((PMConstrPct-AG67)*AI67),"XXX")</f>
        <v>0</v>
      </c>
      <c r="AM67" s="399">
        <f t="shared" si="18"/>
        <v>0.1</v>
      </c>
      <c r="AN67" s="396" t="s">
        <v>390</v>
      </c>
      <c r="AO67" s="384">
        <v>0.2</v>
      </c>
      <c r="AP67" s="385">
        <v>0.5</v>
      </c>
      <c r="AQ67" s="467">
        <f t="shared" si="19"/>
        <v>-0.16666666666666674</v>
      </c>
      <c r="AR67" s="425">
        <v>0.2</v>
      </c>
      <c r="AS67" s="471">
        <v>0.15</v>
      </c>
      <c r="AT67" s="468" t="str">
        <f>IF(AND(PMConstrPct&gt;=AO67,PMConstrPct&lt;AP67),((PMConstrPct-AO67)*AQ67),"XXX")</f>
        <v>XXX</v>
      </c>
      <c r="AU67" s="399" t="str">
        <f t="shared" si="20"/>
        <v>XXX</v>
      </c>
    </row>
    <row r="68" spans="16:47">
      <c r="P68" s="402"/>
      <c r="Q68" s="33"/>
      <c r="R68" s="33"/>
      <c r="S68" s="403"/>
      <c r="T68" s="403"/>
      <c r="U68" s="404"/>
      <c r="V68" s="33"/>
      <c r="W68" s="56"/>
      <c r="X68" s="396" t="s">
        <v>390</v>
      </c>
      <c r="Y68" s="384">
        <v>0.2</v>
      </c>
      <c r="Z68" s="385">
        <v>0.5</v>
      </c>
      <c r="AA68" s="467">
        <f t="shared" si="15"/>
        <v>-0.16666666666666669</v>
      </c>
      <c r="AB68" s="425">
        <v>0.05</v>
      </c>
      <c r="AC68" s="471">
        <v>0</v>
      </c>
      <c r="AD68" s="468" t="str">
        <f>IF(AND(PMConstrPct&gt;=Y68,PMConstrPct&lt;Z68),((PMConstrPct-Y68)*AA68),"XXX")</f>
        <v>XXX</v>
      </c>
      <c r="AE68" s="399" t="str">
        <f t="shared" si="16"/>
        <v>XXX</v>
      </c>
      <c r="AF68" s="396" t="s">
        <v>390</v>
      </c>
      <c r="AG68" s="384">
        <v>0.2</v>
      </c>
      <c r="AH68" s="385">
        <v>0.5</v>
      </c>
      <c r="AI68" s="467">
        <f t="shared" si="17"/>
        <v>-0.16666666666666669</v>
      </c>
      <c r="AJ68" s="425">
        <v>0.1</v>
      </c>
      <c r="AK68" s="471">
        <v>0.05</v>
      </c>
      <c r="AL68" s="468" t="str">
        <f>IF(AND(PMConstrPct&gt;=AG68,PMConstrPct&lt;AH68),((PMConstrPct-AG68)*AI68),"XXX")</f>
        <v>XXX</v>
      </c>
      <c r="AM68" s="399" t="str">
        <f t="shared" si="18"/>
        <v>XXX</v>
      </c>
      <c r="AN68" s="396" t="s">
        <v>390</v>
      </c>
      <c r="AO68" s="384">
        <v>0.5</v>
      </c>
      <c r="AP68" s="385">
        <v>1</v>
      </c>
      <c r="AQ68" s="467">
        <f t="shared" si="19"/>
        <v>-0.3</v>
      </c>
      <c r="AR68" s="425">
        <v>0.15</v>
      </c>
      <c r="AS68" s="471">
        <v>0</v>
      </c>
      <c r="AT68" s="468" t="str">
        <f>IF(AND(PMConstrPct&gt;=AO68,PMConstrPct&lt;=AP68),((PMConstrPct-AO68)*AQ68),"XXX")</f>
        <v>XXX</v>
      </c>
      <c r="AU68" s="399" t="str">
        <f t="shared" si="20"/>
        <v>XXX</v>
      </c>
    </row>
    <row r="69" spans="16:47">
      <c r="P69" s="402"/>
      <c r="Q69" s="33"/>
      <c r="R69" s="33"/>
      <c r="S69" s="403"/>
      <c r="T69" s="403"/>
      <c r="U69" s="404"/>
      <c r="V69" s="33"/>
      <c r="W69" s="56"/>
      <c r="X69" s="396" t="s">
        <v>390</v>
      </c>
      <c r="Y69" s="384">
        <v>0.5</v>
      </c>
      <c r="Z69" s="385">
        <v>1</v>
      </c>
      <c r="AA69" s="467">
        <f t="shared" si="15"/>
        <v>0</v>
      </c>
      <c r="AB69" s="425">
        <v>0</v>
      </c>
      <c r="AC69" s="471">
        <v>0</v>
      </c>
      <c r="AD69" s="468" t="str">
        <f>IF(AND(PMConstrPct&gt;=Y69,PMConstrPct&lt;=Z69),((PMConstrPct-Y69)*AA69),"XXX")</f>
        <v>XXX</v>
      </c>
      <c r="AE69" s="399" t="str">
        <f t="shared" si="16"/>
        <v>XXX</v>
      </c>
      <c r="AF69" s="396" t="s">
        <v>390</v>
      </c>
      <c r="AG69" s="384">
        <v>0.5</v>
      </c>
      <c r="AH69" s="385">
        <v>1</v>
      </c>
      <c r="AI69" s="467">
        <f t="shared" si="17"/>
        <v>-0.1</v>
      </c>
      <c r="AJ69" s="425">
        <v>0.05</v>
      </c>
      <c r="AK69" s="471">
        <v>0</v>
      </c>
      <c r="AL69" s="468" t="str">
        <f>IF(AND(PMConstrPct&gt;=AG69,PMConstrPct&lt;=AH69),((PMConstrPct-AG69)*AI69),"XXX")</f>
        <v>XXX</v>
      </c>
      <c r="AM69" s="399" t="str">
        <f t="shared" si="18"/>
        <v>XXX</v>
      </c>
      <c r="AN69" s="402"/>
      <c r="AO69" s="33"/>
      <c r="AP69" s="33"/>
      <c r="AQ69" s="403"/>
      <c r="AR69" s="403"/>
      <c r="AS69" s="404"/>
      <c r="AT69" s="33"/>
      <c r="AU69" s="56"/>
    </row>
    <row r="70" spans="16:47" ht="13.5" thickBot="1">
      <c r="P70" s="402"/>
      <c r="Q70" s="33"/>
      <c r="R70" s="33"/>
      <c r="S70" s="403"/>
      <c r="T70" s="403"/>
      <c r="U70" s="404"/>
      <c r="V70" s="33"/>
      <c r="W70" s="56"/>
      <c r="X70" s="402"/>
      <c r="Y70" s="33"/>
      <c r="Z70" s="33"/>
      <c r="AA70" s="403"/>
      <c r="AB70" s="403"/>
      <c r="AC70" s="404"/>
      <c r="AD70" s="33"/>
      <c r="AE70" s="56"/>
      <c r="AF70" s="402"/>
      <c r="AG70" s="33"/>
      <c r="AH70" s="33"/>
      <c r="AI70" s="403"/>
      <c r="AJ70" s="403"/>
      <c r="AK70" s="404"/>
      <c r="AL70" s="33"/>
      <c r="AM70" s="56"/>
      <c r="AN70" s="402"/>
      <c r="AO70" s="33"/>
      <c r="AP70" s="33"/>
      <c r="AQ70" s="403"/>
      <c r="AR70" s="403"/>
      <c r="AS70" s="404"/>
      <c r="AT70" s="33"/>
      <c r="AU70" s="56"/>
    </row>
    <row r="71" spans="16:47" ht="13.5" thickBot="1">
      <c r="P71" s="422" t="s">
        <v>407</v>
      </c>
      <c r="Q71" s="395"/>
      <c r="R71" s="395"/>
      <c r="S71" s="33"/>
      <c r="T71" s="1241" t="s">
        <v>418</v>
      </c>
      <c r="U71" s="1241"/>
      <c r="V71" s="1242"/>
      <c r="W71" s="472">
        <f>SUM(W73:W76)</f>
        <v>0</v>
      </c>
      <c r="X71" s="422" t="s">
        <v>407</v>
      </c>
      <c r="Y71" s="395"/>
      <c r="Z71" s="395"/>
      <c r="AA71" s="33"/>
      <c r="AB71" s="1241" t="s">
        <v>418</v>
      </c>
      <c r="AC71" s="1241"/>
      <c r="AD71" s="1242"/>
      <c r="AE71" s="472">
        <f>SUM(AE73:AE78)</f>
        <v>0.05</v>
      </c>
      <c r="AF71" s="422" t="s">
        <v>407</v>
      </c>
      <c r="AG71" s="395"/>
      <c r="AH71" s="395"/>
      <c r="AI71" s="33"/>
      <c r="AJ71" s="1241" t="s">
        <v>418</v>
      </c>
      <c r="AK71" s="1241"/>
      <c r="AL71" s="1242"/>
      <c r="AM71" s="472">
        <f>SUM(AM73:AM79)</f>
        <v>0.15</v>
      </c>
      <c r="AN71" s="422" t="s">
        <v>407</v>
      </c>
      <c r="AO71" s="395"/>
      <c r="AP71" s="395"/>
      <c r="AQ71" s="33"/>
      <c r="AR71" s="1241" t="s">
        <v>418</v>
      </c>
      <c r="AS71" s="1241"/>
      <c r="AT71" s="1242"/>
      <c r="AU71" s="472">
        <f>SUM(AU73:AU75)</f>
        <v>0.25</v>
      </c>
    </row>
    <row r="72" spans="16:47" ht="51">
      <c r="P72" s="406" t="s">
        <v>377</v>
      </c>
      <c r="Q72" s="378" t="s">
        <v>378</v>
      </c>
      <c r="R72" s="379" t="s">
        <v>379</v>
      </c>
      <c r="S72" s="466" t="s">
        <v>380</v>
      </c>
      <c r="T72" s="469" t="s">
        <v>381</v>
      </c>
      <c r="U72" s="470" t="s">
        <v>382</v>
      </c>
      <c r="V72" s="378" t="s">
        <v>383</v>
      </c>
      <c r="W72" s="448" t="s">
        <v>384</v>
      </c>
      <c r="X72" s="406" t="s">
        <v>377</v>
      </c>
      <c r="Y72" s="378" t="s">
        <v>378</v>
      </c>
      <c r="Z72" s="379" t="s">
        <v>379</v>
      </c>
      <c r="AA72" s="466" t="s">
        <v>380</v>
      </c>
      <c r="AB72" s="469" t="s">
        <v>381</v>
      </c>
      <c r="AC72" s="470" t="s">
        <v>382</v>
      </c>
      <c r="AD72" s="378" t="s">
        <v>383</v>
      </c>
      <c r="AE72" s="448" t="s">
        <v>384</v>
      </c>
      <c r="AF72" s="406" t="s">
        <v>377</v>
      </c>
      <c r="AG72" s="378" t="s">
        <v>378</v>
      </c>
      <c r="AH72" s="379" t="s">
        <v>379</v>
      </c>
      <c r="AI72" s="466" t="s">
        <v>380</v>
      </c>
      <c r="AJ72" s="469" t="s">
        <v>381</v>
      </c>
      <c r="AK72" s="470" t="s">
        <v>382</v>
      </c>
      <c r="AL72" s="378" t="s">
        <v>383</v>
      </c>
      <c r="AM72" s="448" t="s">
        <v>384</v>
      </c>
      <c r="AN72" s="406" t="s">
        <v>377</v>
      </c>
      <c r="AO72" s="378" t="s">
        <v>378</v>
      </c>
      <c r="AP72" s="379" t="s">
        <v>379</v>
      </c>
      <c r="AQ72" s="466" t="s">
        <v>380</v>
      </c>
      <c r="AR72" s="469" t="s">
        <v>381</v>
      </c>
      <c r="AS72" s="470" t="s">
        <v>382</v>
      </c>
      <c r="AT72" s="378" t="s">
        <v>383</v>
      </c>
      <c r="AU72" s="448" t="s">
        <v>384</v>
      </c>
    </row>
    <row r="73" spans="16:47">
      <c r="P73" s="396" t="s">
        <v>385</v>
      </c>
      <c r="Q73" s="384">
        <v>0.15</v>
      </c>
      <c r="R73" s="385">
        <v>0.3</v>
      </c>
      <c r="S73" s="467">
        <f>(U73-T73)/(R73-Q73)</f>
        <v>-0.46666666666666673</v>
      </c>
      <c r="T73" s="425">
        <v>0.25</v>
      </c>
      <c r="U73" s="471">
        <v>0.18</v>
      </c>
      <c r="V73" s="468" t="str">
        <f>IF(AND(PMDsgnPct&gt;=Q73,PMDsgnPct&lt;R73),((PMDsgnPct-Q73)*S73),"XXX")</f>
        <v>XXX</v>
      </c>
      <c r="W73" s="399" t="str">
        <f>IF(V73&lt;&gt;"XXX",T73+V73,"XXX")</f>
        <v>XXX</v>
      </c>
      <c r="X73" s="396" t="s">
        <v>385</v>
      </c>
      <c r="Y73" s="384">
        <v>0.15</v>
      </c>
      <c r="Z73" s="385">
        <v>0.3</v>
      </c>
      <c r="AA73" s="467">
        <f t="shared" ref="AA73:AA78" si="21">(AC73-AB73)/(Z73-Y73)</f>
        <v>-0.8</v>
      </c>
      <c r="AB73" s="425">
        <v>0.45</v>
      </c>
      <c r="AC73" s="471">
        <v>0.33</v>
      </c>
      <c r="AD73" s="468" t="str">
        <f>IF(AND(PMDsgnPct&gt;=Y73,PMDsgnPct&lt;Z73),((PMDsgnPct-Y73)*AA73),"XXX")</f>
        <v>XXX</v>
      </c>
      <c r="AE73" s="399" t="str">
        <f t="shared" ref="AE73:AE78" si="22">IF(AD73&lt;&gt;"XXX",AB73+AD73,"XXX")</f>
        <v>XXX</v>
      </c>
      <c r="AF73" s="396" t="s">
        <v>385</v>
      </c>
      <c r="AG73" s="384">
        <v>0.15</v>
      </c>
      <c r="AH73" s="385">
        <v>0.3</v>
      </c>
      <c r="AI73" s="467">
        <f>(AK73-AJ73)/(AH73-AG73)</f>
        <v>-0.66666666666666652</v>
      </c>
      <c r="AJ73" s="425">
        <v>0.3</v>
      </c>
      <c r="AK73" s="471">
        <v>0.2</v>
      </c>
      <c r="AL73" s="468" t="str">
        <f>IF(AND(PMDsgnPct&gt;=AG73,PMDsgnPct&lt;AH73),((PMDsgnPct-AG73)*AI73),"XXX")</f>
        <v>XXX</v>
      </c>
      <c r="AM73" s="399" t="str">
        <f t="shared" ref="AM73:AM79" si="23">IF(AL73&lt;&gt;"XXX",AJ73+AL73,"XXX")</f>
        <v>XXX</v>
      </c>
      <c r="AN73" s="396" t="s">
        <v>390</v>
      </c>
      <c r="AO73" s="384">
        <v>0</v>
      </c>
      <c r="AP73" s="385">
        <v>0.2</v>
      </c>
      <c r="AQ73" s="467">
        <f>(AS73-AR73)/(AP73-AO73)</f>
        <v>0</v>
      </c>
      <c r="AR73" s="425">
        <v>0.25</v>
      </c>
      <c r="AS73" s="471">
        <v>0.25</v>
      </c>
      <c r="AT73" s="468">
        <f>IF(AND(PMConstrPct&gt;=AO73,PMConstrPct&lt;AP73),((PMConstrPct-AO73)*AQ73),"XXX")</f>
        <v>0</v>
      </c>
      <c r="AU73" s="399">
        <f>IF(AT73&lt;&gt;"XXX",AR73+AT73,"XXX")</f>
        <v>0.25</v>
      </c>
    </row>
    <row r="74" spans="16:47">
      <c r="P74" s="396" t="s">
        <v>385</v>
      </c>
      <c r="Q74" s="384">
        <v>0.3</v>
      </c>
      <c r="R74" s="385">
        <v>0.6</v>
      </c>
      <c r="S74" s="467">
        <f>(U74-T74)/(R74-Q74)</f>
        <v>-0.26666666666666666</v>
      </c>
      <c r="T74" s="425">
        <v>0.18</v>
      </c>
      <c r="U74" s="471">
        <v>0.1</v>
      </c>
      <c r="V74" s="468" t="str">
        <f>IF(AND(PMDsgnPct&gt;=Q74,PMDsgnPct&lt;R74),((PMDsgnPct-Q74)*S74),"XXX")</f>
        <v>XXX</v>
      </c>
      <c r="W74" s="399" t="str">
        <f>IF(V74&lt;&gt;"XXX",T74+V74,"XXX")</f>
        <v>XXX</v>
      </c>
      <c r="X74" s="396" t="s">
        <v>385</v>
      </c>
      <c r="Y74" s="384">
        <v>0.3</v>
      </c>
      <c r="Z74" s="385">
        <v>0.6</v>
      </c>
      <c r="AA74" s="467">
        <f t="shared" si="21"/>
        <v>-0.43333333333333335</v>
      </c>
      <c r="AB74" s="425">
        <v>0.33</v>
      </c>
      <c r="AC74" s="471">
        <v>0.2</v>
      </c>
      <c r="AD74" s="468" t="str">
        <f>IF(AND(PMDsgnPct&gt;=Y74,PMDsgnPct&lt;Z74),((PMDsgnPct-Y74)*AA74),"XXX")</f>
        <v>XXX</v>
      </c>
      <c r="AE74" s="399" t="str">
        <f t="shared" si="22"/>
        <v>XXX</v>
      </c>
      <c r="AF74" s="396" t="s">
        <v>385</v>
      </c>
      <c r="AG74" s="384">
        <v>0.3</v>
      </c>
      <c r="AH74" s="385">
        <v>0.6</v>
      </c>
      <c r="AI74" s="467">
        <f>(AK74-AJ74)/(AH74-AG74)</f>
        <v>-0.33333333333333337</v>
      </c>
      <c r="AJ74" s="425">
        <v>0.2</v>
      </c>
      <c r="AK74" s="471">
        <v>0.1</v>
      </c>
      <c r="AL74" s="468" t="str">
        <f>IF(AND(PMDsgnPct&gt;=AG74,PMDsgnPct&lt;AH74),((PMDsgnPct-AG74)*AI74),"XXX")</f>
        <v>XXX</v>
      </c>
      <c r="AM74" s="399" t="str">
        <f t="shared" si="23"/>
        <v>XXX</v>
      </c>
      <c r="AN74" s="396" t="s">
        <v>390</v>
      </c>
      <c r="AO74" s="384">
        <v>0.2</v>
      </c>
      <c r="AP74" s="385">
        <v>0.5</v>
      </c>
      <c r="AQ74" s="467">
        <f>(AS74-AR74)/(AP74-AO74)</f>
        <v>-0.33333333333333337</v>
      </c>
      <c r="AR74" s="425">
        <v>0.25</v>
      </c>
      <c r="AS74" s="471">
        <v>0.15</v>
      </c>
      <c r="AT74" s="468" t="str">
        <f>IF(AND(PMConstrPct&gt;=AO74,PMConstrPct&lt;AP74),((PMConstrPct-AO74)*AQ74),"XXX")</f>
        <v>XXX</v>
      </c>
      <c r="AU74" s="399" t="str">
        <f>IF(AT74&lt;&gt;"XXX",AR74+AT74,"XXX")</f>
        <v>XXX</v>
      </c>
    </row>
    <row r="75" spans="16:47">
      <c r="P75" s="396" t="s">
        <v>385</v>
      </c>
      <c r="Q75" s="384">
        <v>0.6</v>
      </c>
      <c r="R75" s="385">
        <v>0.95</v>
      </c>
      <c r="S75" s="467">
        <f>(U75-T75)/(R75-Q75)</f>
        <v>-0.14285714285714288</v>
      </c>
      <c r="T75" s="425">
        <v>0.1</v>
      </c>
      <c r="U75" s="471">
        <v>0.05</v>
      </c>
      <c r="V75" s="468" t="str">
        <f>IF(AND(PMDsgnPct&gt;=Q75,PMDsgnPct&lt;R75),((PMDsgnPct-Q75)*S75),"XXX")</f>
        <v>XXX</v>
      </c>
      <c r="W75" s="399" t="str">
        <f>IF(V75&lt;&gt;"XXX",T75+V75,"XXX")</f>
        <v>XXX</v>
      </c>
      <c r="X75" s="396" t="s">
        <v>385</v>
      </c>
      <c r="Y75" s="384">
        <v>0.6</v>
      </c>
      <c r="Z75" s="385">
        <v>0.95</v>
      </c>
      <c r="AA75" s="467">
        <f t="shared" si="21"/>
        <v>-0.42857142857142866</v>
      </c>
      <c r="AB75" s="425">
        <v>0.2</v>
      </c>
      <c r="AC75" s="471">
        <v>0.05</v>
      </c>
      <c r="AD75" s="468" t="str">
        <f>IF(AND(PMDsgnPct&gt;=Y75,PMDsgnPct&lt;Z75),((PMDsgnPct-Y75)*AA75),"XXX")</f>
        <v>XXX</v>
      </c>
      <c r="AE75" s="399" t="str">
        <f t="shared" si="22"/>
        <v>XXX</v>
      </c>
      <c r="AF75" s="396" t="s">
        <v>385</v>
      </c>
      <c r="AG75" s="384">
        <v>0.6</v>
      </c>
      <c r="AH75" s="385">
        <v>0.95</v>
      </c>
      <c r="AI75" s="467">
        <f>(AK75-AJ75)/(AH75-AG75)</f>
        <v>-0.28571428571428575</v>
      </c>
      <c r="AJ75" s="425">
        <v>0.1</v>
      </c>
      <c r="AK75" s="471">
        <v>0</v>
      </c>
      <c r="AL75" s="468" t="str">
        <f>IF(AND(PMDsgnPct&gt;=AG75,PMDsgnPct&lt;AH75),((PMDsgnPct-AG75)*AI75),"XXX")</f>
        <v>XXX</v>
      </c>
      <c r="AM75" s="399" t="str">
        <f t="shared" si="23"/>
        <v>XXX</v>
      </c>
      <c r="AN75" s="396" t="s">
        <v>390</v>
      </c>
      <c r="AO75" s="384">
        <v>0.5</v>
      </c>
      <c r="AP75" s="385">
        <v>1</v>
      </c>
      <c r="AQ75" s="467">
        <f>(AS75-AR75)/(AP75-AO75)</f>
        <v>-0.3</v>
      </c>
      <c r="AR75" s="425">
        <v>0.15</v>
      </c>
      <c r="AS75" s="471">
        <v>0</v>
      </c>
      <c r="AT75" s="468" t="str">
        <f>IF(AND(PMConstrPct&gt;=AO75,PMConstrPct&lt;=AP75),((PMConstrPct-AO75)*AQ75),"XXX")</f>
        <v>XXX</v>
      </c>
      <c r="AU75" s="399" t="str">
        <f>IF(AT75&lt;&gt;"XXX",AR75+AT75,"XXX")</f>
        <v>XXX</v>
      </c>
    </row>
    <row r="76" spans="16:47">
      <c r="P76" s="396" t="s">
        <v>385</v>
      </c>
      <c r="Q76" s="384">
        <v>0.95</v>
      </c>
      <c r="R76" s="385">
        <v>1</v>
      </c>
      <c r="S76" s="467">
        <f>(U76-T76)/(R76-Q76)</f>
        <v>-0.99999999999999911</v>
      </c>
      <c r="T76" s="425">
        <f>U75</f>
        <v>0.05</v>
      </c>
      <c r="U76" s="471">
        <v>0</v>
      </c>
      <c r="V76" s="468" t="str">
        <f>IF(AND(PMDsgnPct&gt;=Q76,PMDsgnPct&lt;=R76),((PMDsgnPct-Q76)*S76),"XXX")</f>
        <v>XXX</v>
      </c>
      <c r="W76" s="399" t="str">
        <f>IF(V76&lt;&gt;"XXX",T76+V76,"XXX")</f>
        <v>XXX</v>
      </c>
      <c r="X76" s="396" t="s">
        <v>385</v>
      </c>
      <c r="Y76" s="384">
        <v>0.95</v>
      </c>
      <c r="Z76" s="385">
        <v>1</v>
      </c>
      <c r="AA76" s="467">
        <f t="shared" si="21"/>
        <v>-0.99999999999999911</v>
      </c>
      <c r="AB76" s="425">
        <v>0.05</v>
      </c>
      <c r="AC76" s="471">
        <v>0</v>
      </c>
      <c r="AD76" s="468" t="str">
        <f>IF(AND(PMDsgnPct&gt;=Y76,PMDsgnPct&lt;Z76),((PMDsgnPct-Y76)*AA76),"XXX")</f>
        <v>XXX</v>
      </c>
      <c r="AE76" s="399" t="str">
        <f t="shared" si="22"/>
        <v>XXX</v>
      </c>
      <c r="AF76" s="396" t="s">
        <v>385</v>
      </c>
      <c r="AG76" s="384">
        <v>0.95</v>
      </c>
      <c r="AH76" s="385">
        <v>1</v>
      </c>
      <c r="AI76" s="467">
        <f>(AK76-AJ76)/(AH76-AG76)</f>
        <v>0</v>
      </c>
      <c r="AJ76" s="425">
        <f>AK75</f>
        <v>0</v>
      </c>
      <c r="AK76" s="471">
        <v>0</v>
      </c>
      <c r="AL76" s="468" t="str">
        <f>IF(AND(PMDsgnPct&gt;=AG76,PMDsgnPct&lt;AH76),((PMDsgnPct-AG76)*AI76),"XXX")</f>
        <v>XXX</v>
      </c>
      <c r="AM76" s="399" t="str">
        <f t="shared" si="23"/>
        <v>XXX</v>
      </c>
      <c r="AN76" s="402"/>
      <c r="AO76" s="395"/>
      <c r="AP76" s="395"/>
      <c r="AQ76" s="403"/>
      <c r="AR76" s="403"/>
      <c r="AS76" s="404"/>
      <c r="AT76" s="33"/>
      <c r="AU76" s="56"/>
    </row>
    <row r="77" spans="16:47">
      <c r="P77" s="402"/>
      <c r="Q77" s="395"/>
      <c r="R77" s="395"/>
      <c r="S77" s="403"/>
      <c r="T77" s="403"/>
      <c r="U77" s="404"/>
      <c r="V77" s="33"/>
      <c r="W77" s="56"/>
      <c r="X77" s="396" t="s">
        <v>390</v>
      </c>
      <c r="Y77" s="384">
        <v>0</v>
      </c>
      <c r="Z77" s="385">
        <v>0.2</v>
      </c>
      <c r="AA77" s="467">
        <f t="shared" si="21"/>
        <v>-0.25</v>
      </c>
      <c r="AB77" s="425">
        <v>0.05</v>
      </c>
      <c r="AC77" s="471">
        <v>0</v>
      </c>
      <c r="AD77" s="468">
        <f>IF(AND(PMConstrPct&gt;=Y77,PMConstrPct&lt;Z77),((PMConstrPct-Y77)*AA77),"XXX")</f>
        <v>0</v>
      </c>
      <c r="AE77" s="399">
        <f t="shared" si="22"/>
        <v>0.05</v>
      </c>
      <c r="AF77" s="396" t="s">
        <v>390</v>
      </c>
      <c r="AG77" s="384">
        <v>0</v>
      </c>
      <c r="AH77" s="385">
        <v>0.2</v>
      </c>
      <c r="AI77" s="467">
        <f>(AK77-AJ77)/(AH77-AG77)</f>
        <v>-0.24999999999999994</v>
      </c>
      <c r="AJ77" s="425">
        <v>0.15</v>
      </c>
      <c r="AK77" s="471">
        <v>0.1</v>
      </c>
      <c r="AL77" s="468">
        <f>IF(AND(PMConstrPct&gt;=AG77,PMConstrPct&lt;AH77),((PMConstrPct-AG77)*AI77),"XXX")</f>
        <v>0</v>
      </c>
      <c r="AM77" s="399">
        <f t="shared" si="23"/>
        <v>0.15</v>
      </c>
      <c r="AN77" s="402"/>
      <c r="AO77" s="395"/>
      <c r="AP77" s="395"/>
      <c r="AQ77" s="403"/>
      <c r="AR77" s="403"/>
      <c r="AS77" s="404"/>
      <c r="AT77" s="33"/>
      <c r="AU77" s="56"/>
    </row>
    <row r="78" spans="16:47">
      <c r="P78" s="402"/>
      <c r="Q78" s="395"/>
      <c r="R78" s="395"/>
      <c r="S78" s="403"/>
      <c r="T78" s="403"/>
      <c r="U78" s="404"/>
      <c r="V78" s="33"/>
      <c r="W78" s="56"/>
      <c r="X78" s="396" t="s">
        <v>390</v>
      </c>
      <c r="Y78" s="384">
        <v>0.2</v>
      </c>
      <c r="Z78" s="385">
        <v>1</v>
      </c>
      <c r="AA78" s="467">
        <f t="shared" si="21"/>
        <v>0</v>
      </c>
      <c r="AB78" s="425">
        <v>0</v>
      </c>
      <c r="AC78" s="471">
        <v>0</v>
      </c>
      <c r="AD78" s="468" t="str">
        <f>IF(AND(PMConstrPct&gt;=Y78,PMConstrPct&lt;=Z78),((PMConstrPct-Y78)*AA78),"XXX")</f>
        <v>XXX</v>
      </c>
      <c r="AE78" s="399" t="str">
        <f t="shared" si="22"/>
        <v>XXX</v>
      </c>
      <c r="AF78" s="396" t="s">
        <v>390</v>
      </c>
      <c r="AG78" s="384">
        <v>0.2</v>
      </c>
      <c r="AH78" s="385">
        <v>0.5</v>
      </c>
      <c r="AI78" s="467">
        <f t="shared" ref="AI78:AI79" si="24">(AK78-AJ78)/(AH78-AG78)</f>
        <v>-0.16666666666666669</v>
      </c>
      <c r="AJ78" s="425">
        <v>0.1</v>
      </c>
      <c r="AK78" s="471">
        <v>0.05</v>
      </c>
      <c r="AL78" s="468" t="str">
        <f>IF(AND(PMConstrPct&gt;=AG78,PMConstrPct&lt;AH78),((PMConstrPct-AG78)*AI78),"XXX")</f>
        <v>XXX</v>
      </c>
      <c r="AM78" s="399" t="str">
        <f t="shared" si="23"/>
        <v>XXX</v>
      </c>
      <c r="AN78" s="402"/>
      <c r="AO78" s="395"/>
      <c r="AP78" s="395"/>
      <c r="AQ78" s="403"/>
      <c r="AR78" s="403"/>
      <c r="AS78" s="404"/>
      <c r="AT78" s="33"/>
      <c r="AU78" s="56"/>
    </row>
    <row r="79" spans="16:47">
      <c r="P79" s="402"/>
      <c r="Q79" s="395"/>
      <c r="R79" s="395"/>
      <c r="S79" s="403"/>
      <c r="T79" s="403"/>
      <c r="U79" s="404"/>
      <c r="V79" s="33"/>
      <c r="W79" s="56"/>
      <c r="X79" s="402"/>
      <c r="Y79" s="395"/>
      <c r="Z79" s="395"/>
      <c r="AA79" s="403"/>
      <c r="AB79" s="403"/>
      <c r="AC79" s="404"/>
      <c r="AD79" s="33"/>
      <c r="AE79" s="56"/>
      <c r="AF79" s="396" t="s">
        <v>390</v>
      </c>
      <c r="AG79" s="384">
        <v>0.5</v>
      </c>
      <c r="AH79" s="385">
        <v>1</v>
      </c>
      <c r="AI79" s="467">
        <f t="shared" si="24"/>
        <v>0</v>
      </c>
      <c r="AJ79" s="425">
        <v>0</v>
      </c>
      <c r="AK79" s="471">
        <v>0</v>
      </c>
      <c r="AL79" s="468" t="str">
        <f>IF(AND(PMConstrPct&gt;=AG79,PMConstrPct&lt;=AH79),((PMConstrPct-AG79)*AI79),"XXX")</f>
        <v>XXX</v>
      </c>
      <c r="AM79" s="399" t="str">
        <f t="shared" si="23"/>
        <v>XXX</v>
      </c>
      <c r="AN79" s="402"/>
      <c r="AO79" s="395"/>
      <c r="AP79" s="395"/>
      <c r="AQ79" s="403"/>
      <c r="AR79" s="403"/>
      <c r="AS79" s="404"/>
      <c r="AT79" s="33"/>
      <c r="AU79" s="56"/>
    </row>
    <row r="80" spans="16:47" ht="13.5" thickBot="1">
      <c r="P80" s="402"/>
      <c r="Q80" s="395"/>
      <c r="R80" s="395"/>
      <c r="S80" s="403"/>
      <c r="T80" s="403"/>
      <c r="U80" s="404"/>
      <c r="V80" s="33"/>
      <c r="W80" s="56"/>
      <c r="X80" s="402"/>
      <c r="Y80" s="395"/>
      <c r="Z80" s="395"/>
      <c r="AA80" s="403"/>
      <c r="AB80" s="403"/>
      <c r="AC80" s="404"/>
      <c r="AD80" s="33"/>
      <c r="AE80" s="56"/>
      <c r="AF80" s="402"/>
      <c r="AG80" s="395"/>
      <c r="AH80" s="395"/>
      <c r="AI80" s="403"/>
      <c r="AJ80" s="403"/>
      <c r="AK80" s="404"/>
      <c r="AL80" s="33"/>
      <c r="AM80" s="56"/>
      <c r="AN80" s="402"/>
      <c r="AO80" s="395"/>
      <c r="AP80" s="395"/>
      <c r="AQ80" s="403"/>
      <c r="AR80" s="403"/>
      <c r="AS80" s="404"/>
      <c r="AT80" s="33"/>
      <c r="AU80" s="56"/>
    </row>
    <row r="81" spans="16:47" ht="13.5" thickBot="1">
      <c r="P81" s="422" t="s">
        <v>409</v>
      </c>
      <c r="Q81" s="395"/>
      <c r="R81" s="395"/>
      <c r="S81" s="33"/>
      <c r="T81" s="1241" t="s">
        <v>467</v>
      </c>
      <c r="U81" s="1241"/>
      <c r="V81" s="1242"/>
      <c r="W81" s="472">
        <f>SUM(W83:W85)</f>
        <v>0.15</v>
      </c>
      <c r="X81" s="422" t="s">
        <v>409</v>
      </c>
      <c r="Y81" s="395"/>
      <c r="Z81" s="395"/>
      <c r="AA81" s="33"/>
      <c r="AB81" s="1241" t="s">
        <v>467</v>
      </c>
      <c r="AC81" s="1241"/>
      <c r="AD81" s="1242"/>
      <c r="AE81" s="472">
        <f>SUM(AE83:AE89)</f>
        <v>0.15</v>
      </c>
      <c r="AF81" s="422" t="s">
        <v>409</v>
      </c>
      <c r="AG81" s="395"/>
      <c r="AH81" s="395"/>
      <c r="AI81" s="33"/>
      <c r="AJ81" s="1241" t="s">
        <v>467</v>
      </c>
      <c r="AK81" s="1241"/>
      <c r="AL81" s="1242"/>
      <c r="AM81" s="472">
        <f>SUM(AM83:AM89)</f>
        <v>0.30000000000000004</v>
      </c>
      <c r="AN81" s="422" t="s">
        <v>409</v>
      </c>
      <c r="AO81" s="395"/>
      <c r="AP81" s="395"/>
      <c r="AQ81" s="33"/>
      <c r="AR81" s="1241" t="s">
        <v>467</v>
      </c>
      <c r="AS81" s="1241"/>
      <c r="AT81" s="1242"/>
      <c r="AU81" s="472">
        <f>SUM(AU83:AU85)</f>
        <v>0.60000000000000009</v>
      </c>
    </row>
    <row r="82" spans="16:47" ht="51">
      <c r="P82" s="406" t="s">
        <v>377</v>
      </c>
      <c r="Q82" s="378" t="s">
        <v>378</v>
      </c>
      <c r="R82" s="379" t="s">
        <v>379</v>
      </c>
      <c r="S82" s="466" t="s">
        <v>380</v>
      </c>
      <c r="T82" s="469" t="s">
        <v>381</v>
      </c>
      <c r="U82" s="470" t="s">
        <v>382</v>
      </c>
      <c r="V82" s="378" t="s">
        <v>383</v>
      </c>
      <c r="W82" s="448" t="s">
        <v>384</v>
      </c>
      <c r="X82" s="406" t="s">
        <v>377</v>
      </c>
      <c r="Y82" s="378" t="s">
        <v>378</v>
      </c>
      <c r="Z82" s="379" t="s">
        <v>379</v>
      </c>
      <c r="AA82" s="466" t="s">
        <v>380</v>
      </c>
      <c r="AB82" s="469" t="s">
        <v>381</v>
      </c>
      <c r="AC82" s="470" t="s">
        <v>382</v>
      </c>
      <c r="AD82" s="378" t="s">
        <v>383</v>
      </c>
      <c r="AE82" s="448" t="s">
        <v>384</v>
      </c>
      <c r="AF82" s="406" t="s">
        <v>377</v>
      </c>
      <c r="AG82" s="378" t="s">
        <v>378</v>
      </c>
      <c r="AH82" s="379" t="s">
        <v>379</v>
      </c>
      <c r="AI82" s="466" t="s">
        <v>380</v>
      </c>
      <c r="AJ82" s="469" t="s">
        <v>381</v>
      </c>
      <c r="AK82" s="470" t="s">
        <v>382</v>
      </c>
      <c r="AL82" s="378" t="s">
        <v>383</v>
      </c>
      <c r="AM82" s="448" t="s">
        <v>384</v>
      </c>
      <c r="AN82" s="406" t="s">
        <v>377</v>
      </c>
      <c r="AO82" s="378" t="s">
        <v>378</v>
      </c>
      <c r="AP82" s="379" t="s">
        <v>379</v>
      </c>
      <c r="AQ82" s="466" t="s">
        <v>380</v>
      </c>
      <c r="AR82" s="469" t="s">
        <v>381</v>
      </c>
      <c r="AS82" s="470" t="s">
        <v>382</v>
      </c>
      <c r="AT82" s="378" t="s">
        <v>383</v>
      </c>
      <c r="AU82" s="448" t="s">
        <v>384</v>
      </c>
    </row>
    <row r="83" spans="16:47">
      <c r="P83" s="396" t="s">
        <v>390</v>
      </c>
      <c r="Q83" s="384">
        <v>0</v>
      </c>
      <c r="R83" s="385">
        <v>0.2</v>
      </c>
      <c r="S83" s="467">
        <f>(U83-T83)/(R83-Q83)</f>
        <v>-0.24999999999999994</v>
      </c>
      <c r="T83" s="425">
        <v>0.15</v>
      </c>
      <c r="U83" s="471">
        <v>0.1</v>
      </c>
      <c r="V83" s="468">
        <f>IF(AND(PMConstrPct&gt;=Q83,PMConstrPct&lt;R83),((PMConstrPct-Q83)*S83),"XXX")</f>
        <v>0</v>
      </c>
      <c r="W83" s="399">
        <f>IF(V83&lt;&gt;"XXX",T83+V83,"XXX")</f>
        <v>0.15</v>
      </c>
      <c r="X83" s="396" t="s">
        <v>385</v>
      </c>
      <c r="Y83" s="384">
        <v>0.15</v>
      </c>
      <c r="Z83" s="385">
        <v>0.3</v>
      </c>
      <c r="AA83" s="467">
        <f t="shared" ref="AA83:AA89" si="25">(AC83-AB83)/(Z83-Y83)</f>
        <v>-0.13333333333333336</v>
      </c>
      <c r="AB83" s="425">
        <v>0.1</v>
      </c>
      <c r="AC83" s="471">
        <v>0.08</v>
      </c>
      <c r="AD83" s="468" t="str">
        <f>IF(AND(PMDsgnPct&gt;=Y83,PMDsgnPct&lt;Z83),((PMDsgnPct-Y83)*AA83),"XXX")</f>
        <v>XXX</v>
      </c>
      <c r="AE83" s="399" t="str">
        <f t="shared" ref="AE83:AE89" si="26">IF(AD83&lt;&gt;"XXX",AB83+AD83,"XXX")</f>
        <v>XXX</v>
      </c>
      <c r="AF83" s="396" t="s">
        <v>385</v>
      </c>
      <c r="AG83" s="384">
        <v>0.15</v>
      </c>
      <c r="AH83" s="385">
        <v>0.6</v>
      </c>
      <c r="AI83" s="467">
        <f t="shared" ref="AI83:AI89" si="27">(AK83-AJ83)/(AH83-AG83)</f>
        <v>0</v>
      </c>
      <c r="AJ83" s="425">
        <v>0.2</v>
      </c>
      <c r="AK83" s="471">
        <v>0.2</v>
      </c>
      <c r="AL83" s="468" t="str">
        <f>IF(AND(PMDsgnPct&gt;=AG83,PMDsgnPct&lt;AH83),((PMDsgnPct-AG83)*AI83),"XXX")</f>
        <v>XXX</v>
      </c>
      <c r="AM83" s="399" t="str">
        <f t="shared" ref="AM83:AM89" si="28">IF(AL83&lt;&gt;"XXX",AJ83+AL83,"XXX")</f>
        <v>XXX</v>
      </c>
      <c r="AN83" s="396" t="s">
        <v>390</v>
      </c>
      <c r="AO83" s="384">
        <v>0</v>
      </c>
      <c r="AP83" s="385">
        <v>0.5</v>
      </c>
      <c r="AQ83" s="467">
        <f>(AS83-AR83)/(AP83-AO83)</f>
        <v>0</v>
      </c>
      <c r="AR83" s="425">
        <v>0.2</v>
      </c>
      <c r="AS83" s="471">
        <v>0.2</v>
      </c>
      <c r="AT83" s="468">
        <f>IF(AND(PMConstrPct&gt;=AO83,PMConstrPct&lt;AP83),((PMConstrPct-AO83)*AQ83),"XXX")</f>
        <v>0</v>
      </c>
      <c r="AU83" s="399">
        <f>IF(AT83&lt;&gt;"XXX",AR83+AT83,"XXX")</f>
        <v>0.2</v>
      </c>
    </row>
    <row r="84" spans="16:47">
      <c r="P84" s="396" t="s">
        <v>390</v>
      </c>
      <c r="Q84" s="384">
        <v>0.2</v>
      </c>
      <c r="R84" s="385">
        <v>0.5</v>
      </c>
      <c r="S84" s="467">
        <f>(U84-T84)/(R84-Q84)</f>
        <v>-0.16666666666666669</v>
      </c>
      <c r="T84" s="425">
        <v>0.1</v>
      </c>
      <c r="U84" s="471">
        <v>0.05</v>
      </c>
      <c r="V84" s="468" t="str">
        <f>IF(AND(PMConstrPct&gt;=Q84,PMConstrPct&lt;R84),((PMConstrPct-Q84)*S84),"XXX")</f>
        <v>XXX</v>
      </c>
      <c r="W84" s="399" t="str">
        <f>IF(V84&lt;&gt;"XXX",T84+V84,"XXX")</f>
        <v>XXX</v>
      </c>
      <c r="X84" s="396" t="s">
        <v>385</v>
      </c>
      <c r="Y84" s="384">
        <v>0.3</v>
      </c>
      <c r="Z84" s="385">
        <v>0.6</v>
      </c>
      <c r="AA84" s="467">
        <f t="shared" si="25"/>
        <v>-0.1</v>
      </c>
      <c r="AB84" s="425">
        <v>0.08</v>
      </c>
      <c r="AC84" s="471">
        <v>0.05</v>
      </c>
      <c r="AD84" s="468" t="str">
        <f>IF(AND(PMDsgnPct&gt;=Y84,PMDsgnPct&lt;Z84),((PMDsgnPct-Y84)*AA84),"XXX")</f>
        <v>XXX</v>
      </c>
      <c r="AE84" s="399" t="str">
        <f t="shared" si="26"/>
        <v>XXX</v>
      </c>
      <c r="AF84" s="396" t="s">
        <v>385</v>
      </c>
      <c r="AG84" s="384">
        <v>0.6</v>
      </c>
      <c r="AH84" s="385">
        <v>0.95</v>
      </c>
      <c r="AI84" s="467">
        <f t="shared" si="27"/>
        <v>-0.57142857142857151</v>
      </c>
      <c r="AJ84" s="425">
        <v>0.2</v>
      </c>
      <c r="AK84" s="471">
        <v>0</v>
      </c>
      <c r="AL84" s="468" t="str">
        <f>IF(AND(PMDsgnPct&gt;=AG84,PMDsgnPct&lt;AH84),((PMDsgnPct-AG84)*AI84),"XXX")</f>
        <v>XXX</v>
      </c>
      <c r="AM84" s="399" t="str">
        <f t="shared" si="28"/>
        <v>XXX</v>
      </c>
      <c r="AN84" s="396" t="s">
        <v>390</v>
      </c>
      <c r="AO84" s="384">
        <v>0.5</v>
      </c>
      <c r="AP84" s="385">
        <v>1</v>
      </c>
      <c r="AQ84" s="467">
        <f>(AS84-AR84)/(AP84-AO84)</f>
        <v>-0.4</v>
      </c>
      <c r="AR84" s="425">
        <v>0.2</v>
      </c>
      <c r="AS84" s="471">
        <v>0</v>
      </c>
      <c r="AT84" s="468" t="str">
        <f>IF(AND(PMConstrPct&gt;=AO84,PMConstrPct&lt;AP84),((PMConstrPct-AO84)*AQ84),"XXX")</f>
        <v>XXX</v>
      </c>
      <c r="AU84" s="399" t="str">
        <f>IF(AT84&lt;&gt;"XXX",AR84+AT84,"XXX")</f>
        <v>XXX</v>
      </c>
    </row>
    <row r="85" spans="16:47">
      <c r="P85" s="396" t="s">
        <v>390</v>
      </c>
      <c r="Q85" s="384">
        <v>0.5</v>
      </c>
      <c r="R85" s="385">
        <v>1</v>
      </c>
      <c r="S85" s="467">
        <f>(U85-T85)/(R85-Q85)</f>
        <v>-0.1</v>
      </c>
      <c r="T85" s="425">
        <v>0.05</v>
      </c>
      <c r="U85" s="471">
        <v>0</v>
      </c>
      <c r="V85" s="468" t="str">
        <f>IF(AND(PMConstrPct&gt;=Q85,PMConstrPct&lt;=R85),((PMConstrPct-Q85)*S85),"XXX")</f>
        <v>XXX</v>
      </c>
      <c r="W85" s="399" t="str">
        <f>IF(V85&lt;&gt;"XXX",T85+V85,"XXX")</f>
        <v>XXX</v>
      </c>
      <c r="X85" s="396" t="s">
        <v>385</v>
      </c>
      <c r="Y85" s="384">
        <v>0.6</v>
      </c>
      <c r="Z85" s="385">
        <v>0.95</v>
      </c>
      <c r="AA85" s="467">
        <f t="shared" si="25"/>
        <v>-0.14285714285714288</v>
      </c>
      <c r="AB85" s="425">
        <f>AC84</f>
        <v>0.05</v>
      </c>
      <c r="AC85" s="471">
        <v>0</v>
      </c>
      <c r="AD85" s="468" t="str">
        <f>IF(AND(PMDsgnPct&gt;=Y85,PMDsgnPct&lt;Z85),((PMDsgnPct-Y85)*AA85),"XXX")</f>
        <v>XXX</v>
      </c>
      <c r="AE85" s="399" t="str">
        <f t="shared" si="26"/>
        <v>XXX</v>
      </c>
      <c r="AF85" s="396" t="s">
        <v>385</v>
      </c>
      <c r="AG85" s="384">
        <v>0.95</v>
      </c>
      <c r="AH85" s="385">
        <v>1</v>
      </c>
      <c r="AI85" s="467">
        <f t="shared" si="27"/>
        <v>0</v>
      </c>
      <c r="AJ85" s="425">
        <f>AK84</f>
        <v>0</v>
      </c>
      <c r="AK85" s="471">
        <v>0</v>
      </c>
      <c r="AL85" s="468" t="str">
        <f>IF(AND(PMDsgnPct&gt;=AG85,PMDsgnPct&lt;AH85),((PMDsgnPct-AG85)*AI85),"XXX")</f>
        <v>XXX</v>
      </c>
      <c r="AM85" s="399" t="str">
        <f t="shared" si="28"/>
        <v>XXX</v>
      </c>
      <c r="AN85" s="396" t="s">
        <v>411</v>
      </c>
      <c r="AO85" s="384">
        <v>0</v>
      </c>
      <c r="AP85" s="385">
        <v>1</v>
      </c>
      <c r="AQ85" s="467">
        <f>(AS85-AR85)/(AP85-AO85)</f>
        <v>-0.4</v>
      </c>
      <c r="AR85" s="425">
        <v>0.4</v>
      </c>
      <c r="AS85" s="471">
        <v>0</v>
      </c>
      <c r="AT85" s="468">
        <f>IF(AND(PMClosePct&gt;=AO85,PMClosePct&lt;=AP85),((PMClosePct-AO85)*AQ85),"XXX")</f>
        <v>0</v>
      </c>
      <c r="AU85" s="399">
        <f>IF(AT85&lt;&gt;"XXX",AR85+AT85,"XXX")</f>
        <v>0.4</v>
      </c>
    </row>
    <row r="86" spans="16:47">
      <c r="P86" s="402"/>
      <c r="Q86" s="33"/>
      <c r="R86" s="395"/>
      <c r="S86" s="403"/>
      <c r="T86" s="403"/>
      <c r="U86" s="404"/>
      <c r="V86" s="33"/>
      <c r="W86" s="56"/>
      <c r="X86" s="396" t="s">
        <v>385</v>
      </c>
      <c r="Y86" s="384">
        <v>0.95</v>
      </c>
      <c r="Z86" s="385">
        <v>1</v>
      </c>
      <c r="AA86" s="467">
        <f t="shared" si="25"/>
        <v>0</v>
      </c>
      <c r="AB86" s="425">
        <f>AC85</f>
        <v>0</v>
      </c>
      <c r="AC86" s="471">
        <v>0</v>
      </c>
      <c r="AD86" s="468" t="str">
        <f>IF(AND(PMDsgnPct&gt;=Y86,PMDsgnPct&lt;Z86),((PMDsgnPct-Y86)*AA86),"XXX")</f>
        <v>XXX</v>
      </c>
      <c r="AE86" s="399" t="str">
        <f t="shared" si="26"/>
        <v>XXX</v>
      </c>
      <c r="AF86" s="396" t="s">
        <v>390</v>
      </c>
      <c r="AG86" s="384">
        <v>0</v>
      </c>
      <c r="AH86" s="385">
        <v>0.2</v>
      </c>
      <c r="AI86" s="467">
        <f t="shared" si="27"/>
        <v>-0.25000000000000006</v>
      </c>
      <c r="AJ86" s="425">
        <v>0.2</v>
      </c>
      <c r="AK86" s="471">
        <v>0.15</v>
      </c>
      <c r="AL86" s="468">
        <f>IF(AND(PMConstrPct&gt;=AG86,PMConstrPct&lt;AH86),((PMConstrPct-AG86)*AI86),"XXX")</f>
        <v>0</v>
      </c>
      <c r="AM86" s="399">
        <f t="shared" si="28"/>
        <v>0.2</v>
      </c>
      <c r="AN86" s="402"/>
      <c r="AO86" s="33"/>
      <c r="AP86" s="395"/>
      <c r="AQ86" s="403"/>
      <c r="AR86" s="403"/>
      <c r="AS86" s="404"/>
      <c r="AT86" s="33"/>
      <c r="AU86" s="56"/>
    </row>
    <row r="87" spans="16:47">
      <c r="P87" s="402"/>
      <c r="Q87" s="33"/>
      <c r="R87" s="395"/>
      <c r="S87" s="403"/>
      <c r="T87" s="403"/>
      <c r="U87" s="404"/>
      <c r="V87" s="33"/>
      <c r="W87" s="56"/>
      <c r="X87" s="396" t="s">
        <v>390</v>
      </c>
      <c r="Y87" s="384">
        <v>0</v>
      </c>
      <c r="Z87" s="385">
        <v>0.2</v>
      </c>
      <c r="AA87" s="467">
        <f t="shared" si="25"/>
        <v>0</v>
      </c>
      <c r="AB87" s="425">
        <v>0.15</v>
      </c>
      <c r="AC87" s="471">
        <v>0.15</v>
      </c>
      <c r="AD87" s="468">
        <f>IF(AND(PMConstrPct&gt;=Y87,PMConstrPct&lt;Z87),((PMConstrPct-Y87)*AA87),"XXX")</f>
        <v>0</v>
      </c>
      <c r="AE87" s="399">
        <f t="shared" si="26"/>
        <v>0.15</v>
      </c>
      <c r="AF87" s="396" t="s">
        <v>390</v>
      </c>
      <c r="AG87" s="384">
        <v>0.2</v>
      </c>
      <c r="AH87" s="385">
        <v>0.5</v>
      </c>
      <c r="AI87" s="467">
        <f t="shared" si="27"/>
        <v>-0.33333333333333331</v>
      </c>
      <c r="AJ87" s="425">
        <v>0.15</v>
      </c>
      <c r="AK87" s="471">
        <v>0.05</v>
      </c>
      <c r="AL87" s="468" t="str">
        <f>IF(AND(PMConstrPct&gt;=AG87,PMConstrPct&lt;AH87),((PMConstrPct-AG87)*AI87),"XXX")</f>
        <v>XXX</v>
      </c>
      <c r="AM87" s="399" t="str">
        <f t="shared" si="28"/>
        <v>XXX</v>
      </c>
      <c r="AN87" s="402"/>
      <c r="AO87" s="33"/>
      <c r="AP87" s="395"/>
      <c r="AQ87" s="403"/>
      <c r="AR87" s="403"/>
      <c r="AS87" s="404"/>
      <c r="AT87" s="33"/>
      <c r="AU87" s="56"/>
    </row>
    <row r="88" spans="16:47">
      <c r="P88" s="402"/>
      <c r="Q88" s="33"/>
      <c r="R88" s="395"/>
      <c r="S88" s="403"/>
      <c r="T88" s="403"/>
      <c r="U88" s="404"/>
      <c r="V88" s="33"/>
      <c r="W88" s="56"/>
      <c r="X88" s="396" t="s">
        <v>390</v>
      </c>
      <c r="Y88" s="384">
        <v>0.2</v>
      </c>
      <c r="Z88" s="385">
        <v>0.5</v>
      </c>
      <c r="AA88" s="467">
        <f t="shared" si="25"/>
        <v>-0.16666666666666663</v>
      </c>
      <c r="AB88" s="425">
        <v>0.15</v>
      </c>
      <c r="AC88" s="471">
        <v>0.1</v>
      </c>
      <c r="AD88" s="468" t="str">
        <f>IF(AND(PMConstrPct&gt;=Y88,PMConstrPct&lt;Z88),((PMConstrPct-Y88)*AA88),"XXX")</f>
        <v>XXX</v>
      </c>
      <c r="AE88" s="399" t="str">
        <f t="shared" si="26"/>
        <v>XXX</v>
      </c>
      <c r="AF88" s="396" t="s">
        <v>390</v>
      </c>
      <c r="AG88" s="384">
        <v>0.5</v>
      </c>
      <c r="AH88" s="385">
        <v>1</v>
      </c>
      <c r="AI88" s="467">
        <f t="shared" si="27"/>
        <v>-0.1</v>
      </c>
      <c r="AJ88" s="425">
        <v>0.05</v>
      </c>
      <c r="AK88" s="471">
        <v>0</v>
      </c>
      <c r="AL88" s="468" t="str">
        <f>IF(AND(PMConstrPct&gt;=AG88,PMConstrPct&lt;AH88),((PMConstrPct-AG88)*AI88),"XXX")</f>
        <v>XXX</v>
      </c>
      <c r="AM88" s="399" t="str">
        <f t="shared" si="28"/>
        <v>XXX</v>
      </c>
      <c r="AN88" s="402"/>
      <c r="AO88" s="33"/>
      <c r="AP88" s="395"/>
      <c r="AQ88" s="403"/>
      <c r="AR88" s="403"/>
      <c r="AS88" s="404"/>
      <c r="AT88" s="33"/>
      <c r="AU88" s="56"/>
    </row>
    <row r="89" spans="16:47">
      <c r="P89" s="402"/>
      <c r="Q89" s="33"/>
      <c r="R89" s="395"/>
      <c r="S89" s="403"/>
      <c r="T89" s="403"/>
      <c r="U89" s="404"/>
      <c r="V89" s="33"/>
      <c r="W89" s="56"/>
      <c r="X89" s="396" t="s">
        <v>390</v>
      </c>
      <c r="Y89" s="384">
        <v>0.5</v>
      </c>
      <c r="Z89" s="385">
        <v>1</v>
      </c>
      <c r="AA89" s="467">
        <f t="shared" si="25"/>
        <v>-0.2</v>
      </c>
      <c r="AB89" s="425">
        <v>0.1</v>
      </c>
      <c r="AC89" s="471">
        <v>0</v>
      </c>
      <c r="AD89" s="468" t="str">
        <f>IF(AND(PMConstrPct&gt;=Y89,PMConstrPct&lt;=Z89),((PMConstrPct-Y89)*AA89),"XXX")</f>
        <v>XXX</v>
      </c>
      <c r="AE89" s="399" t="str">
        <f t="shared" si="26"/>
        <v>XXX</v>
      </c>
      <c r="AF89" s="396" t="s">
        <v>411</v>
      </c>
      <c r="AG89" s="384">
        <v>0</v>
      </c>
      <c r="AH89" s="385">
        <v>1</v>
      </c>
      <c r="AI89" s="467">
        <f t="shared" si="27"/>
        <v>-0.1</v>
      </c>
      <c r="AJ89" s="425">
        <v>0.1</v>
      </c>
      <c r="AK89" s="471">
        <v>0</v>
      </c>
      <c r="AL89" s="468">
        <f>IF(AND(PMClosePct&gt;=AG89,PMClosePct&lt;=AH89),((PMClosePct-AG89)*AI89),"XXX")</f>
        <v>0</v>
      </c>
      <c r="AM89" s="399">
        <f t="shared" si="28"/>
        <v>0.1</v>
      </c>
      <c r="AN89" s="402"/>
      <c r="AO89" s="33"/>
      <c r="AP89" s="395"/>
      <c r="AQ89" s="403"/>
      <c r="AR89" s="403"/>
      <c r="AS89" s="404"/>
      <c r="AT89" s="33"/>
      <c r="AU89" s="56"/>
    </row>
    <row r="90" spans="16:47" ht="13.5" thickBot="1">
      <c r="P90" s="402"/>
      <c r="Q90" s="33"/>
      <c r="R90" s="395"/>
      <c r="S90" s="403"/>
      <c r="T90" s="403"/>
      <c r="U90" s="404"/>
      <c r="V90" s="33"/>
      <c r="W90" s="56"/>
      <c r="X90" s="402"/>
      <c r="Y90" s="33"/>
      <c r="Z90" s="395"/>
      <c r="AA90" s="403"/>
      <c r="AB90" s="403"/>
      <c r="AC90" s="404"/>
      <c r="AD90" s="33"/>
      <c r="AE90" s="56"/>
      <c r="AF90" s="402"/>
      <c r="AG90" s="33"/>
      <c r="AH90" s="395"/>
      <c r="AI90" s="403"/>
      <c r="AJ90" s="403"/>
      <c r="AK90" s="404"/>
      <c r="AL90" s="33"/>
      <c r="AM90" s="56"/>
      <c r="AN90" s="402"/>
      <c r="AO90" s="33"/>
      <c r="AP90" s="395"/>
      <c r="AQ90" s="403"/>
      <c r="AR90" s="403"/>
      <c r="AS90" s="404"/>
      <c r="AT90" s="33"/>
      <c r="AU90" s="56"/>
    </row>
    <row r="91" spans="16:47" ht="13.5" thickBot="1">
      <c r="P91" s="422" t="s">
        <v>391</v>
      </c>
      <c r="Q91" s="395"/>
      <c r="R91" s="395"/>
      <c r="S91" s="33"/>
      <c r="T91" s="1241" t="s">
        <v>468</v>
      </c>
      <c r="U91" s="1241"/>
      <c r="V91" s="1242"/>
      <c r="W91" s="472">
        <f>SUM(W93)</f>
        <v>0.05</v>
      </c>
      <c r="X91" s="422" t="s">
        <v>391</v>
      </c>
      <c r="Y91" s="395"/>
      <c r="Z91" s="395"/>
      <c r="AA91" s="33"/>
      <c r="AB91" s="1241" t="s">
        <v>468</v>
      </c>
      <c r="AC91" s="1241"/>
      <c r="AD91" s="1242"/>
      <c r="AE91" s="472">
        <f>SUM(AE93)</f>
        <v>0.05</v>
      </c>
      <c r="AF91" s="422" t="s">
        <v>391</v>
      </c>
      <c r="AG91" s="395"/>
      <c r="AH91" s="395"/>
      <c r="AI91" s="33"/>
      <c r="AJ91" s="1241" t="s">
        <v>468</v>
      </c>
      <c r="AK91" s="1241"/>
      <c r="AL91" s="1242"/>
      <c r="AM91" s="472">
        <f>SUM(AM93)</f>
        <v>0.05</v>
      </c>
      <c r="AN91" s="422" t="s">
        <v>391</v>
      </c>
      <c r="AO91" s="395"/>
      <c r="AP91" s="395"/>
      <c r="AQ91" s="33"/>
      <c r="AR91" s="1241" t="s">
        <v>468</v>
      </c>
      <c r="AS91" s="1241"/>
      <c r="AT91" s="1242"/>
      <c r="AU91" s="472">
        <f>SUM(AU93)</f>
        <v>0.05</v>
      </c>
    </row>
    <row r="92" spans="16:47" ht="51">
      <c r="P92" s="406" t="s">
        <v>377</v>
      </c>
      <c r="Q92" s="378" t="s">
        <v>378</v>
      </c>
      <c r="R92" s="379" t="s">
        <v>379</v>
      </c>
      <c r="S92" s="466" t="s">
        <v>380</v>
      </c>
      <c r="T92" s="469" t="s">
        <v>381</v>
      </c>
      <c r="U92" s="470" t="s">
        <v>382</v>
      </c>
      <c r="V92" s="378" t="s">
        <v>383</v>
      </c>
      <c r="W92" s="448" t="s">
        <v>384</v>
      </c>
      <c r="X92" s="392" t="s">
        <v>377</v>
      </c>
      <c r="Y92" s="378" t="s">
        <v>378</v>
      </c>
      <c r="Z92" s="379" t="s">
        <v>379</v>
      </c>
      <c r="AA92" s="380" t="s">
        <v>380</v>
      </c>
      <c r="AB92" s="474" t="s">
        <v>381</v>
      </c>
      <c r="AC92" s="474" t="s">
        <v>382</v>
      </c>
      <c r="AD92" s="378" t="s">
        <v>383</v>
      </c>
      <c r="AE92" s="393" t="s">
        <v>384</v>
      </c>
      <c r="AF92" s="406" t="s">
        <v>377</v>
      </c>
      <c r="AG92" s="378" t="s">
        <v>378</v>
      </c>
      <c r="AH92" s="379" t="s">
        <v>379</v>
      </c>
      <c r="AI92" s="466" t="s">
        <v>380</v>
      </c>
      <c r="AJ92" s="469" t="s">
        <v>381</v>
      </c>
      <c r="AK92" s="470" t="s">
        <v>382</v>
      </c>
      <c r="AL92" s="378" t="s">
        <v>383</v>
      </c>
      <c r="AM92" s="448" t="s">
        <v>384</v>
      </c>
      <c r="AN92" s="406" t="s">
        <v>377</v>
      </c>
      <c r="AO92" s="378" t="s">
        <v>378</v>
      </c>
      <c r="AP92" s="379" t="s">
        <v>379</v>
      </c>
      <c r="AQ92" s="466" t="s">
        <v>380</v>
      </c>
      <c r="AR92" s="469" t="s">
        <v>381</v>
      </c>
      <c r="AS92" s="470" t="s">
        <v>382</v>
      </c>
      <c r="AT92" s="378" t="s">
        <v>383</v>
      </c>
      <c r="AU92" s="448" t="s">
        <v>384</v>
      </c>
    </row>
    <row r="93" spans="16:47" ht="13.5" thickBot="1">
      <c r="P93" s="417" t="s">
        <v>411</v>
      </c>
      <c r="Q93" s="418">
        <v>0</v>
      </c>
      <c r="R93" s="419">
        <v>1</v>
      </c>
      <c r="S93" s="482">
        <f>(U93-T93)/(R93-Q93)</f>
        <v>-0.05</v>
      </c>
      <c r="T93" s="483">
        <v>0.05</v>
      </c>
      <c r="U93" s="484">
        <v>0</v>
      </c>
      <c r="V93" s="485">
        <f>IF(AND(PMClosePct&gt;=Q93,PMClosePct&lt;=R93),((PMClosePct-Q93)*S93),"XXX")</f>
        <v>0</v>
      </c>
      <c r="W93" s="421">
        <f>IF(V93&lt;&gt;"XXX",T93+V93,"XXX")</f>
        <v>0.05</v>
      </c>
      <c r="X93" s="417" t="s">
        <v>411</v>
      </c>
      <c r="Y93" s="418">
        <v>0</v>
      </c>
      <c r="Z93" s="419">
        <v>1</v>
      </c>
      <c r="AA93" s="482">
        <f>(AC93-AB93)/(Z93-Y93)</f>
        <v>-0.05</v>
      </c>
      <c r="AB93" s="483">
        <v>0.05</v>
      </c>
      <c r="AC93" s="484">
        <v>0</v>
      </c>
      <c r="AD93" s="485">
        <f>IF(AND(PMClosePct&gt;=Y93,PMClosePct&lt;=Z93),((PMClosePct-Y93)*AA93),"XXX")</f>
        <v>0</v>
      </c>
      <c r="AE93" s="421">
        <f>IF(AD93&lt;&gt;"XXX",AB93+AD93,"XXX")</f>
        <v>0.05</v>
      </c>
      <c r="AF93" s="417" t="s">
        <v>411</v>
      </c>
      <c r="AG93" s="418">
        <v>0</v>
      </c>
      <c r="AH93" s="419">
        <v>1</v>
      </c>
      <c r="AI93" s="482">
        <f>(AK93-AJ93)/(AH93-AG93)</f>
        <v>-0.05</v>
      </c>
      <c r="AJ93" s="483">
        <v>0.05</v>
      </c>
      <c r="AK93" s="484">
        <v>0</v>
      </c>
      <c r="AL93" s="485">
        <f>IF(AND(PMClosePct&gt;=AG93,PMClosePct&lt;=AH93),((PMClosePct-AG93)*AI93),"XXX")</f>
        <v>0</v>
      </c>
      <c r="AM93" s="421">
        <f>IF(AL93&lt;&gt;"XXX",AJ93+AL93,"XXX")</f>
        <v>0.05</v>
      </c>
      <c r="AN93" s="417" t="s">
        <v>411</v>
      </c>
      <c r="AO93" s="418">
        <v>0</v>
      </c>
      <c r="AP93" s="419">
        <v>1</v>
      </c>
      <c r="AQ93" s="482">
        <f>(AS93-AR93)/(AP93-AO93)</f>
        <v>-0.05</v>
      </c>
      <c r="AR93" s="483">
        <v>0.05</v>
      </c>
      <c r="AS93" s="484">
        <v>0</v>
      </c>
      <c r="AT93" s="485">
        <f>IF(AND(PMClosePct&gt;=AO93,PMClosePct&lt;=AP93),((PMClosePct-AO93)*AQ93),"XXX")</f>
        <v>0</v>
      </c>
      <c r="AU93" s="421">
        <f>IF(AT93&lt;&gt;"XXX",AR93+AT93,"XXX")</f>
        <v>0.05</v>
      </c>
    </row>
  </sheetData>
  <sheetProtection algorithmName="SHA-512" hashValue="OX2fFLi/3LKViTKUf61DIX6gYQwAQjyJ8aYQ+nNXYFaNGH7zq9tzgvUks0jjxy1eJu6Ry1OfQvIB6vGWxprsbg==" saltValue="yufhgfMQgmWY9Su6qyGuMA==" spinCount="100000" sheet="1" scenarios="1" formatCells="0" formatColumns="0" formatRows="0"/>
  <mergeCells count="53">
    <mergeCell ref="B1:N1"/>
    <mergeCell ref="E3:N3"/>
    <mergeCell ref="B3:C3"/>
    <mergeCell ref="B5:C5"/>
    <mergeCell ref="P15:W15"/>
    <mergeCell ref="X15:AE15"/>
    <mergeCell ref="P14:AU14"/>
    <mergeCell ref="T20:V20"/>
    <mergeCell ref="AF15:AM15"/>
    <mergeCell ref="AN15:AU15"/>
    <mergeCell ref="AB16:AD16"/>
    <mergeCell ref="AJ16:AL16"/>
    <mergeCell ref="AR16:AT16"/>
    <mergeCell ref="T16:V16"/>
    <mergeCell ref="AB20:AD20"/>
    <mergeCell ref="AJ20:AL20"/>
    <mergeCell ref="AR20:AT20"/>
    <mergeCell ref="AB30:AD30"/>
    <mergeCell ref="AJ30:AL30"/>
    <mergeCell ref="AR30:AT30"/>
    <mergeCell ref="AR57:AT57"/>
    <mergeCell ref="T81:V81"/>
    <mergeCell ref="P56:W56"/>
    <mergeCell ref="X56:AE56"/>
    <mergeCell ref="AF56:AM56"/>
    <mergeCell ref="T30:V30"/>
    <mergeCell ref="T52:V52"/>
    <mergeCell ref="T71:V71"/>
    <mergeCell ref="AB71:AD71"/>
    <mergeCell ref="AJ71:AL71"/>
    <mergeCell ref="AB81:AD81"/>
    <mergeCell ref="AJ81:AL81"/>
    <mergeCell ref="T57:V57"/>
    <mergeCell ref="T40:V40"/>
    <mergeCell ref="AB40:AD40"/>
    <mergeCell ref="AJ40:AL40"/>
    <mergeCell ref="AR40:AT40"/>
    <mergeCell ref="AN56:AU56"/>
    <mergeCell ref="AR81:AT81"/>
    <mergeCell ref="AB52:AD52"/>
    <mergeCell ref="AJ52:AL52"/>
    <mergeCell ref="AR52:AT52"/>
    <mergeCell ref="T91:V91"/>
    <mergeCell ref="AB91:AD91"/>
    <mergeCell ref="AJ91:AL91"/>
    <mergeCell ref="AR91:AT91"/>
    <mergeCell ref="AR71:AT71"/>
    <mergeCell ref="AJ61:AL61"/>
    <mergeCell ref="AR61:AT61"/>
    <mergeCell ref="AB57:AD57"/>
    <mergeCell ref="AJ57:AL57"/>
    <mergeCell ref="T61:V61"/>
    <mergeCell ref="AB61:AD61"/>
  </mergeCells>
  <pageMargins left="0.7" right="0.7" top="0.75" bottom="0.75" header="0.3" footer="0.3"/>
  <pageSetup orientation="portrait" horizontalDpi="0"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F876-D5E3-6449-932E-1A32FD522BA5}">
  <sheetPr codeName="Sheet10">
    <tabColor theme="0" tint="-0.499984740745262"/>
  </sheetPr>
  <dimension ref="A1:I69"/>
  <sheetViews>
    <sheetView zoomScale="85" zoomScaleNormal="85" workbookViewId="0">
      <pane ySplit="3" topLeftCell="A4" activePane="bottomLeft" state="frozen"/>
      <selection pane="bottomLeft" sqref="A1:I1"/>
    </sheetView>
  </sheetViews>
  <sheetFormatPr defaultColWidth="10.85546875" defaultRowHeight="12.75"/>
  <cols>
    <col min="1" max="1" width="10.85546875" style="666"/>
    <col min="2" max="2" width="55.140625" style="666" bestFit="1" customWidth="1"/>
    <col min="3" max="3" width="12.85546875" style="666" customWidth="1"/>
    <col min="4" max="4" width="3.140625" style="666" customWidth="1"/>
    <col min="5" max="6" width="10.85546875" style="666"/>
    <col min="7" max="7" width="3.140625" style="666" customWidth="1"/>
    <col min="8" max="16384" width="10.85546875" style="666"/>
  </cols>
  <sheetData>
    <row r="1" spans="1:9" s="770" customFormat="1" ht="30" customHeight="1" thickBot="1">
      <c r="A1" s="1072" t="s">
        <v>528</v>
      </c>
      <c r="B1" s="1073"/>
      <c r="C1" s="1073"/>
      <c r="D1" s="1073"/>
      <c r="E1" s="1073"/>
      <c r="F1" s="1073"/>
      <c r="G1" s="1073"/>
      <c r="H1" s="1073"/>
      <c r="I1" s="1189"/>
    </row>
    <row r="2" spans="1:9" ht="53.1" customHeight="1" thickBot="1">
      <c r="A2" s="1251" t="s">
        <v>508</v>
      </c>
      <c r="B2" s="1252"/>
      <c r="C2" s="668"/>
      <c r="D2" s="668"/>
      <c r="E2" s="1255" t="s">
        <v>509</v>
      </c>
      <c r="F2" s="1256"/>
      <c r="G2" s="668"/>
      <c r="H2" s="1255" t="s">
        <v>533</v>
      </c>
      <c r="I2" s="1256"/>
    </row>
    <row r="3" spans="1:9" ht="57" customHeight="1" thickBot="1">
      <c r="A3" s="1253"/>
      <c r="B3" s="1254"/>
      <c r="C3" s="669" t="s">
        <v>514</v>
      </c>
      <c r="D3" s="670"/>
      <c r="E3" s="671" t="s">
        <v>510</v>
      </c>
      <c r="F3" s="672" t="s">
        <v>511</v>
      </c>
      <c r="G3" s="670"/>
      <c r="H3" s="673" t="s">
        <v>512</v>
      </c>
      <c r="I3" s="672" t="s">
        <v>513</v>
      </c>
    </row>
    <row r="4" spans="1:9" ht="15.75" thickBot="1">
      <c r="A4" s="674" t="s">
        <v>165</v>
      </c>
      <c r="B4" s="675"/>
      <c r="C4" s="676">
        <f>'Sponsor SCC Main'!K7</f>
        <v>0</v>
      </c>
      <c r="D4" s="677"/>
      <c r="E4" s="678"/>
      <c r="F4" s="678"/>
      <c r="G4" s="678"/>
      <c r="H4" s="678"/>
      <c r="I4" s="679"/>
    </row>
    <row r="5" spans="1:9">
      <c r="A5" s="680">
        <v>10.01</v>
      </c>
      <c r="B5" s="681" t="s">
        <v>15</v>
      </c>
      <c r="C5" s="682">
        <f>C$4</f>
        <v>0</v>
      </c>
      <c r="D5" s="683"/>
      <c r="E5" s="684"/>
      <c r="F5" s="685">
        <f>E5*C5</f>
        <v>0</v>
      </c>
      <c r="G5" s="683"/>
      <c r="H5" s="686"/>
      <c r="I5" s="685">
        <f>IF(C5&lt;&gt;0,H5/C5,H5)</f>
        <v>0</v>
      </c>
    </row>
    <row r="6" spans="1:9">
      <c r="A6" s="680">
        <v>10.02</v>
      </c>
      <c r="B6" s="681" t="s">
        <v>16</v>
      </c>
      <c r="C6" s="687">
        <f t="shared" ref="C6:C17" si="0">C$4</f>
        <v>0</v>
      </c>
      <c r="D6" s="688"/>
      <c r="E6" s="689"/>
      <c r="F6" s="685">
        <f t="shared" ref="F6:F17" si="1">E6*C6</f>
        <v>0</v>
      </c>
      <c r="G6" s="688"/>
      <c r="H6" s="690"/>
      <c r="I6" s="685">
        <f t="shared" ref="I6:I17" si="2">IF(C6&lt;&gt;0,H6/C6,H6)</f>
        <v>0</v>
      </c>
    </row>
    <row r="7" spans="1:9">
      <c r="A7" s="680">
        <v>10.029999999999999</v>
      </c>
      <c r="B7" s="681" t="s">
        <v>17</v>
      </c>
      <c r="C7" s="687">
        <f t="shared" si="0"/>
        <v>0</v>
      </c>
      <c r="D7" s="688"/>
      <c r="E7" s="689"/>
      <c r="F7" s="685">
        <f t="shared" si="1"/>
        <v>0</v>
      </c>
      <c r="G7" s="688"/>
      <c r="H7" s="690"/>
      <c r="I7" s="685">
        <f t="shared" si="2"/>
        <v>0</v>
      </c>
    </row>
    <row r="8" spans="1:9">
      <c r="A8" s="680">
        <v>10.039999999999999</v>
      </c>
      <c r="B8" s="681" t="s">
        <v>18</v>
      </c>
      <c r="C8" s="687">
        <f t="shared" si="0"/>
        <v>0</v>
      </c>
      <c r="D8" s="688"/>
      <c r="E8" s="689"/>
      <c r="F8" s="685">
        <f t="shared" si="1"/>
        <v>0</v>
      </c>
      <c r="G8" s="688"/>
      <c r="H8" s="690"/>
      <c r="I8" s="685">
        <f t="shared" si="2"/>
        <v>0</v>
      </c>
    </row>
    <row r="9" spans="1:9">
      <c r="A9" s="680">
        <v>10.050000000000001</v>
      </c>
      <c r="B9" s="681" t="s">
        <v>19</v>
      </c>
      <c r="C9" s="687">
        <f t="shared" si="0"/>
        <v>0</v>
      </c>
      <c r="D9" s="688"/>
      <c r="E9" s="689"/>
      <c r="F9" s="685">
        <f t="shared" si="1"/>
        <v>0</v>
      </c>
      <c r="G9" s="688"/>
      <c r="H9" s="690"/>
      <c r="I9" s="685">
        <f t="shared" si="2"/>
        <v>0</v>
      </c>
    </row>
    <row r="10" spans="1:9">
      <c r="A10" s="680">
        <v>10.06</v>
      </c>
      <c r="B10" s="681" t="s">
        <v>20</v>
      </c>
      <c r="C10" s="687">
        <f t="shared" si="0"/>
        <v>0</v>
      </c>
      <c r="D10" s="688"/>
      <c r="E10" s="689"/>
      <c r="F10" s="685">
        <f t="shared" si="1"/>
        <v>0</v>
      </c>
      <c r="G10" s="688"/>
      <c r="H10" s="690"/>
      <c r="I10" s="685">
        <f t="shared" si="2"/>
        <v>0</v>
      </c>
    </row>
    <row r="11" spans="1:9">
      <c r="A11" s="680">
        <v>10.07</v>
      </c>
      <c r="B11" s="681" t="s">
        <v>21</v>
      </c>
      <c r="C11" s="687">
        <f t="shared" si="0"/>
        <v>0</v>
      </c>
      <c r="D11" s="688"/>
      <c r="E11" s="689"/>
      <c r="F11" s="685">
        <f t="shared" si="1"/>
        <v>0</v>
      </c>
      <c r="G11" s="688"/>
      <c r="H11" s="690"/>
      <c r="I11" s="685">
        <f t="shared" si="2"/>
        <v>0</v>
      </c>
    </row>
    <row r="12" spans="1:9">
      <c r="A12" s="680">
        <v>10.08</v>
      </c>
      <c r="B12" s="681" t="s">
        <v>22</v>
      </c>
      <c r="C12" s="687">
        <f t="shared" si="0"/>
        <v>0</v>
      </c>
      <c r="D12" s="688"/>
      <c r="E12" s="689"/>
      <c r="F12" s="685">
        <f t="shared" si="1"/>
        <v>0</v>
      </c>
      <c r="G12" s="688"/>
      <c r="H12" s="690"/>
      <c r="I12" s="685">
        <f t="shared" si="2"/>
        <v>0</v>
      </c>
    </row>
    <row r="13" spans="1:9">
      <c r="A13" s="680">
        <v>10.09</v>
      </c>
      <c r="B13" s="681" t="s">
        <v>23</v>
      </c>
      <c r="C13" s="687">
        <f t="shared" si="0"/>
        <v>0</v>
      </c>
      <c r="D13" s="688"/>
      <c r="E13" s="691"/>
      <c r="F13" s="685">
        <f t="shared" si="1"/>
        <v>0</v>
      </c>
      <c r="G13" s="688"/>
      <c r="H13" s="690"/>
      <c r="I13" s="685">
        <f t="shared" si="2"/>
        <v>0</v>
      </c>
    </row>
    <row r="14" spans="1:9">
      <c r="A14" s="680">
        <v>10.1</v>
      </c>
      <c r="B14" s="681" t="s">
        <v>24</v>
      </c>
      <c r="C14" s="687">
        <f t="shared" si="0"/>
        <v>0</v>
      </c>
      <c r="D14" s="688"/>
      <c r="E14" s="691"/>
      <c r="F14" s="685">
        <f t="shared" si="1"/>
        <v>0</v>
      </c>
      <c r="G14" s="688"/>
      <c r="H14" s="690"/>
      <c r="I14" s="685">
        <f t="shared" si="2"/>
        <v>0</v>
      </c>
    </row>
    <row r="15" spans="1:9">
      <c r="A15" s="680">
        <v>10.11</v>
      </c>
      <c r="B15" s="681" t="s">
        <v>25</v>
      </c>
      <c r="C15" s="687">
        <f t="shared" si="0"/>
        <v>0</v>
      </c>
      <c r="D15" s="688"/>
      <c r="E15" s="691"/>
      <c r="F15" s="685">
        <f t="shared" si="1"/>
        <v>0</v>
      </c>
      <c r="G15" s="688"/>
      <c r="H15" s="690"/>
      <c r="I15" s="685">
        <f t="shared" si="2"/>
        <v>0</v>
      </c>
    </row>
    <row r="16" spans="1:9">
      <c r="A16" s="680">
        <v>10.119999999999999</v>
      </c>
      <c r="B16" s="681" t="s">
        <v>26</v>
      </c>
      <c r="C16" s="687">
        <f t="shared" si="0"/>
        <v>0</v>
      </c>
      <c r="D16" s="688"/>
      <c r="E16" s="691"/>
      <c r="F16" s="685">
        <f t="shared" si="1"/>
        <v>0</v>
      </c>
      <c r="G16" s="688"/>
      <c r="H16" s="690"/>
      <c r="I16" s="685">
        <f t="shared" si="2"/>
        <v>0</v>
      </c>
    </row>
    <row r="17" spans="1:9" ht="13.5" thickBot="1">
      <c r="A17" s="680">
        <v>10.130000000000001</v>
      </c>
      <c r="B17" s="681" t="s">
        <v>27</v>
      </c>
      <c r="C17" s="687">
        <f t="shared" si="0"/>
        <v>0</v>
      </c>
      <c r="D17" s="688"/>
      <c r="E17" s="691"/>
      <c r="F17" s="685">
        <f t="shared" si="1"/>
        <v>0</v>
      </c>
      <c r="G17" s="688"/>
      <c r="H17" s="690"/>
      <c r="I17" s="685">
        <f t="shared" si="2"/>
        <v>0</v>
      </c>
    </row>
    <row r="18" spans="1:9" ht="15.75" thickBot="1">
      <c r="A18" s="692" t="s">
        <v>167</v>
      </c>
      <c r="B18" s="693"/>
      <c r="C18" s="676">
        <f>'Sponsor SCC Main'!K21</f>
        <v>0</v>
      </c>
      <c r="D18" s="677"/>
      <c r="E18" s="678"/>
      <c r="F18" s="678"/>
      <c r="G18" s="678"/>
      <c r="H18" s="678"/>
      <c r="I18" s="679"/>
    </row>
    <row r="19" spans="1:9">
      <c r="A19" s="694">
        <v>20.010000000000002</v>
      </c>
      <c r="B19" s="695" t="s">
        <v>63</v>
      </c>
      <c r="C19" s="687">
        <f>C$18</f>
        <v>0</v>
      </c>
      <c r="D19" s="688"/>
      <c r="E19" s="696"/>
      <c r="F19" s="685">
        <f t="shared" ref="F19:F25" si="3">E19*C19</f>
        <v>0</v>
      </c>
      <c r="G19" s="688"/>
      <c r="H19" s="690"/>
      <c r="I19" s="685">
        <f t="shared" ref="I19:I25" si="4">IF(C19&lt;&gt;0,H19/C19,H19)</f>
        <v>0</v>
      </c>
    </row>
    <row r="20" spans="1:9">
      <c r="A20" s="694">
        <v>20.02</v>
      </c>
      <c r="B20" s="695" t="s">
        <v>64</v>
      </c>
      <c r="C20" s="687">
        <f t="shared" ref="C20:C25" si="5">C$18</f>
        <v>0</v>
      </c>
      <c r="D20" s="688"/>
      <c r="E20" s="696"/>
      <c r="F20" s="685">
        <f t="shared" si="3"/>
        <v>0</v>
      </c>
      <c r="G20" s="688"/>
      <c r="H20" s="690"/>
      <c r="I20" s="685">
        <f t="shared" si="4"/>
        <v>0</v>
      </c>
    </row>
    <row r="21" spans="1:9">
      <c r="A21" s="694">
        <v>20.03</v>
      </c>
      <c r="B21" s="695" t="s">
        <v>65</v>
      </c>
      <c r="C21" s="687">
        <f t="shared" si="5"/>
        <v>0</v>
      </c>
      <c r="D21" s="688"/>
      <c r="E21" s="696"/>
      <c r="F21" s="685">
        <f t="shared" si="3"/>
        <v>0</v>
      </c>
      <c r="G21" s="688"/>
      <c r="H21" s="690"/>
      <c r="I21" s="685">
        <f t="shared" si="4"/>
        <v>0</v>
      </c>
    </row>
    <row r="22" spans="1:9">
      <c r="A22" s="694">
        <v>20.04</v>
      </c>
      <c r="B22" s="695" t="s">
        <v>66</v>
      </c>
      <c r="C22" s="687">
        <f t="shared" si="5"/>
        <v>0</v>
      </c>
      <c r="D22" s="688"/>
      <c r="E22" s="696"/>
      <c r="F22" s="685">
        <f t="shared" si="3"/>
        <v>0</v>
      </c>
      <c r="G22" s="688"/>
      <c r="H22" s="690"/>
      <c r="I22" s="685">
        <f t="shared" si="4"/>
        <v>0</v>
      </c>
    </row>
    <row r="23" spans="1:9">
      <c r="A23" s="694">
        <v>20.05</v>
      </c>
      <c r="B23" s="695" t="s">
        <v>67</v>
      </c>
      <c r="C23" s="687">
        <f t="shared" si="5"/>
        <v>0</v>
      </c>
      <c r="D23" s="688"/>
      <c r="E23" s="696"/>
      <c r="F23" s="685">
        <f t="shared" si="3"/>
        <v>0</v>
      </c>
      <c r="G23" s="688"/>
      <c r="H23" s="690"/>
      <c r="I23" s="685">
        <f t="shared" si="4"/>
        <v>0</v>
      </c>
    </row>
    <row r="24" spans="1:9">
      <c r="A24" s="694">
        <v>20.059999999999999</v>
      </c>
      <c r="B24" s="695" t="s">
        <v>68</v>
      </c>
      <c r="C24" s="687">
        <f t="shared" si="5"/>
        <v>0</v>
      </c>
      <c r="D24" s="688"/>
      <c r="E24" s="696"/>
      <c r="F24" s="685">
        <f t="shared" si="3"/>
        <v>0</v>
      </c>
      <c r="G24" s="688"/>
      <c r="H24" s="690"/>
      <c r="I24" s="685">
        <f t="shared" si="4"/>
        <v>0</v>
      </c>
    </row>
    <row r="25" spans="1:9" ht="13.5" thickBot="1">
      <c r="A25" s="694">
        <v>20.07</v>
      </c>
      <c r="B25" s="695" t="s">
        <v>69</v>
      </c>
      <c r="C25" s="687">
        <f t="shared" si="5"/>
        <v>0</v>
      </c>
      <c r="D25" s="688"/>
      <c r="E25" s="696"/>
      <c r="F25" s="685">
        <f t="shared" si="3"/>
        <v>0</v>
      </c>
      <c r="G25" s="688"/>
      <c r="H25" s="690"/>
      <c r="I25" s="685">
        <f t="shared" si="4"/>
        <v>0</v>
      </c>
    </row>
    <row r="26" spans="1:9" ht="15.75" thickBot="1">
      <c r="A26" s="692" t="s">
        <v>168</v>
      </c>
      <c r="B26" s="693"/>
      <c r="C26" s="676">
        <f>'Sponsor SCC Main'!K29</f>
        <v>0</v>
      </c>
      <c r="D26" s="677"/>
      <c r="E26" s="678"/>
      <c r="F26" s="678"/>
      <c r="G26" s="678"/>
      <c r="H26" s="678"/>
      <c r="I26" s="679"/>
    </row>
    <row r="27" spans="1:9">
      <c r="A27" s="694">
        <v>30.01</v>
      </c>
      <c r="B27" s="695" t="s">
        <v>28</v>
      </c>
      <c r="C27" s="687">
        <f>C$26</f>
        <v>0</v>
      </c>
      <c r="D27" s="688"/>
      <c r="E27" s="696"/>
      <c r="F27" s="685">
        <f t="shared" ref="F27:F31" si="6">E27*C27</f>
        <v>0</v>
      </c>
      <c r="G27" s="688"/>
      <c r="H27" s="690"/>
      <c r="I27" s="685">
        <f t="shared" ref="I27:I31" si="7">IF(C27&lt;&gt;0,H27/C27,H27)</f>
        <v>0</v>
      </c>
    </row>
    <row r="28" spans="1:9">
      <c r="A28" s="694">
        <v>30.02</v>
      </c>
      <c r="B28" s="697" t="s">
        <v>29</v>
      </c>
      <c r="C28" s="687">
        <f t="shared" ref="C28:C31" si="8">C$26</f>
        <v>0</v>
      </c>
      <c r="D28" s="688"/>
      <c r="E28" s="696"/>
      <c r="F28" s="685">
        <f t="shared" si="6"/>
        <v>0</v>
      </c>
      <c r="G28" s="688"/>
      <c r="H28" s="690"/>
      <c r="I28" s="685">
        <f t="shared" si="7"/>
        <v>0</v>
      </c>
    </row>
    <row r="29" spans="1:9">
      <c r="A29" s="694">
        <v>30.03</v>
      </c>
      <c r="B29" s="697" t="s">
        <v>30</v>
      </c>
      <c r="C29" s="687">
        <f t="shared" si="8"/>
        <v>0</v>
      </c>
      <c r="D29" s="688"/>
      <c r="E29" s="696"/>
      <c r="F29" s="685">
        <f t="shared" si="6"/>
        <v>0</v>
      </c>
      <c r="G29" s="688"/>
      <c r="H29" s="690"/>
      <c r="I29" s="685">
        <f t="shared" si="7"/>
        <v>0</v>
      </c>
    </row>
    <row r="30" spans="1:9">
      <c r="A30" s="694">
        <v>30.04</v>
      </c>
      <c r="B30" s="697" t="s">
        <v>31</v>
      </c>
      <c r="C30" s="687">
        <f t="shared" si="8"/>
        <v>0</v>
      </c>
      <c r="D30" s="688"/>
      <c r="E30" s="696"/>
      <c r="F30" s="685">
        <f t="shared" si="6"/>
        <v>0</v>
      </c>
      <c r="G30" s="688"/>
      <c r="H30" s="690"/>
      <c r="I30" s="685">
        <f t="shared" si="7"/>
        <v>0</v>
      </c>
    </row>
    <row r="31" spans="1:9" ht="13.5" thickBot="1">
      <c r="A31" s="694">
        <v>30.05</v>
      </c>
      <c r="B31" s="697" t="s">
        <v>32</v>
      </c>
      <c r="C31" s="687">
        <f t="shared" si="8"/>
        <v>0</v>
      </c>
      <c r="D31" s="688"/>
      <c r="E31" s="696"/>
      <c r="F31" s="685">
        <f t="shared" si="6"/>
        <v>0</v>
      </c>
      <c r="G31" s="688"/>
      <c r="H31" s="690"/>
      <c r="I31" s="685">
        <f t="shared" si="7"/>
        <v>0</v>
      </c>
    </row>
    <row r="32" spans="1:9" ht="15.75" thickBot="1">
      <c r="A32" s="692" t="s">
        <v>169</v>
      </c>
      <c r="B32" s="698"/>
      <c r="C32" s="676">
        <f>'Sponsor SCC Main'!K35</f>
        <v>0</v>
      </c>
      <c r="D32" s="677"/>
      <c r="E32" s="678"/>
      <c r="F32" s="678"/>
      <c r="G32" s="678"/>
      <c r="H32" s="678"/>
      <c r="I32" s="679"/>
    </row>
    <row r="33" spans="1:9">
      <c r="A33" s="694">
        <v>40.01</v>
      </c>
      <c r="B33" s="695" t="s">
        <v>33</v>
      </c>
      <c r="C33" s="687">
        <f>C$32</f>
        <v>0</v>
      </c>
      <c r="D33" s="688"/>
      <c r="E33" s="699"/>
      <c r="F33" s="685">
        <f t="shared" ref="F33:F40" si="9">E33*C33</f>
        <v>0</v>
      </c>
      <c r="G33" s="688"/>
      <c r="H33" s="690"/>
      <c r="I33" s="685">
        <f t="shared" ref="I33:I40" si="10">IF(C33&lt;&gt;0,H33/C33,H33)</f>
        <v>0</v>
      </c>
    </row>
    <row r="34" spans="1:9">
      <c r="A34" s="694">
        <v>40.020000000000003</v>
      </c>
      <c r="B34" s="695" t="s">
        <v>34</v>
      </c>
      <c r="C34" s="687">
        <f t="shared" ref="C34:C40" si="11">C$32</f>
        <v>0</v>
      </c>
      <c r="D34" s="688"/>
      <c r="E34" s="699"/>
      <c r="F34" s="685">
        <f t="shared" si="9"/>
        <v>0</v>
      </c>
      <c r="G34" s="688"/>
      <c r="H34" s="690"/>
      <c r="I34" s="685">
        <f t="shared" si="10"/>
        <v>0</v>
      </c>
    </row>
    <row r="35" spans="1:9">
      <c r="A35" s="694">
        <v>40.03</v>
      </c>
      <c r="B35" s="695" t="s">
        <v>35</v>
      </c>
      <c r="C35" s="687">
        <f t="shared" si="11"/>
        <v>0</v>
      </c>
      <c r="D35" s="688"/>
      <c r="E35" s="699"/>
      <c r="F35" s="685">
        <f t="shared" si="9"/>
        <v>0</v>
      </c>
      <c r="G35" s="688"/>
      <c r="H35" s="690"/>
      <c r="I35" s="685">
        <f t="shared" si="10"/>
        <v>0</v>
      </c>
    </row>
    <row r="36" spans="1:9">
      <c r="A36" s="694">
        <v>40.04</v>
      </c>
      <c r="B36" s="695" t="s">
        <v>36</v>
      </c>
      <c r="C36" s="687">
        <f t="shared" si="11"/>
        <v>0</v>
      </c>
      <c r="D36" s="688"/>
      <c r="E36" s="699"/>
      <c r="F36" s="685">
        <f t="shared" si="9"/>
        <v>0</v>
      </c>
      <c r="G36" s="688"/>
      <c r="H36" s="690"/>
      <c r="I36" s="685">
        <f t="shared" si="10"/>
        <v>0</v>
      </c>
    </row>
    <row r="37" spans="1:9">
      <c r="A37" s="694">
        <v>40.049999999999997</v>
      </c>
      <c r="B37" s="695" t="s">
        <v>37</v>
      </c>
      <c r="C37" s="687">
        <f t="shared" si="11"/>
        <v>0</v>
      </c>
      <c r="D37" s="688"/>
      <c r="E37" s="699"/>
      <c r="F37" s="685">
        <f t="shared" si="9"/>
        <v>0</v>
      </c>
      <c r="G37" s="688"/>
      <c r="H37" s="690"/>
      <c r="I37" s="685">
        <f t="shared" si="10"/>
        <v>0</v>
      </c>
    </row>
    <row r="38" spans="1:9">
      <c r="A38" s="694">
        <v>40.06</v>
      </c>
      <c r="B38" s="700" t="s">
        <v>38</v>
      </c>
      <c r="C38" s="687">
        <f t="shared" si="11"/>
        <v>0</v>
      </c>
      <c r="D38" s="688"/>
      <c r="E38" s="699"/>
      <c r="F38" s="685">
        <f t="shared" si="9"/>
        <v>0</v>
      </c>
      <c r="G38" s="688"/>
      <c r="H38" s="690"/>
      <c r="I38" s="685">
        <f t="shared" si="10"/>
        <v>0</v>
      </c>
    </row>
    <row r="39" spans="1:9">
      <c r="A39" s="694">
        <v>40.07</v>
      </c>
      <c r="B39" s="700" t="s">
        <v>39</v>
      </c>
      <c r="C39" s="687">
        <f t="shared" si="11"/>
        <v>0</v>
      </c>
      <c r="D39" s="688"/>
      <c r="E39" s="699"/>
      <c r="F39" s="685">
        <f t="shared" si="9"/>
        <v>0</v>
      </c>
      <c r="G39" s="688"/>
      <c r="H39" s="690"/>
      <c r="I39" s="685">
        <f t="shared" si="10"/>
        <v>0</v>
      </c>
    </row>
    <row r="40" spans="1:9" ht="13.5" thickBot="1">
      <c r="A40" s="694">
        <v>40.08</v>
      </c>
      <c r="B40" s="695" t="s">
        <v>40</v>
      </c>
      <c r="C40" s="687">
        <f t="shared" si="11"/>
        <v>0</v>
      </c>
      <c r="D40" s="688"/>
      <c r="E40" s="699"/>
      <c r="F40" s="685">
        <f t="shared" si="9"/>
        <v>0</v>
      </c>
      <c r="G40" s="688"/>
      <c r="H40" s="690"/>
      <c r="I40" s="685">
        <f t="shared" si="10"/>
        <v>0</v>
      </c>
    </row>
    <row r="41" spans="1:9" ht="15.75" thickBot="1">
      <c r="A41" s="692" t="s">
        <v>170</v>
      </c>
      <c r="B41" s="693"/>
      <c r="C41" s="676">
        <f>'Sponsor SCC Main'!K44</f>
        <v>0</v>
      </c>
      <c r="D41" s="677"/>
      <c r="E41" s="678"/>
      <c r="F41" s="678"/>
      <c r="G41" s="678"/>
      <c r="H41" s="678"/>
      <c r="I41" s="679"/>
    </row>
    <row r="42" spans="1:9">
      <c r="A42" s="694">
        <v>50.01</v>
      </c>
      <c r="B42" s="695" t="s">
        <v>41</v>
      </c>
      <c r="C42" s="687">
        <f>C$41</f>
        <v>0</v>
      </c>
      <c r="D42" s="688"/>
      <c r="E42" s="691"/>
      <c r="F42" s="685">
        <f t="shared" ref="F42:F48" si="12">E42*C42</f>
        <v>0</v>
      </c>
      <c r="G42" s="688"/>
      <c r="H42" s="690"/>
      <c r="I42" s="685">
        <f t="shared" ref="I42:I48" si="13">IF(C42&lt;&gt;0,H42/C42,H42)</f>
        <v>0</v>
      </c>
    </row>
    <row r="43" spans="1:9">
      <c r="A43" s="694">
        <v>50.02</v>
      </c>
      <c r="B43" s="695" t="s">
        <v>42</v>
      </c>
      <c r="C43" s="687">
        <f t="shared" ref="C43:C48" si="14">C$41</f>
        <v>0</v>
      </c>
      <c r="D43" s="688"/>
      <c r="E43" s="699"/>
      <c r="F43" s="685">
        <f t="shared" si="12"/>
        <v>0</v>
      </c>
      <c r="G43" s="688"/>
      <c r="H43" s="690"/>
      <c r="I43" s="685">
        <f t="shared" si="13"/>
        <v>0</v>
      </c>
    </row>
    <row r="44" spans="1:9">
      <c r="A44" s="694">
        <v>50.03</v>
      </c>
      <c r="B44" s="695" t="s">
        <v>43</v>
      </c>
      <c r="C44" s="687">
        <f t="shared" si="14"/>
        <v>0</v>
      </c>
      <c r="D44" s="688"/>
      <c r="E44" s="699"/>
      <c r="F44" s="685">
        <f t="shared" si="12"/>
        <v>0</v>
      </c>
      <c r="G44" s="688"/>
      <c r="H44" s="690"/>
      <c r="I44" s="685">
        <f t="shared" si="13"/>
        <v>0</v>
      </c>
    </row>
    <row r="45" spans="1:9">
      <c r="A45" s="694">
        <v>50.04</v>
      </c>
      <c r="B45" s="695" t="s">
        <v>44</v>
      </c>
      <c r="C45" s="687">
        <f t="shared" si="14"/>
        <v>0</v>
      </c>
      <c r="D45" s="688"/>
      <c r="E45" s="699"/>
      <c r="F45" s="685">
        <f t="shared" si="12"/>
        <v>0</v>
      </c>
      <c r="G45" s="688"/>
      <c r="H45" s="690"/>
      <c r="I45" s="685">
        <f t="shared" si="13"/>
        <v>0</v>
      </c>
    </row>
    <row r="46" spans="1:9">
      <c r="A46" s="694">
        <v>50.05</v>
      </c>
      <c r="B46" s="695" t="s">
        <v>45</v>
      </c>
      <c r="C46" s="687">
        <f t="shared" si="14"/>
        <v>0</v>
      </c>
      <c r="D46" s="688"/>
      <c r="E46" s="699"/>
      <c r="F46" s="685">
        <f t="shared" si="12"/>
        <v>0</v>
      </c>
      <c r="G46" s="688"/>
      <c r="H46" s="690"/>
      <c r="I46" s="685">
        <f t="shared" si="13"/>
        <v>0</v>
      </c>
    </row>
    <row r="47" spans="1:9">
      <c r="A47" s="694">
        <v>50.06</v>
      </c>
      <c r="B47" s="695" t="s">
        <v>46</v>
      </c>
      <c r="C47" s="687">
        <f t="shared" si="14"/>
        <v>0</v>
      </c>
      <c r="D47" s="688"/>
      <c r="E47" s="699"/>
      <c r="F47" s="685">
        <f t="shared" si="12"/>
        <v>0</v>
      </c>
      <c r="G47" s="688"/>
      <c r="H47" s="690"/>
      <c r="I47" s="685">
        <f t="shared" si="13"/>
        <v>0</v>
      </c>
    </row>
    <row r="48" spans="1:9" ht="13.5" thickBot="1">
      <c r="A48" s="694">
        <v>50.07</v>
      </c>
      <c r="B48" s="695" t="s">
        <v>47</v>
      </c>
      <c r="C48" s="701">
        <f t="shared" si="14"/>
        <v>0</v>
      </c>
      <c r="D48" s="688"/>
      <c r="E48" s="702"/>
      <c r="F48" s="685">
        <f t="shared" si="12"/>
        <v>0</v>
      </c>
      <c r="G48" s="688"/>
      <c r="H48" s="703"/>
      <c r="I48" s="685">
        <f t="shared" si="13"/>
        <v>0</v>
      </c>
    </row>
    <row r="49" spans="1:9" ht="15.75" thickBot="1">
      <c r="A49" s="1257" t="s">
        <v>171</v>
      </c>
      <c r="B49" s="1258"/>
      <c r="C49" s="704"/>
      <c r="D49" s="677"/>
      <c r="E49" s="678"/>
      <c r="F49" s="678"/>
      <c r="G49" s="678"/>
      <c r="H49" s="678"/>
      <c r="I49" s="679"/>
    </row>
    <row r="50" spans="1:9" ht="16.5" thickTop="1" thickBot="1">
      <c r="A50" s="692" t="s">
        <v>172</v>
      </c>
      <c r="B50" s="698"/>
      <c r="C50" s="676">
        <f>'Sponsor SCC Main'!K53</f>
        <v>0</v>
      </c>
      <c r="D50" s="677"/>
      <c r="E50" s="678"/>
      <c r="F50" s="678"/>
      <c r="G50" s="678"/>
      <c r="H50" s="678"/>
      <c r="I50" s="679"/>
    </row>
    <row r="51" spans="1:9">
      <c r="A51" s="694">
        <v>60.01</v>
      </c>
      <c r="B51" s="695" t="s">
        <v>48</v>
      </c>
      <c r="C51" s="687">
        <f>C50</f>
        <v>0</v>
      </c>
      <c r="D51" s="688"/>
      <c r="E51" s="689"/>
      <c r="F51" s="685">
        <f t="shared" ref="F51:F52" si="15">E51*C51</f>
        <v>0</v>
      </c>
      <c r="G51" s="688"/>
      <c r="H51" s="690"/>
      <c r="I51" s="685">
        <f t="shared" ref="I51:I52" si="16">IF(C51&lt;&gt;0,H51/C51,H51)</f>
        <v>0</v>
      </c>
    </row>
    <row r="52" spans="1:9" ht="13.5" thickBot="1">
      <c r="A52" s="694">
        <v>60.02</v>
      </c>
      <c r="B52" s="695" t="s">
        <v>49</v>
      </c>
      <c r="C52" s="687">
        <f t="shared" ref="C52" si="17">C51</f>
        <v>0</v>
      </c>
      <c r="D52" s="688"/>
      <c r="E52" s="699"/>
      <c r="F52" s="685">
        <f t="shared" si="15"/>
        <v>0</v>
      </c>
      <c r="G52" s="688"/>
      <c r="H52" s="690"/>
      <c r="I52" s="685">
        <f t="shared" si="16"/>
        <v>0</v>
      </c>
    </row>
    <row r="53" spans="1:9" ht="15.75" thickBot="1">
      <c r="A53" s="705" t="s">
        <v>173</v>
      </c>
      <c r="B53" s="693"/>
      <c r="C53" s="676">
        <f>'Sponsor SCC Main'!K56</f>
        <v>0</v>
      </c>
      <c r="D53" s="677"/>
      <c r="E53" s="678"/>
      <c r="F53" s="678"/>
      <c r="G53" s="678"/>
      <c r="H53" s="678"/>
      <c r="I53" s="679"/>
    </row>
    <row r="54" spans="1:9">
      <c r="A54" s="694">
        <v>70.010000000000005</v>
      </c>
      <c r="B54" s="695" t="s">
        <v>50</v>
      </c>
      <c r="C54" s="687">
        <f>C$53</f>
        <v>0</v>
      </c>
      <c r="D54" s="688"/>
      <c r="E54" s="696"/>
      <c r="F54" s="685">
        <f t="shared" ref="F54:F60" si="18">E54*C54</f>
        <v>0</v>
      </c>
      <c r="G54" s="688"/>
      <c r="H54" s="690"/>
      <c r="I54" s="685">
        <f t="shared" ref="I54:I60" si="19">IF(C54&lt;&gt;0,H54/C54,H54)</f>
        <v>0</v>
      </c>
    </row>
    <row r="55" spans="1:9">
      <c r="A55" s="694">
        <v>70.02</v>
      </c>
      <c r="B55" s="695" t="s">
        <v>51</v>
      </c>
      <c r="C55" s="687">
        <f t="shared" ref="C55:C60" si="20">C$53</f>
        <v>0</v>
      </c>
      <c r="D55" s="688"/>
      <c r="E55" s="696"/>
      <c r="F55" s="685">
        <f t="shared" si="18"/>
        <v>0</v>
      </c>
      <c r="G55" s="688"/>
      <c r="H55" s="690"/>
      <c r="I55" s="685">
        <f t="shared" si="19"/>
        <v>0</v>
      </c>
    </row>
    <row r="56" spans="1:9">
      <c r="A56" s="694">
        <v>70.03</v>
      </c>
      <c r="B56" s="695" t="s">
        <v>52</v>
      </c>
      <c r="C56" s="687">
        <f t="shared" si="20"/>
        <v>0</v>
      </c>
      <c r="D56" s="688"/>
      <c r="E56" s="696"/>
      <c r="F56" s="685">
        <f t="shared" si="18"/>
        <v>0</v>
      </c>
      <c r="G56" s="688"/>
      <c r="H56" s="690"/>
      <c r="I56" s="685">
        <f t="shared" si="19"/>
        <v>0</v>
      </c>
    </row>
    <row r="57" spans="1:9">
      <c r="A57" s="694">
        <v>70.040000000000006</v>
      </c>
      <c r="B57" s="695" t="s">
        <v>53</v>
      </c>
      <c r="C57" s="687">
        <f t="shared" si="20"/>
        <v>0</v>
      </c>
      <c r="D57" s="688"/>
      <c r="E57" s="696"/>
      <c r="F57" s="685">
        <f t="shared" si="18"/>
        <v>0</v>
      </c>
      <c r="G57" s="688"/>
      <c r="H57" s="690"/>
      <c r="I57" s="685">
        <f t="shared" si="19"/>
        <v>0</v>
      </c>
    </row>
    <row r="58" spans="1:9">
      <c r="A58" s="694">
        <v>70.05</v>
      </c>
      <c r="B58" s="695" t="s">
        <v>54</v>
      </c>
      <c r="C58" s="687">
        <f t="shared" si="20"/>
        <v>0</v>
      </c>
      <c r="D58" s="688"/>
      <c r="E58" s="696"/>
      <c r="F58" s="685">
        <f t="shared" si="18"/>
        <v>0</v>
      </c>
      <c r="G58" s="688"/>
      <c r="H58" s="690"/>
      <c r="I58" s="685">
        <f t="shared" si="19"/>
        <v>0</v>
      </c>
    </row>
    <row r="59" spans="1:9">
      <c r="A59" s="694">
        <v>70.06</v>
      </c>
      <c r="B59" s="695" t="s">
        <v>55</v>
      </c>
      <c r="C59" s="687">
        <f t="shared" si="20"/>
        <v>0</v>
      </c>
      <c r="D59" s="688"/>
      <c r="E59" s="696"/>
      <c r="F59" s="685">
        <f t="shared" si="18"/>
        <v>0</v>
      </c>
      <c r="G59" s="688"/>
      <c r="H59" s="690"/>
      <c r="I59" s="685">
        <f t="shared" si="19"/>
        <v>0</v>
      </c>
    </row>
    <row r="60" spans="1:9" ht="13.5" thickBot="1">
      <c r="A60" s="694">
        <v>70.069999999999993</v>
      </c>
      <c r="B60" s="695" t="s">
        <v>56</v>
      </c>
      <c r="C60" s="687">
        <f t="shared" si="20"/>
        <v>0</v>
      </c>
      <c r="D60" s="688"/>
      <c r="E60" s="696"/>
      <c r="F60" s="685">
        <f t="shared" si="18"/>
        <v>0</v>
      </c>
      <c r="G60" s="688"/>
      <c r="H60" s="690"/>
      <c r="I60" s="685">
        <f t="shared" si="19"/>
        <v>0</v>
      </c>
    </row>
    <row r="61" spans="1:9" ht="15.75" thickBot="1">
      <c r="A61" s="705" t="s">
        <v>174</v>
      </c>
      <c r="B61" s="706"/>
      <c r="C61" s="676">
        <f>'Sponsor SCC Main'!K64</f>
        <v>0</v>
      </c>
      <c r="D61" s="677"/>
      <c r="E61" s="678"/>
      <c r="F61" s="678"/>
      <c r="G61" s="678"/>
      <c r="H61" s="678"/>
      <c r="I61" s="679"/>
    </row>
    <row r="62" spans="1:9">
      <c r="A62" s="707">
        <v>80.010000000000005</v>
      </c>
      <c r="B62" s="681" t="s">
        <v>143</v>
      </c>
      <c r="C62" s="687">
        <f>C$61</f>
        <v>0</v>
      </c>
      <c r="D62" s="688"/>
      <c r="E62" s="699"/>
      <c r="F62" s="685">
        <f t="shared" ref="F62:F69" si="21">E62*C62</f>
        <v>0</v>
      </c>
      <c r="G62" s="688"/>
      <c r="H62" s="690"/>
      <c r="I62" s="685">
        <f t="shared" ref="I62:I69" si="22">IF(C62&lt;&gt;0,H62/C62,H62)</f>
        <v>0</v>
      </c>
    </row>
    <row r="63" spans="1:9">
      <c r="A63" s="707">
        <v>80.02</v>
      </c>
      <c r="B63" s="681" t="s">
        <v>175</v>
      </c>
      <c r="C63" s="687">
        <f t="shared" ref="C63:C69" si="23">C$61</f>
        <v>0</v>
      </c>
      <c r="D63" s="688"/>
      <c r="E63" s="708"/>
      <c r="F63" s="685">
        <f t="shared" si="21"/>
        <v>0</v>
      </c>
      <c r="G63" s="688"/>
      <c r="H63" s="690"/>
      <c r="I63" s="685">
        <f t="shared" si="22"/>
        <v>0</v>
      </c>
    </row>
    <row r="64" spans="1:9">
      <c r="A64" s="707">
        <v>80.03</v>
      </c>
      <c r="B64" s="681" t="s">
        <v>57</v>
      </c>
      <c r="C64" s="687">
        <f t="shared" si="23"/>
        <v>0</v>
      </c>
      <c r="D64" s="688"/>
      <c r="E64" s="708"/>
      <c r="F64" s="685">
        <f t="shared" si="21"/>
        <v>0</v>
      </c>
      <c r="G64" s="688"/>
      <c r="H64" s="690"/>
      <c r="I64" s="685">
        <f t="shared" si="22"/>
        <v>0</v>
      </c>
    </row>
    <row r="65" spans="1:9">
      <c r="A65" s="707">
        <v>80.040000000000006</v>
      </c>
      <c r="B65" s="681" t="s">
        <v>58</v>
      </c>
      <c r="C65" s="687">
        <f t="shared" si="23"/>
        <v>0</v>
      </c>
      <c r="D65" s="688"/>
      <c r="E65" s="708"/>
      <c r="F65" s="685">
        <f t="shared" si="21"/>
        <v>0</v>
      </c>
      <c r="G65" s="688"/>
      <c r="H65" s="690"/>
      <c r="I65" s="685">
        <f t="shared" si="22"/>
        <v>0</v>
      </c>
    </row>
    <row r="66" spans="1:9">
      <c r="A66" s="707">
        <v>80.05</v>
      </c>
      <c r="B66" s="681" t="s">
        <v>59</v>
      </c>
      <c r="C66" s="687">
        <f t="shared" si="23"/>
        <v>0</v>
      </c>
      <c r="D66" s="688"/>
      <c r="E66" s="708"/>
      <c r="F66" s="685">
        <f t="shared" si="21"/>
        <v>0</v>
      </c>
      <c r="G66" s="688"/>
      <c r="H66" s="690"/>
      <c r="I66" s="685">
        <f t="shared" si="22"/>
        <v>0</v>
      </c>
    </row>
    <row r="67" spans="1:9">
      <c r="A67" s="707">
        <v>80.06</v>
      </c>
      <c r="B67" s="681" t="s">
        <v>60</v>
      </c>
      <c r="C67" s="687">
        <f t="shared" si="23"/>
        <v>0</v>
      </c>
      <c r="D67" s="688"/>
      <c r="E67" s="708"/>
      <c r="F67" s="685">
        <f t="shared" si="21"/>
        <v>0</v>
      </c>
      <c r="G67" s="688"/>
      <c r="H67" s="690"/>
      <c r="I67" s="685">
        <f t="shared" si="22"/>
        <v>0</v>
      </c>
    </row>
    <row r="68" spans="1:9">
      <c r="A68" s="707">
        <v>80.069999999999993</v>
      </c>
      <c r="B68" s="681" t="s">
        <v>61</v>
      </c>
      <c r="C68" s="687">
        <f t="shared" si="23"/>
        <v>0</v>
      </c>
      <c r="D68" s="688"/>
      <c r="E68" s="708"/>
      <c r="F68" s="685">
        <f t="shared" si="21"/>
        <v>0</v>
      </c>
      <c r="G68" s="688"/>
      <c r="H68" s="690"/>
      <c r="I68" s="685">
        <f t="shared" si="22"/>
        <v>0</v>
      </c>
    </row>
    <row r="69" spans="1:9" ht="13.5" thickBot="1">
      <c r="A69" s="709">
        <v>80.08</v>
      </c>
      <c r="B69" s="710" t="s">
        <v>62</v>
      </c>
      <c r="C69" s="711">
        <f t="shared" si="23"/>
        <v>0</v>
      </c>
      <c r="D69" s="712"/>
      <c r="E69" s="713"/>
      <c r="F69" s="685">
        <f t="shared" si="21"/>
        <v>0</v>
      </c>
      <c r="G69" s="712"/>
      <c r="H69" s="714"/>
      <c r="I69" s="685">
        <f t="shared" si="22"/>
        <v>0</v>
      </c>
    </row>
  </sheetData>
  <sheetProtection algorithmName="SHA-512" hashValue="KJ2OqqpEfnz4IaX5hENjh6zr8FPDB4hX0v916ufphu+fB1hfJHk7jE35mNpAbmobj2lcDqGEGI0/iRBW7S6z0A==" saltValue="YUEMG7/zhhQxPm+QX696Kw==" spinCount="100000" sheet="1" scenarios="1" formatCells="0" formatColumns="0" formatRows="0"/>
  <mergeCells count="5">
    <mergeCell ref="A1:I1"/>
    <mergeCell ref="A2:B3"/>
    <mergeCell ref="E2:F2"/>
    <mergeCell ref="H2:I2"/>
    <mergeCell ref="A49:B49"/>
  </mergeCells>
  <pageMargins left="0.7" right="0.7" top="0.75" bottom="0.75" header="0.3" footer="0.3"/>
  <pageSetup orientation="portrait" horizontalDpi="0" verticalDpi="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E1FC8-4719-E245-B6DB-CD706C793260}">
  <sheetPr codeName="Sheet4">
    <tabColor theme="0" tint="-0.499984740745262"/>
  </sheetPr>
  <dimension ref="B1:W15"/>
  <sheetViews>
    <sheetView workbookViewId="0">
      <selection activeCell="G5" sqref="G5"/>
    </sheetView>
  </sheetViews>
  <sheetFormatPr defaultColWidth="11.42578125" defaultRowHeight="12.75"/>
  <cols>
    <col min="1" max="1" width="1.85546875" customWidth="1"/>
    <col min="2" max="2" width="6.42578125" bestFit="1" customWidth="1"/>
    <col min="3" max="3" width="24.42578125" bestFit="1" customWidth="1"/>
    <col min="4" max="4" width="5.140625" bestFit="1" customWidth="1"/>
    <col min="5" max="5" width="18.42578125" bestFit="1" customWidth="1"/>
    <col min="6" max="6" width="6.42578125" bestFit="1" customWidth="1"/>
    <col min="7" max="7" width="26.42578125" bestFit="1" customWidth="1"/>
    <col min="8" max="8" width="4.140625" bestFit="1" customWidth="1"/>
    <col min="9" max="9" width="17" bestFit="1" customWidth="1"/>
    <col min="10" max="10" width="4.42578125" bestFit="1" customWidth="1"/>
    <col min="11" max="11" width="14.140625" bestFit="1" customWidth="1"/>
    <col min="12" max="12" width="5.140625" bestFit="1" customWidth="1"/>
    <col min="13" max="13" width="20.42578125" bestFit="1" customWidth="1"/>
    <col min="14" max="14" width="6.42578125" bestFit="1" customWidth="1"/>
    <col min="15" max="15" width="19.42578125" bestFit="1" customWidth="1"/>
    <col min="16" max="16" width="4.140625" bestFit="1" customWidth="1"/>
    <col min="17" max="17" width="19.42578125" bestFit="1" customWidth="1"/>
    <col min="18" max="18" width="9.85546875" bestFit="1" customWidth="1"/>
    <col min="19" max="19" width="27.5703125" customWidth="1"/>
    <col min="20" max="20" width="8.85546875" bestFit="1" customWidth="1"/>
    <col min="21" max="21" width="15.85546875" bestFit="1" customWidth="1"/>
    <col min="22" max="22" width="10" bestFit="1" customWidth="1"/>
    <col min="23" max="23" width="22.85546875" customWidth="1"/>
  </cols>
  <sheetData>
    <row r="1" spans="2:23" ht="9" customHeight="1" thickBot="1"/>
    <row r="2" spans="2:23" ht="13.5" thickBot="1">
      <c r="B2" s="1259" t="s">
        <v>330</v>
      </c>
      <c r="C2" s="1260"/>
      <c r="D2" s="1260"/>
      <c r="E2" s="1260"/>
      <c r="F2" s="1260"/>
      <c r="G2" s="1261"/>
      <c r="I2" s="1259" t="s">
        <v>345</v>
      </c>
      <c r="J2" s="1260"/>
      <c r="K2" s="1260"/>
      <c r="L2" s="1260"/>
      <c r="M2" s="1260"/>
      <c r="N2" s="1260"/>
      <c r="O2" s="1261"/>
      <c r="Q2" s="1259" t="s">
        <v>351</v>
      </c>
      <c r="R2" s="1260"/>
      <c r="S2" s="1260"/>
      <c r="T2" s="1260"/>
      <c r="U2" s="1260"/>
      <c r="V2" s="1260"/>
      <c r="W2" s="1261"/>
    </row>
    <row r="3" spans="2:23">
      <c r="B3" s="287"/>
      <c r="C3" s="497" t="s">
        <v>335</v>
      </c>
      <c r="D3" s="289"/>
      <c r="E3" s="497" t="s">
        <v>336</v>
      </c>
      <c r="F3" s="288"/>
      <c r="G3" s="498" t="s">
        <v>336</v>
      </c>
      <c r="I3" s="287"/>
      <c r="J3" s="289"/>
      <c r="K3" s="289"/>
      <c r="L3" s="289"/>
      <c r="M3" s="289"/>
      <c r="N3" s="289"/>
      <c r="O3" s="290"/>
      <c r="Q3" s="287"/>
      <c r="R3" s="289"/>
      <c r="S3" s="289"/>
      <c r="T3" s="289"/>
      <c r="U3" s="289"/>
      <c r="V3" s="289"/>
      <c r="W3" s="290"/>
    </row>
    <row r="4" spans="2:23">
      <c r="B4" s="275"/>
      <c r="C4" s="493" t="s">
        <v>364</v>
      </c>
      <c r="D4" s="62"/>
      <c r="E4" s="493" t="s">
        <v>364</v>
      </c>
      <c r="F4" s="62"/>
      <c r="G4" s="499" t="s">
        <v>364</v>
      </c>
      <c r="I4" s="275"/>
      <c r="J4" s="3"/>
      <c r="K4" s="3"/>
      <c r="L4" s="3"/>
      <c r="M4" s="62" t="s">
        <v>365</v>
      </c>
      <c r="N4" s="3"/>
      <c r="O4" s="276"/>
      <c r="Q4" s="275"/>
      <c r="R4" s="3"/>
      <c r="S4" s="3"/>
      <c r="T4" s="3"/>
      <c r="U4" s="3"/>
      <c r="V4" s="3"/>
      <c r="W4" s="276"/>
    </row>
    <row r="5" spans="2:23">
      <c r="B5" s="275"/>
      <c r="C5" s="494" t="s">
        <v>340</v>
      </c>
      <c r="D5" s="3"/>
      <c r="E5" s="494" t="s">
        <v>341</v>
      </c>
      <c r="F5" s="3"/>
      <c r="G5" s="500" t="s">
        <v>340</v>
      </c>
      <c r="H5" s="283"/>
      <c r="I5" s="295" t="s">
        <v>340</v>
      </c>
      <c r="J5" s="277"/>
      <c r="K5" s="293" t="s">
        <v>344</v>
      </c>
      <c r="L5" s="284"/>
      <c r="M5" s="293" t="s">
        <v>366</v>
      </c>
      <c r="N5" s="286"/>
      <c r="O5" s="294" t="s">
        <v>363</v>
      </c>
      <c r="Q5" s="295" t="s">
        <v>363</v>
      </c>
      <c r="R5" s="3"/>
      <c r="S5" s="293" t="s">
        <v>347</v>
      </c>
      <c r="T5" s="293"/>
      <c r="U5" s="293" t="s">
        <v>347</v>
      </c>
      <c r="V5" s="3"/>
      <c r="W5" s="294" t="s">
        <v>259</v>
      </c>
    </row>
    <row r="6" spans="2:23">
      <c r="B6" s="275"/>
      <c r="C6" s="495" t="s">
        <v>331</v>
      </c>
      <c r="D6" s="3"/>
      <c r="E6" s="496"/>
      <c r="F6" s="3"/>
      <c r="G6" s="501"/>
      <c r="H6" s="283" t="s">
        <v>343</v>
      </c>
      <c r="I6" s="278" t="s">
        <v>331</v>
      </c>
      <c r="J6" s="277" t="s">
        <v>332</v>
      </c>
      <c r="K6" s="285" t="s">
        <v>534</v>
      </c>
      <c r="L6" s="285" t="s">
        <v>338</v>
      </c>
      <c r="M6" s="285" t="s">
        <v>361</v>
      </c>
      <c r="N6" s="285" t="s">
        <v>334</v>
      </c>
      <c r="O6" s="296" t="s">
        <v>346</v>
      </c>
      <c r="P6" s="283" t="s">
        <v>343</v>
      </c>
      <c r="Q6" s="297" t="s">
        <v>346</v>
      </c>
      <c r="R6" s="285" t="s">
        <v>348</v>
      </c>
      <c r="S6" s="285" t="s">
        <v>479</v>
      </c>
      <c r="T6" s="285" t="s">
        <v>362</v>
      </c>
      <c r="U6" s="285" t="s">
        <v>480</v>
      </c>
      <c r="V6" s="277" t="s">
        <v>350</v>
      </c>
      <c r="W6" s="279" t="s">
        <v>349</v>
      </c>
    </row>
    <row r="7" spans="2:23">
      <c r="B7" s="278" t="s">
        <v>332</v>
      </c>
      <c r="C7" s="495" t="s">
        <v>358</v>
      </c>
      <c r="D7" s="3"/>
      <c r="E7" s="496"/>
      <c r="F7" s="3"/>
      <c r="G7" s="501"/>
      <c r="H7" s="283"/>
      <c r="I7" s="275"/>
      <c r="J7" s="3"/>
      <c r="K7" s="285" t="s">
        <v>353</v>
      </c>
      <c r="L7" s="3"/>
      <c r="N7" s="3"/>
      <c r="O7" s="276"/>
      <c r="Q7" s="275" t="s">
        <v>367</v>
      </c>
      <c r="R7" s="3"/>
      <c r="S7" s="277" t="s">
        <v>355</v>
      </c>
      <c r="T7" s="277"/>
      <c r="U7" s="277"/>
      <c r="V7" s="3"/>
      <c r="W7" s="276"/>
    </row>
    <row r="8" spans="2:23">
      <c r="B8" s="278" t="s">
        <v>334</v>
      </c>
      <c r="C8" s="495" t="s">
        <v>333</v>
      </c>
      <c r="D8" s="277" t="s">
        <v>338</v>
      </c>
      <c r="E8" s="495" t="s">
        <v>337</v>
      </c>
      <c r="F8" s="277" t="s">
        <v>334</v>
      </c>
      <c r="G8" s="502" t="s">
        <v>339</v>
      </c>
      <c r="H8" s="283"/>
      <c r="I8" s="275"/>
      <c r="J8" s="3"/>
      <c r="K8" s="277" t="s">
        <v>352</v>
      </c>
      <c r="L8" s="3"/>
      <c r="M8" s="3"/>
      <c r="N8" s="3"/>
      <c r="O8" s="276"/>
      <c r="Q8" s="275"/>
      <c r="R8" s="3"/>
      <c r="S8" s="285" t="s">
        <v>356</v>
      </c>
      <c r="T8" s="285"/>
      <c r="U8" s="285"/>
      <c r="V8" s="3"/>
      <c r="W8" s="276"/>
    </row>
    <row r="9" spans="2:23">
      <c r="B9" s="278" t="s">
        <v>332</v>
      </c>
      <c r="C9" s="495" t="s">
        <v>357</v>
      </c>
      <c r="D9" s="277" t="s">
        <v>338</v>
      </c>
      <c r="E9" s="495" t="s">
        <v>337</v>
      </c>
      <c r="F9" s="277" t="s">
        <v>334</v>
      </c>
      <c r="G9" s="502" t="s">
        <v>359</v>
      </c>
      <c r="I9" s="275"/>
      <c r="J9" s="3"/>
      <c r="K9" s="285" t="s">
        <v>354</v>
      </c>
      <c r="L9" s="3"/>
      <c r="M9" s="3"/>
      <c r="N9" s="3"/>
      <c r="O9" s="276"/>
      <c r="Q9" s="275"/>
      <c r="R9" s="3"/>
      <c r="S9" s="3"/>
      <c r="T9" s="3"/>
      <c r="U9" s="3"/>
      <c r="V9" s="3"/>
      <c r="W9" s="276"/>
    </row>
    <row r="10" spans="2:23" ht="13.5" thickBot="1">
      <c r="B10" s="280" t="s">
        <v>334</v>
      </c>
      <c r="C10" s="503" t="s">
        <v>342</v>
      </c>
      <c r="D10" s="281" t="s">
        <v>338</v>
      </c>
      <c r="E10" s="503" t="s">
        <v>337</v>
      </c>
      <c r="F10" s="281" t="s">
        <v>334</v>
      </c>
      <c r="G10" s="504" t="s">
        <v>360</v>
      </c>
      <c r="I10" s="291"/>
      <c r="J10" s="282"/>
      <c r="K10" s="282"/>
      <c r="L10" s="282"/>
      <c r="M10" s="282"/>
      <c r="N10" s="282"/>
      <c r="O10" s="292"/>
      <c r="Q10" s="291"/>
      <c r="R10" s="282"/>
      <c r="S10" s="282"/>
      <c r="T10" s="282"/>
      <c r="U10" s="282"/>
      <c r="V10" s="282"/>
      <c r="W10" s="292"/>
    </row>
    <row r="11" spans="2:23">
      <c r="O11" s="274"/>
    </row>
    <row r="15" spans="2:23">
      <c r="P15" s="4"/>
    </row>
  </sheetData>
  <sheetProtection algorithmName="SHA-512" hashValue="OB8Vkq85a5MKX+kK5pkasJLZyvEg8IYcVBgUq+6vj8CavtoaNdTEA7LEu5UfnOloWE4Sy4qopeDV4++4f40fpA==" saltValue="uZYlupyuriQ3eIC6nHuwzQ==" spinCount="100000" sheet="1" scenarios="1" formatCells="0" formatColumns="0" formatRows="0"/>
  <mergeCells count="3">
    <mergeCell ref="B2:G2"/>
    <mergeCell ref="I2:O2"/>
    <mergeCell ref="Q2:W2"/>
  </mergeCells>
  <pageMargins left="0.7" right="0.7" top="0.75" bottom="0.75" header="0.3" footer="0.3"/>
  <pageSetup orientation="portrait" horizontalDpi="0" verticalDpi="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1C10-D01F-48BB-9E35-B07B76D4FBF9}">
  <sheetPr codeName="Sheet35">
    <tabColor rgb="FFFFFF00"/>
  </sheetPr>
  <dimension ref="A1:C44"/>
  <sheetViews>
    <sheetView zoomScale="80" zoomScaleNormal="80" workbookViewId="0">
      <selection activeCell="B5" sqref="B5:B14"/>
    </sheetView>
  </sheetViews>
  <sheetFormatPr defaultColWidth="11.42578125" defaultRowHeight="15"/>
  <cols>
    <col min="1" max="1" width="38.5703125" style="632" customWidth="1"/>
    <col min="2" max="2" width="16.5703125" style="632" customWidth="1"/>
    <col min="3" max="3" width="95.85546875" style="632" customWidth="1"/>
    <col min="4" max="8" width="11.42578125" style="632"/>
    <col min="9" max="9" width="11.42578125" style="632" customWidth="1"/>
    <col min="10" max="16384" width="11.42578125" style="632"/>
  </cols>
  <sheetData>
    <row r="1" spans="1:3" ht="143.1" customHeight="1">
      <c r="A1" s="969" t="s">
        <v>583</v>
      </c>
    </row>
    <row r="3" spans="1:3" ht="15.75">
      <c r="A3" s="932" t="s">
        <v>559</v>
      </c>
      <c r="B3" s="964" t="s">
        <v>560</v>
      </c>
      <c r="C3" s="964" t="s">
        <v>563</v>
      </c>
    </row>
    <row r="4" spans="1:3" s="933" customFormat="1">
      <c r="A4" s="935" t="s">
        <v>558</v>
      </c>
      <c r="B4" s="965" t="s">
        <v>562</v>
      </c>
      <c r="C4" s="934" t="s">
        <v>569</v>
      </c>
    </row>
    <row r="5" spans="1:3" s="933" customFormat="1">
      <c r="A5" s="1262" t="s">
        <v>561</v>
      </c>
      <c r="B5" s="1263" t="s">
        <v>590</v>
      </c>
      <c r="C5" s="934" t="s">
        <v>579</v>
      </c>
    </row>
    <row r="6" spans="1:3" s="931" customFormat="1">
      <c r="A6" s="1262"/>
      <c r="B6" s="1263"/>
      <c r="C6" s="934" t="s">
        <v>574</v>
      </c>
    </row>
    <row r="7" spans="1:3" s="931" customFormat="1">
      <c r="A7" s="1262"/>
      <c r="B7" s="1263"/>
      <c r="C7" s="934" t="s">
        <v>580</v>
      </c>
    </row>
    <row r="8" spans="1:3">
      <c r="A8" s="1262"/>
      <c r="B8" s="1263"/>
      <c r="C8" s="934" t="s">
        <v>575</v>
      </c>
    </row>
    <row r="9" spans="1:3">
      <c r="A9" s="1262"/>
      <c r="B9" s="1263"/>
      <c r="C9" s="934" t="s">
        <v>581</v>
      </c>
    </row>
    <row r="10" spans="1:3" ht="30">
      <c r="A10" s="1262"/>
      <c r="B10" s="1263"/>
      <c r="C10" s="934" t="s">
        <v>582</v>
      </c>
    </row>
    <row r="11" spans="1:3" ht="45">
      <c r="A11" s="1262"/>
      <c r="B11" s="1263"/>
      <c r="C11" s="934" t="s">
        <v>576</v>
      </c>
    </row>
    <row r="12" spans="1:3">
      <c r="A12" s="1262"/>
      <c r="B12" s="1263"/>
      <c r="C12" s="934" t="s">
        <v>577</v>
      </c>
    </row>
    <row r="13" spans="1:3">
      <c r="A13" s="1262"/>
      <c r="B13" s="1263"/>
      <c r="C13" s="934" t="s">
        <v>578</v>
      </c>
    </row>
    <row r="14" spans="1:3">
      <c r="A14" s="1262"/>
      <c r="B14" s="1263"/>
      <c r="C14" s="934" t="s">
        <v>584</v>
      </c>
    </row>
    <row r="15" spans="1:3">
      <c r="A15" s="631"/>
      <c r="C15" s="631"/>
    </row>
    <row r="16" spans="1:3">
      <c r="A16" s="631"/>
      <c r="C16" s="631"/>
    </row>
    <row r="17" spans="1:3">
      <c r="A17" s="631"/>
      <c r="C17" s="631"/>
    </row>
    <row r="18" spans="1:3">
      <c r="A18" s="631"/>
      <c r="C18" s="631"/>
    </row>
    <row r="19" spans="1:3">
      <c r="A19" s="631"/>
      <c r="C19" s="631"/>
    </row>
    <row r="20" spans="1:3">
      <c r="A20" s="631"/>
      <c r="C20" s="631"/>
    </row>
    <row r="21" spans="1:3">
      <c r="A21" s="631"/>
      <c r="C21" s="631"/>
    </row>
    <row r="22" spans="1:3">
      <c r="A22" s="631"/>
      <c r="C22" s="631"/>
    </row>
    <row r="23" spans="1:3">
      <c r="A23" s="631"/>
      <c r="C23" s="631"/>
    </row>
    <row r="24" spans="1:3">
      <c r="A24" s="631"/>
      <c r="C24" s="631"/>
    </row>
    <row r="25" spans="1:3">
      <c r="A25" s="631"/>
      <c r="C25" s="631"/>
    </row>
    <row r="26" spans="1:3">
      <c r="A26" s="631"/>
      <c r="C26" s="631"/>
    </row>
    <row r="27" spans="1:3">
      <c r="A27" s="631"/>
      <c r="C27" s="631"/>
    </row>
    <row r="28" spans="1:3">
      <c r="A28" s="631"/>
      <c r="C28" s="631"/>
    </row>
    <row r="29" spans="1:3">
      <c r="A29" s="631"/>
      <c r="C29" s="631"/>
    </row>
    <row r="30" spans="1:3">
      <c r="A30" s="631"/>
      <c r="C30" s="631"/>
    </row>
    <row r="31" spans="1:3">
      <c r="A31" s="631"/>
      <c r="C31" s="631"/>
    </row>
    <row r="32" spans="1:3">
      <c r="A32" s="631"/>
      <c r="C32" s="631"/>
    </row>
    <row r="33" spans="1:3">
      <c r="A33" s="631"/>
      <c r="C33" s="631"/>
    </row>
    <row r="34" spans="1:3">
      <c r="A34" s="631"/>
      <c r="C34" s="631"/>
    </row>
    <row r="35" spans="1:3">
      <c r="A35" s="631"/>
      <c r="C35" s="631"/>
    </row>
    <row r="36" spans="1:3">
      <c r="A36" s="631"/>
      <c r="C36" s="631"/>
    </row>
    <row r="37" spans="1:3">
      <c r="A37" s="631"/>
      <c r="C37" s="631"/>
    </row>
    <row r="38" spans="1:3">
      <c r="A38" s="631"/>
      <c r="C38" s="631"/>
    </row>
    <row r="39" spans="1:3">
      <c r="A39" s="631"/>
      <c r="C39" s="631"/>
    </row>
    <row r="40" spans="1:3">
      <c r="A40" s="631"/>
      <c r="C40" s="631"/>
    </row>
    <row r="41" spans="1:3">
      <c r="A41" s="631"/>
      <c r="C41" s="631"/>
    </row>
    <row r="42" spans="1:3">
      <c r="A42" s="631"/>
      <c r="C42" s="631"/>
    </row>
    <row r="43" spans="1:3">
      <c r="A43" s="631"/>
      <c r="C43" s="631"/>
    </row>
    <row r="44" spans="1:3">
      <c r="A44" s="631"/>
      <c r="C44" s="631"/>
    </row>
  </sheetData>
  <sheetProtection algorithmName="SHA-512" hashValue="ESbolDIH1kBP1dAvZF+fGIOr2ju82GodTyRrcCkrj6LJsXqr8lsz+AHAtHvZv2W3lKnQU/wRPQO1fUi6/XSTLw==" saltValue="AYXUAsuXEuOrOoxUUKZWwg==" spinCount="100000" sheet="1" formatCells="0" formatColumns="0" formatRows="0"/>
  <mergeCells count="2">
    <mergeCell ref="A5:A14"/>
    <mergeCell ref="B5:B14"/>
  </mergeCells>
  <pageMargins left="0.75" right="0.75" top="1" bottom="1" header="0.5" footer="0.5"/>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6" tint="0.39997558519241921"/>
  </sheetPr>
  <dimension ref="B2:F19"/>
  <sheetViews>
    <sheetView zoomScale="112" zoomScaleNormal="112" workbookViewId="0">
      <selection activeCell="C18" sqref="C18"/>
    </sheetView>
  </sheetViews>
  <sheetFormatPr defaultColWidth="8.85546875" defaultRowHeight="12.75"/>
  <cols>
    <col min="1" max="1" width="3" style="235" customWidth="1"/>
    <col min="2" max="2" width="3.140625" style="235" customWidth="1"/>
    <col min="3" max="3" width="62.85546875" style="235" customWidth="1"/>
    <col min="4" max="4" width="3.42578125" style="235" customWidth="1"/>
    <col min="5" max="16384" width="8.85546875" style="235"/>
  </cols>
  <sheetData>
    <row r="2" spans="2:6" ht="13.5" thickBot="1">
      <c r="B2" s="243"/>
      <c r="C2" s="243"/>
      <c r="D2" s="243"/>
    </row>
    <row r="3" spans="2:6" ht="12.6" customHeight="1">
      <c r="B3" s="243"/>
      <c r="C3" s="928" t="s">
        <v>123</v>
      </c>
      <c r="D3" s="243"/>
    </row>
    <row r="4" spans="2:6">
      <c r="B4" s="243"/>
      <c r="C4" s="524" t="s">
        <v>498</v>
      </c>
      <c r="D4" s="243"/>
    </row>
    <row r="5" spans="2:6">
      <c r="B5" s="243"/>
      <c r="C5" s="244" t="s">
        <v>152</v>
      </c>
      <c r="D5" s="243"/>
    </row>
    <row r="6" spans="2:6">
      <c r="B6" s="243"/>
      <c r="C6" s="524" t="s">
        <v>499</v>
      </c>
      <c r="D6" s="243"/>
    </row>
    <row r="7" spans="2:6">
      <c r="B7" s="243"/>
      <c r="C7" s="244" t="s">
        <v>124</v>
      </c>
      <c r="D7" s="243"/>
    </row>
    <row r="8" spans="2:6">
      <c r="B8" s="243"/>
      <c r="C8" s="524" t="s">
        <v>500</v>
      </c>
      <c r="D8" s="243"/>
    </row>
    <row r="9" spans="2:6">
      <c r="B9" s="243"/>
      <c r="C9" s="244" t="s">
        <v>125</v>
      </c>
      <c r="D9" s="243"/>
    </row>
    <row r="10" spans="2:6">
      <c r="B10" s="243"/>
      <c r="C10" s="524" t="s">
        <v>501</v>
      </c>
      <c r="D10" s="243"/>
    </row>
    <row r="11" spans="2:6">
      <c r="B11" s="243"/>
      <c r="C11" s="244" t="s">
        <v>126</v>
      </c>
      <c r="D11" s="243"/>
    </row>
    <row r="12" spans="2:6">
      <c r="B12" s="243"/>
      <c r="C12" s="524" t="s">
        <v>502</v>
      </c>
      <c r="D12" s="243"/>
    </row>
    <row r="13" spans="2:6" ht="14.1" customHeight="1">
      <c r="B13" s="243"/>
      <c r="C13" s="244" t="str">
        <f>"Version "&amp;Version&amp;" Primary Workbook or Addendum #"</f>
        <v>Version 5.16b Primary Workbook or Addendum #</v>
      </c>
      <c r="D13" s="243"/>
    </row>
    <row r="14" spans="2:6">
      <c r="B14" s="243"/>
      <c r="C14" s="524" t="s">
        <v>520</v>
      </c>
      <c r="D14" s="243"/>
    </row>
    <row r="15" spans="2:6">
      <c r="B15" s="243"/>
      <c r="C15" s="244" t="s">
        <v>127</v>
      </c>
      <c r="D15" s="243"/>
    </row>
    <row r="16" spans="2:6" ht="99.95" customHeight="1">
      <c r="B16" s="243"/>
      <c r="C16" s="968" t="s">
        <v>571</v>
      </c>
      <c r="D16" s="243"/>
      <c r="F16" s="241"/>
    </row>
    <row r="17" spans="2:6" ht="99.95" customHeight="1">
      <c r="B17" s="243"/>
      <c r="C17" s="968" t="s">
        <v>572</v>
      </c>
      <c r="D17" s="243"/>
      <c r="F17" s="241"/>
    </row>
    <row r="18" spans="2:6" ht="99.95" customHeight="1">
      <c r="B18" s="243"/>
      <c r="C18" s="968" t="s">
        <v>573</v>
      </c>
      <c r="D18" s="243"/>
      <c r="E18" s="241"/>
    </row>
    <row r="19" spans="2:6">
      <c r="B19" s="655"/>
      <c r="C19" s="656"/>
      <c r="D19" s="655"/>
      <c r="E19" s="241"/>
    </row>
  </sheetData>
  <sheetProtection algorithmName="SHA-512" hashValue="MKN/aFAFlUAyZwyxuEd3bEYl0kLxYOrVtVtBoMSanyKUeQct6jBKg/T+AeoWgGyclI/d+6OaOABIOMb+Ozm+CQ==" saltValue="nDs05FJjpAj9Qqz2YZHR0w==" spinCount="100000" sheet="1" formatCells="0" formatColumns="0" formatRows="0"/>
  <pageMargins left="0.7" right="0.7" top="0.75" bottom="0.75" header="0.3" footer="0.3"/>
  <pageSetup paperSize="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8185-C6DC-0940-8DE1-C4D3B8488A2D}">
  <sheetPr codeName="Sheet7">
    <tabColor theme="9" tint="0.39997558519241921"/>
  </sheetPr>
  <dimension ref="B2:K59"/>
  <sheetViews>
    <sheetView workbookViewId="0">
      <selection activeCell="G29" sqref="G29"/>
    </sheetView>
  </sheetViews>
  <sheetFormatPr defaultColWidth="11.42578125" defaultRowHeight="12.75"/>
  <cols>
    <col min="1" max="1" width="3.85546875" style="235" customWidth="1"/>
    <col min="2" max="16384" width="11.42578125" style="235"/>
  </cols>
  <sheetData>
    <row r="2" spans="2:11">
      <c r="B2" s="242"/>
      <c r="C2" s="242"/>
      <c r="D2" s="242"/>
      <c r="E2" s="242"/>
      <c r="F2" s="242"/>
      <c r="G2" s="242"/>
      <c r="H2" s="242"/>
      <c r="I2" s="242"/>
      <c r="J2" s="242"/>
      <c r="K2" s="242"/>
    </row>
    <row r="3" spans="2:11">
      <c r="B3" s="242"/>
      <c r="C3" s="242"/>
      <c r="D3" s="242"/>
      <c r="E3" s="242"/>
      <c r="F3" s="242"/>
      <c r="G3" s="242"/>
      <c r="H3" s="242"/>
      <c r="I3" s="242"/>
      <c r="J3" s="242"/>
      <c r="K3" s="242"/>
    </row>
    <row r="4" spans="2:11">
      <c r="B4" s="242"/>
      <c r="C4" s="242"/>
      <c r="D4" s="242"/>
      <c r="E4" s="242"/>
      <c r="F4" s="242"/>
      <c r="G4" s="242"/>
      <c r="H4" s="242"/>
      <c r="I4" s="242"/>
      <c r="J4" s="242"/>
      <c r="K4" s="242"/>
    </row>
    <row r="5" spans="2:11">
      <c r="B5" s="242"/>
      <c r="C5" s="242"/>
      <c r="D5" s="242"/>
      <c r="E5" s="242"/>
      <c r="F5" s="242"/>
      <c r="G5" s="242"/>
      <c r="H5" s="242"/>
      <c r="I5" s="242"/>
      <c r="J5" s="242"/>
      <c r="K5" s="242"/>
    </row>
    <row r="6" spans="2:11">
      <c r="B6" s="242"/>
      <c r="C6" s="242"/>
      <c r="D6" s="242"/>
      <c r="E6" s="242"/>
      <c r="F6" s="242"/>
      <c r="G6" s="242"/>
      <c r="H6" s="242"/>
      <c r="I6" s="242"/>
      <c r="J6" s="242"/>
      <c r="K6" s="242"/>
    </row>
    <row r="7" spans="2:11">
      <c r="B7" s="242"/>
      <c r="C7" s="242"/>
      <c r="D7" s="242"/>
      <c r="E7" s="242"/>
      <c r="F7" s="242"/>
      <c r="G7" s="242"/>
      <c r="H7" s="242"/>
      <c r="I7" s="242"/>
      <c r="J7" s="242"/>
      <c r="K7" s="242"/>
    </row>
    <row r="8" spans="2:11">
      <c r="B8" s="242"/>
      <c r="C8" s="242"/>
      <c r="D8" s="242"/>
      <c r="E8" s="242"/>
      <c r="F8" s="242"/>
      <c r="G8" s="242"/>
      <c r="H8" s="242"/>
      <c r="I8" s="242"/>
      <c r="J8" s="242"/>
      <c r="K8" s="242"/>
    </row>
    <row r="9" spans="2:11">
      <c r="B9" s="242"/>
      <c r="C9" s="242"/>
      <c r="D9" s="242"/>
      <c r="E9" s="242"/>
      <c r="F9" s="242"/>
      <c r="G9" s="242"/>
      <c r="H9" s="242"/>
      <c r="I9" s="242"/>
      <c r="J9" s="242"/>
      <c r="K9" s="242"/>
    </row>
    <row r="10" spans="2:11">
      <c r="B10" s="242"/>
      <c r="C10" s="242"/>
      <c r="D10" s="242"/>
      <c r="E10" s="242"/>
      <c r="F10" s="242"/>
      <c r="G10" s="242"/>
      <c r="H10" s="242"/>
      <c r="I10" s="242"/>
      <c r="J10" s="242"/>
      <c r="K10" s="242"/>
    </row>
    <row r="11" spans="2:11">
      <c r="B11" s="242"/>
      <c r="C11" s="242"/>
      <c r="D11" s="242"/>
      <c r="E11" s="242"/>
      <c r="F11" s="242"/>
      <c r="G11" s="242"/>
      <c r="H11" s="242"/>
      <c r="I11" s="242"/>
      <c r="J11" s="242"/>
      <c r="K11" s="242"/>
    </row>
    <row r="12" spans="2:11">
      <c r="B12" s="242"/>
      <c r="C12" s="242"/>
      <c r="D12" s="242"/>
      <c r="E12" s="242"/>
      <c r="F12" s="242"/>
      <c r="G12" s="242"/>
      <c r="H12" s="242"/>
      <c r="I12" s="242"/>
      <c r="J12" s="242"/>
      <c r="K12" s="242"/>
    </row>
    <row r="13" spans="2:11">
      <c r="B13" s="242"/>
      <c r="C13" s="242"/>
      <c r="D13" s="242"/>
      <c r="E13" s="242"/>
      <c r="F13" s="242"/>
      <c r="G13" s="242"/>
      <c r="H13" s="242"/>
      <c r="I13" s="242"/>
      <c r="J13" s="242"/>
      <c r="K13" s="242"/>
    </row>
    <row r="14" spans="2:11">
      <c r="B14" s="242"/>
      <c r="C14" s="242"/>
      <c r="D14" s="242"/>
      <c r="E14" s="242"/>
      <c r="F14" s="242"/>
      <c r="G14" s="242"/>
      <c r="H14" s="242"/>
      <c r="I14" s="242"/>
      <c r="J14" s="242"/>
      <c r="K14" s="242"/>
    </row>
    <row r="15" spans="2:11">
      <c r="B15" s="242"/>
      <c r="C15" s="242"/>
      <c r="D15" s="242"/>
      <c r="E15" s="242"/>
      <c r="F15" s="242"/>
      <c r="G15" s="242"/>
      <c r="H15" s="242"/>
      <c r="I15" s="242"/>
      <c r="J15" s="242"/>
      <c r="K15" s="242"/>
    </row>
    <row r="16" spans="2:11">
      <c r="B16" s="242"/>
      <c r="C16" s="242"/>
      <c r="D16" s="242"/>
      <c r="E16" s="242"/>
      <c r="F16" s="242"/>
      <c r="G16" s="242"/>
      <c r="H16" s="242"/>
      <c r="I16" s="242"/>
      <c r="J16" s="242"/>
      <c r="K16" s="242"/>
    </row>
    <row r="17" spans="2:11">
      <c r="B17" s="242"/>
      <c r="C17" s="242"/>
      <c r="D17" s="242"/>
      <c r="E17" s="242"/>
      <c r="F17" s="242"/>
      <c r="G17" s="242"/>
      <c r="H17" s="242"/>
      <c r="I17" s="242"/>
      <c r="J17" s="242"/>
      <c r="K17" s="242"/>
    </row>
    <row r="18" spans="2:11">
      <c r="B18" s="242"/>
      <c r="C18" s="242"/>
      <c r="D18" s="242"/>
      <c r="E18" s="242"/>
      <c r="F18" s="242"/>
      <c r="G18" s="242"/>
      <c r="H18" s="242"/>
      <c r="I18" s="242"/>
      <c r="J18" s="242"/>
      <c r="K18" s="242"/>
    </row>
    <row r="19" spans="2:11">
      <c r="B19" s="242"/>
      <c r="C19" s="242"/>
      <c r="D19" s="242"/>
      <c r="E19" s="242"/>
      <c r="F19" s="242"/>
      <c r="G19" s="242"/>
      <c r="H19" s="242"/>
      <c r="I19" s="242"/>
      <c r="J19" s="242"/>
      <c r="K19" s="242"/>
    </row>
    <row r="20" spans="2:11">
      <c r="B20" s="242"/>
      <c r="C20" s="242"/>
      <c r="D20" s="242"/>
      <c r="E20" s="242"/>
      <c r="F20" s="242"/>
      <c r="G20" s="242"/>
      <c r="H20" s="242"/>
      <c r="I20" s="242"/>
      <c r="J20" s="242"/>
      <c r="K20" s="242"/>
    </row>
    <row r="21" spans="2:11">
      <c r="B21" s="242"/>
      <c r="C21" s="242"/>
      <c r="D21" s="242"/>
      <c r="E21" s="242"/>
      <c r="F21" s="242"/>
      <c r="G21" s="242"/>
      <c r="H21" s="242"/>
      <c r="I21" s="242"/>
      <c r="J21" s="242"/>
      <c r="K21" s="242"/>
    </row>
    <row r="22" spans="2:11">
      <c r="B22" s="242"/>
      <c r="C22" s="242"/>
      <c r="D22" s="242"/>
      <c r="E22" s="242"/>
      <c r="F22" s="242"/>
      <c r="G22" s="242"/>
      <c r="H22" s="242"/>
      <c r="I22" s="242"/>
      <c r="J22" s="242"/>
      <c r="K22" s="242"/>
    </row>
    <row r="23" spans="2:11">
      <c r="B23" s="242"/>
      <c r="C23" s="242"/>
      <c r="D23" s="242"/>
      <c r="E23" s="242"/>
      <c r="F23" s="242"/>
      <c r="G23" s="242"/>
      <c r="H23" s="242"/>
      <c r="I23" s="242"/>
      <c r="J23" s="242"/>
      <c r="K23" s="242"/>
    </row>
    <row r="24" spans="2:11">
      <c r="B24" s="242"/>
      <c r="C24" s="242"/>
      <c r="D24" s="242"/>
      <c r="E24" s="242"/>
      <c r="F24" s="242"/>
      <c r="G24" s="242"/>
      <c r="H24" s="242"/>
      <c r="I24" s="242"/>
      <c r="J24" s="242"/>
      <c r="K24" s="242"/>
    </row>
    <row r="25" spans="2:11">
      <c r="B25" s="242"/>
      <c r="C25" s="242"/>
      <c r="D25" s="242"/>
      <c r="E25" s="242"/>
      <c r="F25" s="242"/>
      <c r="G25" s="242"/>
      <c r="H25" s="242"/>
      <c r="I25" s="242"/>
      <c r="J25" s="242"/>
      <c r="K25" s="242"/>
    </row>
    <row r="26" spans="2:11">
      <c r="B26" s="242"/>
      <c r="C26" s="242"/>
      <c r="D26" s="242"/>
      <c r="E26" s="242"/>
      <c r="F26" s="242"/>
      <c r="G26" s="242"/>
      <c r="H26" s="242"/>
      <c r="I26" s="242"/>
      <c r="J26" s="242"/>
      <c r="K26" s="242"/>
    </row>
    <row r="27" spans="2:11">
      <c r="B27" s="242"/>
      <c r="C27" s="242"/>
      <c r="D27" s="242"/>
      <c r="E27" s="242"/>
      <c r="F27" s="242"/>
      <c r="G27" s="242"/>
      <c r="H27" s="242"/>
      <c r="I27" s="242"/>
      <c r="J27" s="242"/>
      <c r="K27" s="242"/>
    </row>
    <row r="28" spans="2:11">
      <c r="B28" s="242"/>
      <c r="C28" s="242"/>
      <c r="D28" s="242"/>
      <c r="E28" s="242"/>
      <c r="F28" s="242"/>
      <c r="G28" s="242"/>
      <c r="H28" s="242"/>
      <c r="I28" s="242"/>
      <c r="J28" s="242"/>
      <c r="K28" s="242"/>
    </row>
    <row r="29" spans="2:11">
      <c r="B29" s="242"/>
      <c r="C29" s="242"/>
      <c r="D29" s="242"/>
      <c r="E29" s="242"/>
      <c r="F29" s="242"/>
      <c r="G29" s="242"/>
      <c r="H29" s="242"/>
      <c r="I29" s="242"/>
      <c r="J29" s="242"/>
      <c r="K29" s="242"/>
    </row>
    <row r="30" spans="2:11">
      <c r="B30" s="242"/>
      <c r="C30" s="242"/>
      <c r="D30" s="242"/>
      <c r="E30" s="242"/>
      <c r="F30" s="242"/>
      <c r="G30" s="242"/>
      <c r="H30" s="242"/>
      <c r="I30" s="242"/>
      <c r="J30" s="242"/>
      <c r="K30" s="242"/>
    </row>
    <row r="31" spans="2:11">
      <c r="B31" s="242"/>
      <c r="C31" s="242"/>
      <c r="D31" s="242"/>
      <c r="E31" s="242"/>
      <c r="F31" s="242"/>
      <c r="G31" s="242"/>
      <c r="H31" s="242"/>
      <c r="I31" s="242"/>
      <c r="J31" s="242"/>
      <c r="K31" s="242"/>
    </row>
    <row r="32" spans="2:11">
      <c r="B32" s="242"/>
      <c r="C32" s="242"/>
      <c r="D32" s="242"/>
      <c r="E32" s="242"/>
      <c r="F32" s="242"/>
      <c r="G32" s="242"/>
      <c r="H32" s="242"/>
      <c r="I32" s="242"/>
      <c r="J32" s="242"/>
      <c r="K32" s="242"/>
    </row>
    <row r="33" spans="2:11">
      <c r="B33" s="242"/>
      <c r="C33" s="242"/>
      <c r="D33" s="242"/>
      <c r="E33" s="242"/>
      <c r="F33" s="242"/>
      <c r="G33" s="242"/>
      <c r="H33" s="242"/>
      <c r="I33" s="242"/>
      <c r="J33" s="242"/>
      <c r="K33" s="242"/>
    </row>
    <row r="34" spans="2:11">
      <c r="B34" s="242"/>
      <c r="C34" s="242"/>
      <c r="D34" s="242"/>
      <c r="E34" s="242"/>
      <c r="F34" s="242"/>
      <c r="G34" s="242"/>
      <c r="H34" s="242"/>
      <c r="I34" s="242"/>
      <c r="J34" s="242"/>
      <c r="K34" s="242"/>
    </row>
    <row r="35" spans="2:11">
      <c r="B35" s="242"/>
      <c r="C35" s="242"/>
      <c r="D35" s="242"/>
      <c r="E35" s="242"/>
      <c r="F35" s="242"/>
      <c r="G35" s="242"/>
      <c r="H35" s="242"/>
      <c r="I35" s="242"/>
      <c r="J35" s="242"/>
      <c r="K35" s="242"/>
    </row>
    <row r="36" spans="2:11">
      <c r="B36" s="242"/>
      <c r="C36" s="242"/>
      <c r="D36" s="242"/>
      <c r="E36" s="242"/>
      <c r="F36" s="242"/>
      <c r="G36" s="242"/>
      <c r="H36" s="242"/>
      <c r="I36" s="242"/>
      <c r="J36" s="242"/>
      <c r="K36" s="242"/>
    </row>
    <row r="37" spans="2:11">
      <c r="B37" s="242"/>
      <c r="C37" s="242"/>
      <c r="D37" s="242"/>
      <c r="E37" s="242"/>
      <c r="F37" s="242"/>
      <c r="G37" s="242"/>
      <c r="H37" s="242"/>
      <c r="I37" s="242"/>
      <c r="J37" s="242"/>
      <c r="K37" s="242"/>
    </row>
    <row r="38" spans="2:11">
      <c r="B38" s="242"/>
      <c r="C38" s="242"/>
      <c r="D38" s="242"/>
      <c r="E38" s="242"/>
      <c r="F38" s="242"/>
      <c r="G38" s="242"/>
      <c r="H38" s="242"/>
      <c r="I38" s="242"/>
      <c r="J38" s="242"/>
      <c r="K38" s="242"/>
    </row>
    <row r="39" spans="2:11">
      <c r="B39" s="242"/>
      <c r="C39" s="242"/>
      <c r="D39" s="242"/>
      <c r="E39" s="242"/>
      <c r="F39" s="242"/>
      <c r="G39" s="242"/>
      <c r="H39" s="242"/>
      <c r="I39" s="242"/>
      <c r="J39" s="242"/>
      <c r="K39" s="242"/>
    </row>
    <row r="40" spans="2:11">
      <c r="B40" s="242"/>
      <c r="C40" s="242"/>
      <c r="D40" s="242"/>
      <c r="E40" s="242"/>
      <c r="F40" s="242"/>
      <c r="G40" s="242"/>
      <c r="H40" s="242"/>
      <c r="I40" s="242"/>
      <c r="J40" s="242"/>
      <c r="K40" s="242"/>
    </row>
    <row r="41" spans="2:11">
      <c r="B41" s="242"/>
      <c r="C41" s="242"/>
      <c r="D41" s="242"/>
      <c r="E41" s="242"/>
      <c r="F41" s="242"/>
      <c r="G41" s="242"/>
      <c r="H41" s="242"/>
      <c r="I41" s="242"/>
      <c r="J41" s="242"/>
      <c r="K41" s="242"/>
    </row>
    <row r="42" spans="2:11">
      <c r="B42" s="242"/>
      <c r="C42" s="242"/>
      <c r="D42" s="242"/>
      <c r="E42" s="242"/>
      <c r="F42" s="242"/>
      <c r="G42" s="242"/>
      <c r="H42" s="242"/>
      <c r="I42" s="242"/>
      <c r="J42" s="242"/>
      <c r="K42" s="242"/>
    </row>
    <row r="43" spans="2:11">
      <c r="B43" s="242"/>
      <c r="C43" s="242"/>
      <c r="D43" s="242"/>
      <c r="E43" s="242"/>
      <c r="F43" s="242"/>
      <c r="G43" s="242"/>
      <c r="H43" s="242"/>
      <c r="I43" s="242"/>
      <c r="J43" s="242"/>
      <c r="K43" s="242"/>
    </row>
    <row r="44" spans="2:11">
      <c r="B44" s="242"/>
      <c r="C44" s="242"/>
      <c r="D44" s="242"/>
      <c r="E44" s="242"/>
      <c r="F44" s="242"/>
      <c r="G44" s="242"/>
      <c r="H44" s="242"/>
      <c r="I44" s="242"/>
      <c r="J44" s="242"/>
      <c r="K44" s="242"/>
    </row>
    <row r="45" spans="2:11">
      <c r="B45" s="242"/>
      <c r="C45" s="242"/>
      <c r="D45" s="242"/>
      <c r="E45" s="242"/>
      <c r="F45" s="242"/>
      <c r="G45" s="242"/>
      <c r="H45" s="242"/>
      <c r="I45" s="242"/>
      <c r="J45" s="242"/>
      <c r="K45" s="242"/>
    </row>
    <row r="46" spans="2:11">
      <c r="B46" s="242"/>
      <c r="C46" s="242"/>
      <c r="D46" s="242"/>
      <c r="E46" s="242"/>
      <c r="F46" s="242"/>
      <c r="G46" s="242"/>
      <c r="H46" s="242"/>
      <c r="I46" s="242"/>
      <c r="J46" s="242"/>
      <c r="K46" s="242"/>
    </row>
    <row r="47" spans="2:11">
      <c r="B47" s="242"/>
      <c r="C47" s="242"/>
      <c r="D47" s="242"/>
      <c r="E47" s="242"/>
      <c r="F47" s="242"/>
      <c r="G47" s="242"/>
      <c r="H47" s="242"/>
      <c r="I47" s="242"/>
      <c r="J47" s="242"/>
      <c r="K47" s="242"/>
    </row>
    <row r="48" spans="2:11">
      <c r="B48" s="242"/>
      <c r="C48" s="242"/>
      <c r="D48" s="242"/>
      <c r="E48" s="242"/>
      <c r="F48" s="242"/>
      <c r="G48" s="242"/>
      <c r="H48" s="242"/>
      <c r="I48" s="242"/>
      <c r="J48" s="242"/>
      <c r="K48" s="242"/>
    </row>
    <row r="49" spans="2:11">
      <c r="B49" s="242"/>
      <c r="C49" s="242"/>
      <c r="D49" s="242"/>
      <c r="E49" s="242"/>
      <c r="F49" s="242"/>
      <c r="G49" s="242"/>
      <c r="H49" s="242"/>
      <c r="I49" s="242"/>
      <c r="J49" s="242"/>
      <c r="K49" s="242"/>
    </row>
    <row r="50" spans="2:11">
      <c r="B50" s="242"/>
      <c r="C50" s="242"/>
      <c r="D50" s="242"/>
      <c r="E50" s="242"/>
      <c r="F50" s="242"/>
      <c r="G50" s="242"/>
      <c r="H50" s="242"/>
      <c r="I50" s="242"/>
      <c r="J50" s="242"/>
      <c r="K50" s="242"/>
    </row>
    <row r="51" spans="2:11">
      <c r="B51" s="242"/>
      <c r="C51" s="242"/>
      <c r="D51" s="242"/>
      <c r="E51" s="242"/>
      <c r="F51" s="242"/>
      <c r="G51" s="242"/>
      <c r="H51" s="242"/>
      <c r="I51" s="242"/>
      <c r="J51" s="242"/>
      <c r="K51" s="242"/>
    </row>
    <row r="52" spans="2:11">
      <c r="B52" s="242"/>
      <c r="C52" s="242"/>
      <c r="D52" s="242"/>
      <c r="E52" s="242"/>
      <c r="F52" s="242"/>
      <c r="G52" s="242"/>
      <c r="H52" s="242"/>
      <c r="I52" s="242"/>
      <c r="J52" s="242"/>
      <c r="K52" s="242"/>
    </row>
    <row r="53" spans="2:11">
      <c r="B53" s="242"/>
      <c r="C53" s="242"/>
      <c r="D53" s="242"/>
      <c r="E53" s="242"/>
      <c r="F53" s="242"/>
      <c r="G53" s="242"/>
      <c r="H53" s="242"/>
      <c r="I53" s="242"/>
      <c r="J53" s="242"/>
      <c r="K53" s="242"/>
    </row>
    <row r="54" spans="2:11">
      <c r="B54" s="242"/>
      <c r="C54" s="242"/>
      <c r="D54" s="242"/>
      <c r="E54" s="242"/>
      <c r="F54" s="242"/>
      <c r="G54" s="242"/>
      <c r="H54" s="242"/>
      <c r="I54" s="242"/>
      <c r="J54" s="242"/>
      <c r="K54" s="242"/>
    </row>
    <row r="55" spans="2:11">
      <c r="B55" s="242"/>
      <c r="C55" s="242"/>
      <c r="D55" s="242"/>
      <c r="E55" s="242"/>
      <c r="F55" s="242"/>
      <c r="G55" s="242"/>
      <c r="H55" s="242"/>
      <c r="I55" s="242"/>
      <c r="J55" s="242"/>
      <c r="K55" s="242"/>
    </row>
    <row r="56" spans="2:11">
      <c r="B56" s="242"/>
      <c r="C56" s="242"/>
      <c r="D56" s="242"/>
      <c r="E56" s="242"/>
      <c r="F56" s="242"/>
      <c r="G56" s="242"/>
      <c r="H56" s="242"/>
      <c r="I56" s="242"/>
      <c r="J56" s="242"/>
      <c r="K56" s="242"/>
    </row>
    <row r="57" spans="2:11">
      <c r="B57" s="242"/>
      <c r="C57" s="242"/>
      <c r="D57" s="242"/>
      <c r="E57" s="242"/>
      <c r="F57" s="242"/>
      <c r="G57" s="242"/>
      <c r="H57" s="242"/>
      <c r="I57" s="242"/>
      <c r="J57" s="242"/>
      <c r="K57" s="242"/>
    </row>
    <row r="58" spans="2:11">
      <c r="B58" s="242"/>
      <c r="C58" s="242"/>
      <c r="D58" s="242"/>
      <c r="E58" s="242"/>
      <c r="F58" s="242"/>
      <c r="G58" s="242"/>
      <c r="H58" s="242"/>
      <c r="I58" s="242"/>
      <c r="J58" s="242"/>
      <c r="K58" s="242"/>
    </row>
    <row r="59" spans="2:11">
      <c r="B59" s="242"/>
      <c r="C59" s="242"/>
      <c r="D59" s="242"/>
      <c r="E59" s="242"/>
      <c r="F59" s="242"/>
      <c r="G59" s="242"/>
      <c r="H59" s="242"/>
      <c r="I59" s="242"/>
      <c r="J59" s="242"/>
      <c r="K59" s="242"/>
    </row>
  </sheetData>
  <sheetProtection algorithmName="SHA-512" hashValue="elqnrvf3wEJ5gyAUiwkd4kAd9dTLPm86Oi6PFD8sunzY9TSxqbT9X0RcG7vrhKczwRwQn2k1WPUoapZFNjg16w==" saltValue="ngqDPUmGHVbMM+HVX7hKMA==" spinCount="100000" sheet="1" formatCells="0" formatColumns="0" formatRows="0"/>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7042-8417-9F42-9111-3963943FFE95}">
  <sheetPr codeName="Sheet8">
    <tabColor theme="9" tint="0.39997558519241921"/>
  </sheetPr>
  <dimension ref="A1:M84"/>
  <sheetViews>
    <sheetView zoomScale="85" zoomScaleNormal="85" workbookViewId="0">
      <pane xSplit="2" ySplit="6" topLeftCell="C7" activePane="bottomRight" state="frozen"/>
      <selection pane="topRight" activeCell="C1" sqref="C1"/>
      <selection pane="bottomLeft" activeCell="A7" sqref="A7"/>
      <selection pane="bottomRight" activeCell="A3" sqref="A3"/>
    </sheetView>
  </sheetViews>
  <sheetFormatPr defaultColWidth="11.42578125" defaultRowHeight="12.75"/>
  <cols>
    <col min="1" max="1" width="9.42578125" style="235" bestFit="1" customWidth="1"/>
    <col min="2" max="2" width="58.85546875" style="235" customWidth="1"/>
    <col min="3" max="11" width="10.85546875" style="235" customWidth="1"/>
    <col min="12" max="16384" width="11.42578125" style="235"/>
  </cols>
  <sheetData>
    <row r="1" spans="1:13" s="234" customFormat="1" ht="36" customHeight="1" thickBot="1">
      <c r="A1" s="1019" t="s">
        <v>546</v>
      </c>
      <c r="B1" s="1020"/>
      <c r="C1" s="1020"/>
      <c r="D1" s="1020"/>
      <c r="E1" s="1020"/>
      <c r="F1" s="1020"/>
      <c r="G1" s="1020"/>
      <c r="H1" s="1020"/>
      <c r="I1" s="1020"/>
      <c r="J1" s="1020"/>
      <c r="K1" s="1021"/>
    </row>
    <row r="2" spans="1:13" ht="25.5" thickBot="1">
      <c r="A2" s="8" t="s">
        <v>154</v>
      </c>
      <c r="B2" s="9"/>
      <c r="C2" s="10"/>
      <c r="D2" s="10"/>
      <c r="E2" s="11"/>
      <c r="F2" s="11"/>
      <c r="G2" s="11"/>
      <c r="H2" s="10"/>
      <c r="I2" s="12"/>
      <c r="J2" s="128"/>
      <c r="K2" s="13"/>
    </row>
    <row r="3" spans="1:13" ht="15">
      <c r="A3" s="648" t="s">
        <v>477</v>
      </c>
      <c r="B3" s="649"/>
      <c r="C3" s="239"/>
      <c r="D3" s="239"/>
      <c r="E3" s="239"/>
      <c r="F3" s="239"/>
      <c r="G3" s="239"/>
      <c r="H3" s="1028" t="s">
        <v>214</v>
      </c>
      <c r="I3" s="1029"/>
      <c r="J3" s="616" t="s">
        <v>504</v>
      </c>
      <c r="K3" s="236"/>
    </row>
    <row r="4" spans="1:13" ht="15">
      <c r="A4" s="650" t="s">
        <v>498</v>
      </c>
      <c r="B4" s="651"/>
      <c r="C4" s="239"/>
      <c r="D4" s="239"/>
      <c r="E4" s="239"/>
      <c r="F4" s="239"/>
      <c r="G4" s="239"/>
      <c r="H4" s="1030" t="s">
        <v>155</v>
      </c>
      <c r="I4" s="1031"/>
      <c r="J4" s="617" t="s">
        <v>505</v>
      </c>
      <c r="K4" s="237"/>
    </row>
    <row r="5" spans="1:13" ht="15.75" thickBot="1">
      <c r="A5" s="652" t="s">
        <v>503</v>
      </c>
      <c r="B5" s="653"/>
      <c r="C5" s="240"/>
      <c r="D5" s="240"/>
      <c r="E5" s="240"/>
      <c r="F5" s="240"/>
      <c r="G5" s="240"/>
      <c r="H5" s="1032" t="s">
        <v>156</v>
      </c>
      <c r="I5" s="1033"/>
      <c r="J5" s="618" t="s">
        <v>505</v>
      </c>
      <c r="K5" s="238"/>
    </row>
    <row r="6" spans="1:13" ht="77.25" thickBot="1">
      <c r="A6" s="1026"/>
      <c r="B6" s="1027"/>
      <c r="C6" s="113" t="s">
        <v>157</v>
      </c>
      <c r="D6" s="114" t="s">
        <v>158</v>
      </c>
      <c r="E6" s="114" t="s">
        <v>159</v>
      </c>
      <c r="F6" s="114" t="s">
        <v>160</v>
      </c>
      <c r="G6" s="114" t="s">
        <v>161</v>
      </c>
      <c r="H6" s="115" t="s">
        <v>162</v>
      </c>
      <c r="I6" s="115" t="s">
        <v>163</v>
      </c>
      <c r="J6" s="114" t="s">
        <v>164</v>
      </c>
      <c r="K6" s="744" t="s">
        <v>191</v>
      </c>
      <c r="L6" s="740" t="s">
        <v>517</v>
      </c>
      <c r="M6" s="741" t="s">
        <v>518</v>
      </c>
    </row>
    <row r="7" spans="1:13" ht="15.75" thickBot="1">
      <c r="A7" s="116" t="s">
        <v>165</v>
      </c>
      <c r="B7" s="117"/>
      <c r="C7" s="970">
        <f>SUM(C8:C15)</f>
        <v>0</v>
      </c>
      <c r="D7" s="971">
        <f>SUM(D8:D20)</f>
        <v>0</v>
      </c>
      <c r="E7" s="971">
        <f>SUM(E8:E20)</f>
        <v>0</v>
      </c>
      <c r="F7" s="972">
        <f>SUM(F8:F20)</f>
        <v>0</v>
      </c>
      <c r="G7" s="973" t="str">
        <f t="shared" ref="G7:G70" si="0">IF(C7&gt;0,F7/C7,"")</f>
        <v/>
      </c>
      <c r="H7" s="974" t="e">
        <f>SUM(F7/$F$52)</f>
        <v>#DIV/0!</v>
      </c>
      <c r="I7" s="975" t="e">
        <f>SUM(F7/$F$77)</f>
        <v>#DIV/0!</v>
      </c>
      <c r="J7" s="972">
        <v>0</v>
      </c>
      <c r="K7" s="966">
        <f>IFERROR(SUM(J7/F7),0)</f>
        <v>0</v>
      </c>
      <c r="L7" s="534">
        <f>IF(ISERR(K7),0,E7*K7)</f>
        <v>0</v>
      </c>
      <c r="M7" s="534">
        <f>J7-L7</f>
        <v>0</v>
      </c>
    </row>
    <row r="8" spans="1:13" ht="14.25">
      <c r="A8" s="16">
        <v>10.01</v>
      </c>
      <c r="B8" s="118" t="s">
        <v>15</v>
      </c>
      <c r="C8" s="976"/>
      <c r="D8" s="977"/>
      <c r="E8" s="977"/>
      <c r="F8" s="977">
        <f>SUM(D8:E8)</f>
        <v>0</v>
      </c>
      <c r="G8" s="978" t="str">
        <f t="shared" si="0"/>
        <v/>
      </c>
      <c r="H8" s="979"/>
      <c r="I8" s="980"/>
      <c r="J8" s="971">
        <v>0</v>
      </c>
      <c r="K8" s="1013"/>
      <c r="L8" s="745"/>
      <c r="M8" s="746"/>
    </row>
    <row r="9" spans="1:13" ht="14.25">
      <c r="A9" s="16">
        <v>10.02</v>
      </c>
      <c r="B9" s="118" t="s">
        <v>16</v>
      </c>
      <c r="C9" s="976"/>
      <c r="D9" s="977"/>
      <c r="E9" s="977"/>
      <c r="F9" s="977">
        <f t="shared" ref="F9:F22" si="1">SUM(D9:E9)</f>
        <v>0</v>
      </c>
      <c r="G9" s="978" t="str">
        <f t="shared" si="0"/>
        <v/>
      </c>
      <c r="H9" s="979"/>
      <c r="I9" s="980"/>
      <c r="J9" s="971">
        <v>0</v>
      </c>
      <c r="K9" s="1014"/>
      <c r="L9" s="745"/>
      <c r="M9" s="746"/>
    </row>
    <row r="10" spans="1:13" ht="14.25">
      <c r="A10" s="16">
        <v>10.029999999999999</v>
      </c>
      <c r="B10" s="118" t="s">
        <v>17</v>
      </c>
      <c r="C10" s="976"/>
      <c r="D10" s="977"/>
      <c r="E10" s="977"/>
      <c r="F10" s="977">
        <f t="shared" si="1"/>
        <v>0</v>
      </c>
      <c r="G10" s="978" t="str">
        <f t="shared" si="0"/>
        <v/>
      </c>
      <c r="H10" s="979"/>
      <c r="I10" s="980"/>
      <c r="J10" s="971">
        <v>0</v>
      </c>
      <c r="K10" s="1014"/>
      <c r="L10" s="745"/>
      <c r="M10" s="746"/>
    </row>
    <row r="11" spans="1:13" ht="14.25">
      <c r="A11" s="16">
        <v>10.039999999999999</v>
      </c>
      <c r="B11" s="118" t="s">
        <v>18</v>
      </c>
      <c r="C11" s="976"/>
      <c r="D11" s="977"/>
      <c r="E11" s="977"/>
      <c r="F11" s="977">
        <f t="shared" si="1"/>
        <v>0</v>
      </c>
      <c r="G11" s="978" t="str">
        <f t="shared" si="0"/>
        <v/>
      </c>
      <c r="H11" s="979"/>
      <c r="I11" s="980"/>
      <c r="J11" s="971">
        <v>0</v>
      </c>
      <c r="K11" s="1014"/>
      <c r="L11" s="745"/>
      <c r="M11" s="746"/>
    </row>
    <row r="12" spans="1:13" ht="14.25">
      <c r="A12" s="16">
        <v>10.050000000000001</v>
      </c>
      <c r="B12" s="118" t="s">
        <v>19</v>
      </c>
      <c r="C12" s="976"/>
      <c r="D12" s="977"/>
      <c r="E12" s="977"/>
      <c r="F12" s="977">
        <f t="shared" si="1"/>
        <v>0</v>
      </c>
      <c r="G12" s="978" t="str">
        <f t="shared" si="0"/>
        <v/>
      </c>
      <c r="H12" s="979"/>
      <c r="I12" s="980"/>
      <c r="J12" s="971">
        <v>0</v>
      </c>
      <c r="K12" s="1014"/>
      <c r="L12" s="745"/>
      <c r="M12" s="746"/>
    </row>
    <row r="13" spans="1:13" ht="14.25">
      <c r="A13" s="16">
        <v>10.06</v>
      </c>
      <c r="B13" s="118" t="s">
        <v>20</v>
      </c>
      <c r="C13" s="976"/>
      <c r="D13" s="977"/>
      <c r="E13" s="977"/>
      <c r="F13" s="977">
        <f t="shared" si="1"/>
        <v>0</v>
      </c>
      <c r="G13" s="978" t="str">
        <f t="shared" si="0"/>
        <v/>
      </c>
      <c r="H13" s="979"/>
      <c r="I13" s="980"/>
      <c r="J13" s="971">
        <v>0</v>
      </c>
      <c r="K13" s="1014"/>
      <c r="L13" s="745"/>
      <c r="M13" s="746"/>
    </row>
    <row r="14" spans="1:13" ht="14.25">
      <c r="A14" s="16">
        <v>10.07</v>
      </c>
      <c r="B14" s="118" t="s">
        <v>21</v>
      </c>
      <c r="C14" s="976"/>
      <c r="D14" s="977"/>
      <c r="E14" s="977"/>
      <c r="F14" s="977">
        <f t="shared" si="1"/>
        <v>0</v>
      </c>
      <c r="G14" s="978" t="str">
        <f t="shared" si="0"/>
        <v/>
      </c>
      <c r="H14" s="979"/>
      <c r="I14" s="980"/>
      <c r="J14" s="971">
        <v>0</v>
      </c>
      <c r="K14" s="1014"/>
      <c r="L14" s="745"/>
      <c r="M14" s="746"/>
    </row>
    <row r="15" spans="1:13" ht="14.25">
      <c r="A15" s="16">
        <v>10.08</v>
      </c>
      <c r="B15" s="118" t="s">
        <v>22</v>
      </c>
      <c r="C15" s="976"/>
      <c r="D15" s="977"/>
      <c r="E15" s="977"/>
      <c r="F15" s="977">
        <f t="shared" si="1"/>
        <v>0</v>
      </c>
      <c r="G15" s="978" t="str">
        <f t="shared" si="0"/>
        <v/>
      </c>
      <c r="H15" s="979"/>
      <c r="I15" s="980"/>
      <c r="J15" s="971">
        <v>0</v>
      </c>
      <c r="K15" s="1014"/>
      <c r="L15" s="745"/>
      <c r="M15" s="746"/>
    </row>
    <row r="16" spans="1:13" ht="14.25">
      <c r="A16" s="16">
        <v>10.09</v>
      </c>
      <c r="B16" s="118" t="s">
        <v>23</v>
      </c>
      <c r="C16" s="981"/>
      <c r="D16" s="977"/>
      <c r="E16" s="977"/>
      <c r="F16" s="977">
        <f t="shared" si="1"/>
        <v>0</v>
      </c>
      <c r="G16" s="978" t="str">
        <f t="shared" si="0"/>
        <v/>
      </c>
      <c r="H16" s="979"/>
      <c r="I16" s="980"/>
      <c r="J16" s="971">
        <v>0</v>
      </c>
      <c r="K16" s="1014"/>
      <c r="L16" s="745"/>
      <c r="M16" s="746"/>
    </row>
    <row r="17" spans="1:13" ht="14.25">
      <c r="A17" s="16">
        <v>10.1</v>
      </c>
      <c r="B17" s="118" t="s">
        <v>24</v>
      </c>
      <c r="C17" s="981"/>
      <c r="D17" s="977"/>
      <c r="E17" s="977"/>
      <c r="F17" s="977">
        <f t="shared" si="1"/>
        <v>0</v>
      </c>
      <c r="G17" s="978" t="str">
        <f t="shared" si="0"/>
        <v/>
      </c>
      <c r="H17" s="979"/>
      <c r="I17" s="980"/>
      <c r="J17" s="971">
        <v>0</v>
      </c>
      <c r="K17" s="1014"/>
      <c r="L17" s="745"/>
      <c r="M17" s="746"/>
    </row>
    <row r="18" spans="1:13" ht="14.25">
      <c r="A18" s="16">
        <v>10.11</v>
      </c>
      <c r="B18" s="118" t="s">
        <v>25</v>
      </c>
      <c r="C18" s="981"/>
      <c r="D18" s="977"/>
      <c r="E18" s="977"/>
      <c r="F18" s="977">
        <f t="shared" si="1"/>
        <v>0</v>
      </c>
      <c r="G18" s="978" t="str">
        <f t="shared" si="0"/>
        <v/>
      </c>
      <c r="H18" s="979"/>
      <c r="I18" s="980"/>
      <c r="J18" s="971">
        <v>0</v>
      </c>
      <c r="K18" s="1014"/>
      <c r="L18" s="745"/>
      <c r="M18" s="746"/>
    </row>
    <row r="19" spans="1:13" ht="14.25">
      <c r="A19" s="16">
        <v>10.119999999999999</v>
      </c>
      <c r="B19" s="118" t="s">
        <v>26</v>
      </c>
      <c r="C19" s="981"/>
      <c r="D19" s="977"/>
      <c r="E19" s="977"/>
      <c r="F19" s="977">
        <f t="shared" si="1"/>
        <v>0</v>
      </c>
      <c r="G19" s="978" t="str">
        <f t="shared" si="0"/>
        <v/>
      </c>
      <c r="H19" s="979"/>
      <c r="I19" s="980"/>
      <c r="J19" s="971">
        <v>0</v>
      </c>
      <c r="K19" s="1014"/>
      <c r="L19" s="745"/>
      <c r="M19" s="746"/>
    </row>
    <row r="20" spans="1:13" ht="15" thickBot="1">
      <c r="A20" s="16">
        <v>10.130000000000001</v>
      </c>
      <c r="B20" s="118" t="s">
        <v>27</v>
      </c>
      <c r="C20" s="981"/>
      <c r="D20" s="977"/>
      <c r="E20" s="977"/>
      <c r="F20" s="977">
        <f t="shared" si="1"/>
        <v>0</v>
      </c>
      <c r="G20" s="982" t="str">
        <f t="shared" si="0"/>
        <v/>
      </c>
      <c r="H20" s="979"/>
      <c r="I20" s="980"/>
      <c r="J20" s="971">
        <v>0</v>
      </c>
      <c r="K20" s="1014"/>
      <c r="L20" s="745"/>
      <c r="M20" s="746"/>
    </row>
    <row r="21" spans="1:13" ht="15.75" thickBot="1">
      <c r="A21" s="14" t="s">
        <v>167</v>
      </c>
      <c r="B21" s="119"/>
      <c r="C21" s="983">
        <f>SUM(C22:C28)</f>
        <v>0</v>
      </c>
      <c r="D21" s="971">
        <f>SUM(D22:D28)</f>
        <v>0</v>
      </c>
      <c r="E21" s="971">
        <f>SUM(E22:E28)</f>
        <v>0</v>
      </c>
      <c r="F21" s="984">
        <f t="shared" si="1"/>
        <v>0</v>
      </c>
      <c r="G21" s="985" t="str">
        <f t="shared" si="0"/>
        <v/>
      </c>
      <c r="H21" s="974" t="e">
        <f>SUM(F21/$F$52)</f>
        <v>#DIV/0!</v>
      </c>
      <c r="I21" s="975" t="e">
        <f>SUM(F21/$F$77)</f>
        <v>#DIV/0!</v>
      </c>
      <c r="J21" s="972">
        <v>0</v>
      </c>
      <c r="K21" s="966">
        <f>IFERROR(SUM(J21/F21),0)</f>
        <v>0</v>
      </c>
      <c r="L21" s="534">
        <f>IF(ISERR(K21),0,E21*K21)</f>
        <v>0</v>
      </c>
      <c r="M21" s="534">
        <f>J21-L21</f>
        <v>0</v>
      </c>
    </row>
    <row r="22" spans="1:13" ht="14.25">
      <c r="A22" s="18">
        <v>20.010000000000002</v>
      </c>
      <c r="B22" s="120" t="s">
        <v>63</v>
      </c>
      <c r="C22" s="986"/>
      <c r="D22" s="977"/>
      <c r="E22" s="977"/>
      <c r="F22" s="977">
        <f t="shared" si="1"/>
        <v>0</v>
      </c>
      <c r="G22" s="982" t="str">
        <f t="shared" si="0"/>
        <v/>
      </c>
      <c r="H22" s="979"/>
      <c r="I22" s="980"/>
      <c r="J22" s="971">
        <v>0</v>
      </c>
      <c r="K22" s="1014"/>
      <c r="L22" s="745"/>
      <c r="M22" s="746"/>
    </row>
    <row r="23" spans="1:13" ht="14.25">
      <c r="A23" s="18">
        <v>20.02</v>
      </c>
      <c r="B23" s="120" t="s">
        <v>64</v>
      </c>
      <c r="C23" s="986"/>
      <c r="D23" s="977"/>
      <c r="E23" s="977"/>
      <c r="F23" s="971">
        <f t="shared" ref="F23:F29" si="2">SUM(D23:E23)</f>
        <v>0</v>
      </c>
      <c r="G23" s="982" t="str">
        <f t="shared" si="0"/>
        <v/>
      </c>
      <c r="H23" s="979"/>
      <c r="I23" s="980"/>
      <c r="J23" s="971">
        <v>0</v>
      </c>
      <c r="K23" s="1014"/>
      <c r="L23" s="745"/>
      <c r="M23" s="746"/>
    </row>
    <row r="24" spans="1:13" ht="14.25">
      <c r="A24" s="18">
        <v>20.03</v>
      </c>
      <c r="B24" s="120" t="s">
        <v>65</v>
      </c>
      <c r="C24" s="986"/>
      <c r="D24" s="977"/>
      <c r="E24" s="977"/>
      <c r="F24" s="971">
        <f t="shared" si="2"/>
        <v>0</v>
      </c>
      <c r="G24" s="982" t="str">
        <f t="shared" si="0"/>
        <v/>
      </c>
      <c r="H24" s="979"/>
      <c r="I24" s="980"/>
      <c r="J24" s="971">
        <v>0</v>
      </c>
      <c r="K24" s="1014"/>
      <c r="L24" s="745"/>
      <c r="M24" s="746"/>
    </row>
    <row r="25" spans="1:13" ht="14.25">
      <c r="A25" s="18">
        <v>20.04</v>
      </c>
      <c r="B25" s="120" t="s">
        <v>66</v>
      </c>
      <c r="C25" s="986"/>
      <c r="D25" s="977"/>
      <c r="E25" s="977"/>
      <c r="F25" s="971">
        <f t="shared" si="2"/>
        <v>0</v>
      </c>
      <c r="G25" s="978" t="str">
        <f t="shared" si="0"/>
        <v/>
      </c>
      <c r="H25" s="979"/>
      <c r="I25" s="980"/>
      <c r="J25" s="971">
        <v>0</v>
      </c>
      <c r="K25" s="1014"/>
      <c r="L25" s="745"/>
      <c r="M25" s="746"/>
    </row>
    <row r="26" spans="1:13" ht="14.25">
      <c r="A26" s="18">
        <v>20.05</v>
      </c>
      <c r="B26" s="120" t="s">
        <v>67</v>
      </c>
      <c r="C26" s="986"/>
      <c r="D26" s="977"/>
      <c r="E26" s="977"/>
      <c r="F26" s="977">
        <f t="shared" si="2"/>
        <v>0</v>
      </c>
      <c r="G26" s="978" t="str">
        <f t="shared" si="0"/>
        <v/>
      </c>
      <c r="H26" s="987"/>
      <c r="I26" s="980"/>
      <c r="J26" s="971">
        <v>0</v>
      </c>
      <c r="K26" s="1014"/>
      <c r="L26" s="745"/>
      <c r="M26" s="746"/>
    </row>
    <row r="27" spans="1:13" ht="14.25">
      <c r="A27" s="18">
        <v>20.059999999999999</v>
      </c>
      <c r="B27" s="120" t="s">
        <v>68</v>
      </c>
      <c r="C27" s="986"/>
      <c r="D27" s="977"/>
      <c r="E27" s="977"/>
      <c r="F27" s="977">
        <f t="shared" si="2"/>
        <v>0</v>
      </c>
      <c r="G27" s="978" t="str">
        <f t="shared" si="0"/>
        <v/>
      </c>
      <c r="H27" s="987"/>
      <c r="I27" s="980"/>
      <c r="J27" s="971">
        <v>0</v>
      </c>
      <c r="K27" s="1014"/>
      <c r="L27" s="745"/>
      <c r="M27" s="746"/>
    </row>
    <row r="28" spans="1:13" ht="15" thickBot="1">
      <c r="A28" s="18">
        <v>20.07</v>
      </c>
      <c r="B28" s="120" t="s">
        <v>69</v>
      </c>
      <c r="C28" s="986"/>
      <c r="D28" s="977"/>
      <c r="E28" s="977"/>
      <c r="F28" s="977">
        <f t="shared" si="2"/>
        <v>0</v>
      </c>
      <c r="G28" s="978" t="str">
        <f t="shared" si="0"/>
        <v/>
      </c>
      <c r="H28" s="987"/>
      <c r="I28" s="980"/>
      <c r="J28" s="971">
        <v>0</v>
      </c>
      <c r="K28" s="1014"/>
      <c r="L28" s="745"/>
      <c r="M28" s="746"/>
    </row>
    <row r="29" spans="1:13" ht="15.75" thickBot="1">
      <c r="A29" s="14" t="s">
        <v>168</v>
      </c>
      <c r="B29" s="119"/>
      <c r="C29" s="988">
        <f>C7</f>
        <v>0</v>
      </c>
      <c r="D29" s="971">
        <f>SUM(D30:D34)</f>
        <v>0</v>
      </c>
      <c r="E29" s="971">
        <f>SUM(E30:E34)</f>
        <v>0</v>
      </c>
      <c r="F29" s="984">
        <f t="shared" si="2"/>
        <v>0</v>
      </c>
      <c r="G29" s="978" t="str">
        <f t="shared" si="0"/>
        <v/>
      </c>
      <c r="H29" s="974" t="e">
        <f>SUM(F29/$F$52)</f>
        <v>#DIV/0!</v>
      </c>
      <c r="I29" s="975" t="e">
        <f>SUM(F29/$F$77)</f>
        <v>#DIV/0!</v>
      </c>
      <c r="J29" s="972">
        <v>0</v>
      </c>
      <c r="K29" s="966">
        <f>IFERROR(SUM(J29/F29),0)</f>
        <v>0</v>
      </c>
      <c r="L29" s="534">
        <f>IF(ISERR(K29),0,E29*K29)</f>
        <v>0</v>
      </c>
      <c r="M29" s="534">
        <f>J29-L29</f>
        <v>0</v>
      </c>
    </row>
    <row r="30" spans="1:13" ht="14.25">
      <c r="A30" s="18">
        <v>30.01</v>
      </c>
      <c r="B30" s="120" t="s">
        <v>28</v>
      </c>
      <c r="C30" s="986"/>
      <c r="D30" s="977"/>
      <c r="E30" s="977"/>
      <c r="F30" s="971">
        <f t="shared" ref="F30:F44" si="3">SUM(D30:E30)</f>
        <v>0</v>
      </c>
      <c r="G30" s="978" t="str">
        <f t="shared" si="0"/>
        <v/>
      </c>
      <c r="H30" s="979"/>
      <c r="I30" s="980"/>
      <c r="J30" s="971">
        <v>0</v>
      </c>
      <c r="K30" s="1014"/>
      <c r="L30" s="745"/>
      <c r="M30" s="746"/>
    </row>
    <row r="31" spans="1:13" ht="14.25">
      <c r="A31" s="18">
        <v>30.02</v>
      </c>
      <c r="B31" s="121" t="s">
        <v>29</v>
      </c>
      <c r="C31" s="986"/>
      <c r="D31" s="977"/>
      <c r="E31" s="977"/>
      <c r="F31" s="971">
        <f t="shared" si="3"/>
        <v>0</v>
      </c>
      <c r="G31" s="978" t="str">
        <f t="shared" si="0"/>
        <v/>
      </c>
      <c r="H31" s="979"/>
      <c r="I31" s="980"/>
      <c r="J31" s="971">
        <v>0</v>
      </c>
      <c r="K31" s="1014"/>
      <c r="L31" s="745"/>
      <c r="M31" s="746"/>
    </row>
    <row r="32" spans="1:13" ht="14.25">
      <c r="A32" s="18">
        <v>30.03</v>
      </c>
      <c r="B32" s="121" t="s">
        <v>30</v>
      </c>
      <c r="C32" s="986"/>
      <c r="D32" s="977"/>
      <c r="E32" s="977"/>
      <c r="F32" s="971">
        <f t="shared" si="3"/>
        <v>0</v>
      </c>
      <c r="G32" s="978" t="str">
        <f t="shared" si="0"/>
        <v/>
      </c>
      <c r="H32" s="979"/>
      <c r="I32" s="980"/>
      <c r="J32" s="971">
        <v>0</v>
      </c>
      <c r="K32" s="1014"/>
      <c r="L32" s="745"/>
      <c r="M32" s="746"/>
    </row>
    <row r="33" spans="1:13" ht="14.25">
      <c r="A33" s="18">
        <v>30.04</v>
      </c>
      <c r="B33" s="121" t="s">
        <v>31</v>
      </c>
      <c r="C33" s="986"/>
      <c r="D33" s="977"/>
      <c r="E33" s="977"/>
      <c r="F33" s="971">
        <f t="shared" si="3"/>
        <v>0</v>
      </c>
      <c r="G33" s="978" t="str">
        <f t="shared" si="0"/>
        <v/>
      </c>
      <c r="H33" s="979"/>
      <c r="I33" s="980"/>
      <c r="J33" s="971">
        <v>0</v>
      </c>
      <c r="K33" s="1014"/>
      <c r="L33" s="745"/>
      <c r="M33" s="746"/>
    </row>
    <row r="34" spans="1:13" ht="15" thickBot="1">
      <c r="A34" s="18">
        <v>30.05</v>
      </c>
      <c r="B34" s="121" t="s">
        <v>32</v>
      </c>
      <c r="C34" s="986"/>
      <c r="D34" s="977"/>
      <c r="E34" s="977"/>
      <c r="F34" s="971">
        <f t="shared" si="3"/>
        <v>0</v>
      </c>
      <c r="G34" s="978" t="str">
        <f t="shared" si="0"/>
        <v/>
      </c>
      <c r="H34" s="979"/>
      <c r="I34" s="980"/>
      <c r="J34" s="971">
        <v>0</v>
      </c>
      <c r="K34" s="1014"/>
      <c r="L34" s="745"/>
      <c r="M34" s="746"/>
    </row>
    <row r="35" spans="1:13" ht="15.75" thickBot="1">
      <c r="A35" s="14" t="s">
        <v>169</v>
      </c>
      <c r="B35" s="122"/>
      <c r="C35" s="988">
        <f>C7</f>
        <v>0</v>
      </c>
      <c r="D35" s="971">
        <f>SUM(D36:D43)</f>
        <v>0</v>
      </c>
      <c r="E35" s="977">
        <f>SUM(E36:E43)</f>
        <v>0</v>
      </c>
      <c r="F35" s="972">
        <f t="shared" si="3"/>
        <v>0</v>
      </c>
      <c r="G35" s="978" t="str">
        <f t="shared" si="0"/>
        <v/>
      </c>
      <c r="H35" s="974" t="e">
        <f>SUM(F35/$F$52)</f>
        <v>#DIV/0!</v>
      </c>
      <c r="I35" s="975" t="e">
        <f>SUM(F35/$F$77)</f>
        <v>#DIV/0!</v>
      </c>
      <c r="J35" s="972">
        <v>0</v>
      </c>
      <c r="K35" s="966">
        <f>IFERROR(SUM(J35/F35),0)</f>
        <v>0</v>
      </c>
      <c r="L35" s="534">
        <f>IF(ISERR(K35),0,E35*K35)</f>
        <v>0</v>
      </c>
      <c r="M35" s="534">
        <f>J35-L35</f>
        <v>0</v>
      </c>
    </row>
    <row r="36" spans="1:13" ht="14.25">
      <c r="A36" s="18">
        <v>40.01</v>
      </c>
      <c r="B36" s="120" t="s">
        <v>33</v>
      </c>
      <c r="C36" s="989"/>
      <c r="D36" s="990"/>
      <c r="E36" s="977"/>
      <c r="F36" s="971">
        <f t="shared" si="3"/>
        <v>0</v>
      </c>
      <c r="G36" s="978" t="str">
        <f t="shared" si="0"/>
        <v/>
      </c>
      <c r="H36" s="991"/>
      <c r="I36" s="992"/>
      <c r="J36" s="971">
        <v>0</v>
      </c>
      <c r="K36" s="1014"/>
      <c r="L36" s="745"/>
      <c r="M36" s="746"/>
    </row>
    <row r="37" spans="1:13" ht="14.25">
      <c r="A37" s="18">
        <v>40.020000000000003</v>
      </c>
      <c r="B37" s="120" t="s">
        <v>34</v>
      </c>
      <c r="C37" s="989"/>
      <c r="D37" s="990"/>
      <c r="E37" s="977"/>
      <c r="F37" s="971">
        <f t="shared" si="3"/>
        <v>0</v>
      </c>
      <c r="G37" s="978" t="str">
        <f t="shared" si="0"/>
        <v/>
      </c>
      <c r="H37" s="993"/>
      <c r="I37" s="992"/>
      <c r="J37" s="971">
        <v>0</v>
      </c>
      <c r="K37" s="1014"/>
      <c r="L37" s="745"/>
      <c r="M37" s="746"/>
    </row>
    <row r="38" spans="1:13" ht="14.25">
      <c r="A38" s="18">
        <v>40.03</v>
      </c>
      <c r="B38" s="120" t="s">
        <v>35</v>
      </c>
      <c r="C38" s="989"/>
      <c r="D38" s="990"/>
      <c r="E38" s="977"/>
      <c r="F38" s="971">
        <f t="shared" si="3"/>
        <v>0</v>
      </c>
      <c r="G38" s="978" t="str">
        <f t="shared" si="0"/>
        <v/>
      </c>
      <c r="H38" s="993"/>
      <c r="I38" s="992"/>
      <c r="J38" s="971">
        <v>0</v>
      </c>
      <c r="K38" s="1014"/>
      <c r="L38" s="745"/>
      <c r="M38" s="746"/>
    </row>
    <row r="39" spans="1:13" ht="14.25">
      <c r="A39" s="18">
        <v>40.04</v>
      </c>
      <c r="B39" s="120" t="s">
        <v>36</v>
      </c>
      <c r="C39" s="989"/>
      <c r="D39" s="990"/>
      <c r="E39" s="977"/>
      <c r="F39" s="971">
        <f t="shared" si="3"/>
        <v>0</v>
      </c>
      <c r="G39" s="978" t="str">
        <f t="shared" si="0"/>
        <v/>
      </c>
      <c r="H39" s="993"/>
      <c r="I39" s="992"/>
      <c r="J39" s="971">
        <v>0</v>
      </c>
      <c r="K39" s="1014"/>
      <c r="L39" s="745"/>
      <c r="M39" s="746"/>
    </row>
    <row r="40" spans="1:13" ht="14.25">
      <c r="A40" s="18">
        <v>40.049999999999997</v>
      </c>
      <c r="B40" s="120" t="s">
        <v>37</v>
      </c>
      <c r="C40" s="989"/>
      <c r="D40" s="990"/>
      <c r="E40" s="977"/>
      <c r="F40" s="971">
        <f t="shared" si="3"/>
        <v>0</v>
      </c>
      <c r="G40" s="978" t="str">
        <f t="shared" si="0"/>
        <v/>
      </c>
      <c r="H40" s="993"/>
      <c r="I40" s="992"/>
      <c r="J40" s="971">
        <v>0</v>
      </c>
      <c r="K40" s="1014"/>
      <c r="L40" s="745"/>
      <c r="M40" s="746"/>
    </row>
    <row r="41" spans="1:13" ht="14.25">
      <c r="A41" s="18">
        <v>40.06</v>
      </c>
      <c r="B41" s="123" t="s">
        <v>38</v>
      </c>
      <c r="C41" s="989"/>
      <c r="D41" s="990"/>
      <c r="E41" s="977"/>
      <c r="F41" s="971">
        <f t="shared" si="3"/>
        <v>0</v>
      </c>
      <c r="G41" s="978" t="str">
        <f t="shared" si="0"/>
        <v/>
      </c>
      <c r="H41" s="993"/>
      <c r="I41" s="992"/>
      <c r="J41" s="971">
        <v>0</v>
      </c>
      <c r="K41" s="1014"/>
      <c r="L41" s="745"/>
      <c r="M41" s="746"/>
    </row>
    <row r="42" spans="1:13" ht="14.25">
      <c r="A42" s="18">
        <v>40.07</v>
      </c>
      <c r="B42" s="123" t="s">
        <v>39</v>
      </c>
      <c r="C42" s="989"/>
      <c r="D42" s="990"/>
      <c r="E42" s="977"/>
      <c r="F42" s="971">
        <f t="shared" si="3"/>
        <v>0</v>
      </c>
      <c r="G42" s="978" t="str">
        <f t="shared" si="0"/>
        <v/>
      </c>
      <c r="H42" s="993"/>
      <c r="I42" s="992"/>
      <c r="J42" s="971">
        <v>0</v>
      </c>
      <c r="K42" s="1014"/>
      <c r="L42" s="745"/>
      <c r="M42" s="746"/>
    </row>
    <row r="43" spans="1:13" ht="15" thickBot="1">
      <c r="A43" s="18">
        <v>40.08</v>
      </c>
      <c r="B43" s="120" t="s">
        <v>40</v>
      </c>
      <c r="C43" s="989"/>
      <c r="D43" s="990"/>
      <c r="E43" s="977"/>
      <c r="F43" s="971">
        <f t="shared" si="3"/>
        <v>0</v>
      </c>
      <c r="G43" s="978" t="str">
        <f t="shared" si="0"/>
        <v/>
      </c>
      <c r="H43" s="993"/>
      <c r="I43" s="992"/>
      <c r="J43" s="971">
        <v>0</v>
      </c>
      <c r="K43" s="1014"/>
      <c r="L43" s="745"/>
      <c r="M43" s="746"/>
    </row>
    <row r="44" spans="1:13" ht="15.75" thickBot="1">
      <c r="A44" s="14" t="s">
        <v>170</v>
      </c>
      <c r="B44" s="119"/>
      <c r="C44" s="988">
        <f>C7</f>
        <v>0</v>
      </c>
      <c r="D44" s="990">
        <f>SUM(D45:D51)</f>
        <v>0</v>
      </c>
      <c r="E44" s="977">
        <f>SUM(E45:E51)</f>
        <v>0</v>
      </c>
      <c r="F44" s="972">
        <f t="shared" si="3"/>
        <v>0</v>
      </c>
      <c r="G44" s="978" t="str">
        <f t="shared" si="0"/>
        <v/>
      </c>
      <c r="H44" s="974" t="e">
        <f>SUM(F44/$F$52)</f>
        <v>#DIV/0!</v>
      </c>
      <c r="I44" s="975" t="e">
        <f>SUM(F44/$F$77)</f>
        <v>#DIV/0!</v>
      </c>
      <c r="J44" s="972">
        <v>0</v>
      </c>
      <c r="K44" s="966">
        <f>IFERROR(SUM(J44/F44),0)</f>
        <v>0</v>
      </c>
      <c r="L44" s="534">
        <f>IF(ISERR(K44),0,E44*K44)</f>
        <v>0</v>
      </c>
      <c r="M44" s="534">
        <f>J44-L44</f>
        <v>0</v>
      </c>
    </row>
    <row r="45" spans="1:13" ht="14.25">
      <c r="A45" s="18">
        <v>50.01</v>
      </c>
      <c r="B45" s="120" t="s">
        <v>41</v>
      </c>
      <c r="C45" s="981"/>
      <c r="D45" s="990"/>
      <c r="E45" s="971"/>
      <c r="F45" s="971">
        <f>SUM(D45:E45)</f>
        <v>0</v>
      </c>
      <c r="G45" s="978" t="str">
        <f t="shared" si="0"/>
        <v/>
      </c>
      <c r="H45" s="991"/>
      <c r="I45" s="992"/>
      <c r="J45" s="971">
        <v>0</v>
      </c>
      <c r="K45" s="1014"/>
      <c r="L45" s="745"/>
      <c r="M45" s="746"/>
    </row>
    <row r="46" spans="1:13" ht="14.25">
      <c r="A46" s="18">
        <v>50.02</v>
      </c>
      <c r="B46" s="120" t="s">
        <v>42</v>
      </c>
      <c r="C46" s="989"/>
      <c r="D46" s="990"/>
      <c r="E46" s="971"/>
      <c r="F46" s="971">
        <f t="shared" ref="F46:F51" si="4">SUM(D46:E46)</f>
        <v>0</v>
      </c>
      <c r="G46" s="978" t="str">
        <f t="shared" si="0"/>
        <v/>
      </c>
      <c r="H46" s="993"/>
      <c r="I46" s="992"/>
      <c r="J46" s="971">
        <v>0</v>
      </c>
      <c r="K46" s="1014"/>
      <c r="L46" s="745"/>
      <c r="M46" s="746"/>
    </row>
    <row r="47" spans="1:13" ht="14.25">
      <c r="A47" s="18">
        <v>50.03</v>
      </c>
      <c r="B47" s="120" t="s">
        <v>43</v>
      </c>
      <c r="C47" s="989"/>
      <c r="D47" s="990"/>
      <c r="E47" s="971"/>
      <c r="F47" s="971">
        <f t="shared" si="4"/>
        <v>0</v>
      </c>
      <c r="G47" s="978" t="str">
        <f t="shared" si="0"/>
        <v/>
      </c>
      <c r="H47" s="993"/>
      <c r="I47" s="992"/>
      <c r="J47" s="971">
        <v>0</v>
      </c>
      <c r="K47" s="1014"/>
      <c r="L47" s="745"/>
      <c r="M47" s="746"/>
    </row>
    <row r="48" spans="1:13" ht="14.25">
      <c r="A48" s="18">
        <v>50.04</v>
      </c>
      <c r="B48" s="120" t="s">
        <v>44</v>
      </c>
      <c r="C48" s="989"/>
      <c r="D48" s="990"/>
      <c r="E48" s="971"/>
      <c r="F48" s="971">
        <f t="shared" si="4"/>
        <v>0</v>
      </c>
      <c r="G48" s="978" t="str">
        <f t="shared" si="0"/>
        <v/>
      </c>
      <c r="H48" s="993"/>
      <c r="I48" s="992"/>
      <c r="J48" s="971">
        <v>0</v>
      </c>
      <c r="K48" s="1014"/>
      <c r="L48" s="745"/>
      <c r="M48" s="746"/>
    </row>
    <row r="49" spans="1:13" ht="14.25">
      <c r="A49" s="18">
        <v>50.05</v>
      </c>
      <c r="B49" s="120" t="s">
        <v>45</v>
      </c>
      <c r="C49" s="989"/>
      <c r="D49" s="990"/>
      <c r="E49" s="971"/>
      <c r="F49" s="971">
        <f t="shared" si="4"/>
        <v>0</v>
      </c>
      <c r="G49" s="978" t="str">
        <f t="shared" si="0"/>
        <v/>
      </c>
      <c r="H49" s="993"/>
      <c r="I49" s="992"/>
      <c r="J49" s="971">
        <v>0</v>
      </c>
      <c r="K49" s="1014"/>
      <c r="L49" s="745"/>
      <c r="M49" s="746"/>
    </row>
    <row r="50" spans="1:13" ht="14.25">
      <c r="A50" s="18">
        <v>50.06</v>
      </c>
      <c r="B50" s="120" t="s">
        <v>46</v>
      </c>
      <c r="C50" s="989"/>
      <c r="D50" s="990"/>
      <c r="E50" s="971"/>
      <c r="F50" s="971">
        <f t="shared" si="4"/>
        <v>0</v>
      </c>
      <c r="G50" s="978" t="str">
        <f t="shared" si="0"/>
        <v/>
      </c>
      <c r="H50" s="993"/>
      <c r="I50" s="992"/>
      <c r="J50" s="971">
        <v>0</v>
      </c>
      <c r="K50" s="1014"/>
      <c r="L50" s="745"/>
      <c r="M50" s="746"/>
    </row>
    <row r="51" spans="1:13" ht="15" thickBot="1">
      <c r="A51" s="18">
        <v>50.07</v>
      </c>
      <c r="B51" s="120" t="s">
        <v>47</v>
      </c>
      <c r="C51" s="989"/>
      <c r="D51" s="990"/>
      <c r="E51" s="971"/>
      <c r="F51" s="971">
        <f t="shared" si="4"/>
        <v>0</v>
      </c>
      <c r="G51" s="978" t="str">
        <f t="shared" si="0"/>
        <v/>
      </c>
      <c r="H51" s="993"/>
      <c r="I51" s="992"/>
      <c r="J51" s="971">
        <v>0</v>
      </c>
      <c r="K51" s="1015"/>
      <c r="L51" s="745"/>
      <c r="M51" s="746"/>
    </row>
    <row r="52" spans="1:13" ht="15.75" thickBot="1">
      <c r="A52" s="1024" t="s">
        <v>171</v>
      </c>
      <c r="B52" s="1025"/>
      <c r="C52" s="988">
        <f>C7</f>
        <v>0</v>
      </c>
      <c r="D52" s="990">
        <f>SUM(D44,D35,D29,D21,D7)</f>
        <v>0</v>
      </c>
      <c r="E52" s="971">
        <f>SUM(E44,E35,E29,E21,E7)</f>
        <v>0</v>
      </c>
      <c r="F52" s="994">
        <f>SUM(F44,F35,F29,F21,F7)</f>
        <v>0</v>
      </c>
      <c r="G52" s="978" t="str">
        <f t="shared" si="0"/>
        <v/>
      </c>
      <c r="H52" s="995" t="e">
        <f>SUM(H44,H35,H29,H21,H7)</f>
        <v>#DIV/0!</v>
      </c>
      <c r="I52" s="975" t="e">
        <f>SUM(F52/$F$77)</f>
        <v>#DIV/0!</v>
      </c>
      <c r="J52" s="972">
        <v>0</v>
      </c>
      <c r="K52" s="1016"/>
      <c r="L52" s="743">
        <f>SUM(L7,L21,L29,L35,L44)</f>
        <v>0</v>
      </c>
      <c r="M52" s="743">
        <f>SUM(M7,M21,M29,M35,M44)</f>
        <v>0</v>
      </c>
    </row>
    <row r="53" spans="1:13" ht="16.5" thickTop="1" thickBot="1">
      <c r="A53" s="14" t="s">
        <v>172</v>
      </c>
      <c r="B53" s="122"/>
      <c r="C53" s="988">
        <f>C7</f>
        <v>0</v>
      </c>
      <c r="D53" s="990">
        <f>SUM(D54:D55)</f>
        <v>0</v>
      </c>
      <c r="E53" s="971">
        <f>SUM(E54:E55)</f>
        <v>0</v>
      </c>
      <c r="F53" s="996">
        <f>SUM(F54:F55)</f>
        <v>0</v>
      </c>
      <c r="G53" s="978" t="str">
        <f t="shared" si="0"/>
        <v/>
      </c>
      <c r="H53" s="997"/>
      <c r="I53" s="975" t="e">
        <f>SUM(F53/$F$77)</f>
        <v>#DIV/0!</v>
      </c>
      <c r="J53" s="972">
        <v>0</v>
      </c>
      <c r="K53" s="966">
        <f>IFERROR(SUM(J53/F53),0)</f>
        <v>0</v>
      </c>
      <c r="L53" s="534">
        <f>IF(ISERR(K53),0,E53*K53)</f>
        <v>0</v>
      </c>
      <c r="M53" s="742">
        <f>J53-L53</f>
        <v>0</v>
      </c>
    </row>
    <row r="54" spans="1:13" ht="14.25">
      <c r="A54" s="18">
        <v>60.01</v>
      </c>
      <c r="B54" s="120" t="s">
        <v>48</v>
      </c>
      <c r="C54" s="976"/>
      <c r="D54" s="990"/>
      <c r="E54" s="971"/>
      <c r="F54" s="971">
        <f>SUM(D54:E54)</f>
        <v>0</v>
      </c>
      <c r="G54" s="978" t="str">
        <f t="shared" si="0"/>
        <v/>
      </c>
      <c r="H54" s="993"/>
      <c r="I54" s="992"/>
      <c r="J54" s="971">
        <v>0</v>
      </c>
      <c r="K54" s="1014"/>
      <c r="L54" s="745"/>
      <c r="M54" s="746"/>
    </row>
    <row r="55" spans="1:13" ht="15" thickBot="1">
      <c r="A55" s="18">
        <v>60.02</v>
      </c>
      <c r="B55" s="120" t="s">
        <v>49</v>
      </c>
      <c r="C55" s="989"/>
      <c r="D55" s="990"/>
      <c r="E55" s="971"/>
      <c r="F55" s="971">
        <f>SUM(D55:E55)</f>
        <v>0</v>
      </c>
      <c r="G55" s="982" t="str">
        <f t="shared" si="0"/>
        <v/>
      </c>
      <c r="H55" s="993"/>
      <c r="I55" s="992"/>
      <c r="J55" s="971">
        <v>0</v>
      </c>
      <c r="K55" s="1014"/>
      <c r="L55" s="745"/>
      <c r="M55" s="746"/>
    </row>
    <row r="56" spans="1:13" ht="15.75" thickBot="1">
      <c r="A56" s="23" t="s">
        <v>173</v>
      </c>
      <c r="B56" s="119"/>
      <c r="C56" s="998">
        <f>SUM(C57:C63)</f>
        <v>0</v>
      </c>
      <c r="D56" s="990">
        <f>SUM(D57:D63)</f>
        <v>0</v>
      </c>
      <c r="E56" s="977">
        <f>SUM(E57:E63)</f>
        <v>0</v>
      </c>
      <c r="F56" s="972">
        <f>SUM(D56:E56)</f>
        <v>0</v>
      </c>
      <c r="G56" s="999" t="str">
        <f t="shared" si="0"/>
        <v/>
      </c>
      <c r="H56" s="997"/>
      <c r="I56" s="975" t="e">
        <f>SUM(F56/$F$77)</f>
        <v>#DIV/0!</v>
      </c>
      <c r="J56" s="972">
        <v>0</v>
      </c>
      <c r="K56" s="966">
        <f>IFERROR(SUM(J56/F56),0)</f>
        <v>0</v>
      </c>
      <c r="L56" s="534">
        <f>IF(ISERR(K56),0,E56*K56)</f>
        <v>0</v>
      </c>
      <c r="M56" s="534">
        <f>J56-L56</f>
        <v>0</v>
      </c>
    </row>
    <row r="57" spans="1:13" ht="14.25">
      <c r="A57" s="18">
        <v>70.010000000000005</v>
      </c>
      <c r="B57" s="120" t="s">
        <v>50</v>
      </c>
      <c r="C57" s="986"/>
      <c r="D57" s="1000"/>
      <c r="E57" s="977"/>
      <c r="F57" s="971">
        <f>SUM(D57:E57)</f>
        <v>0</v>
      </c>
      <c r="G57" s="982" t="str">
        <f t="shared" si="0"/>
        <v/>
      </c>
      <c r="H57" s="993"/>
      <c r="I57" s="992"/>
      <c r="J57" s="971">
        <v>0</v>
      </c>
      <c r="K57" s="1014"/>
      <c r="L57" s="745"/>
      <c r="M57" s="746"/>
    </row>
    <row r="58" spans="1:13" ht="14.25">
      <c r="A58" s="18">
        <v>70.02</v>
      </c>
      <c r="B58" s="120" t="s">
        <v>51</v>
      </c>
      <c r="C58" s="986"/>
      <c r="D58" s="1000"/>
      <c r="E58" s="977"/>
      <c r="F58" s="971">
        <f t="shared" ref="F58:F64" si="5">SUM(D58:E58)</f>
        <v>0</v>
      </c>
      <c r="G58" s="982" t="str">
        <f t="shared" si="0"/>
        <v/>
      </c>
      <c r="H58" s="993"/>
      <c r="I58" s="992"/>
      <c r="J58" s="971">
        <v>0</v>
      </c>
      <c r="K58" s="1014"/>
      <c r="L58" s="745"/>
      <c r="M58" s="746"/>
    </row>
    <row r="59" spans="1:13" ht="14.25">
      <c r="A59" s="18">
        <v>70.03</v>
      </c>
      <c r="B59" s="120" t="s">
        <v>52</v>
      </c>
      <c r="C59" s="986"/>
      <c r="D59" s="1000"/>
      <c r="E59" s="977"/>
      <c r="F59" s="971">
        <f t="shared" si="5"/>
        <v>0</v>
      </c>
      <c r="G59" s="982" t="str">
        <f t="shared" si="0"/>
        <v/>
      </c>
      <c r="H59" s="993"/>
      <c r="I59" s="992"/>
      <c r="J59" s="971">
        <v>0</v>
      </c>
      <c r="K59" s="1014"/>
      <c r="L59" s="745"/>
      <c r="M59" s="746"/>
    </row>
    <row r="60" spans="1:13" ht="14.25">
      <c r="A60" s="18">
        <v>70.040000000000006</v>
      </c>
      <c r="B60" s="120" t="s">
        <v>53</v>
      </c>
      <c r="C60" s="986"/>
      <c r="D60" s="1000"/>
      <c r="E60" s="977"/>
      <c r="F60" s="971">
        <f t="shared" si="5"/>
        <v>0</v>
      </c>
      <c r="G60" s="982" t="str">
        <f t="shared" si="0"/>
        <v/>
      </c>
      <c r="H60" s="993"/>
      <c r="I60" s="992"/>
      <c r="J60" s="971">
        <v>0</v>
      </c>
      <c r="K60" s="1014"/>
      <c r="L60" s="745"/>
      <c r="M60" s="746"/>
    </row>
    <row r="61" spans="1:13" ht="14.25">
      <c r="A61" s="18">
        <v>70.05</v>
      </c>
      <c r="B61" s="120" t="s">
        <v>54</v>
      </c>
      <c r="C61" s="986"/>
      <c r="D61" s="1000"/>
      <c r="E61" s="977"/>
      <c r="F61" s="971">
        <f t="shared" si="5"/>
        <v>0</v>
      </c>
      <c r="G61" s="982" t="str">
        <f t="shared" si="0"/>
        <v/>
      </c>
      <c r="H61" s="993"/>
      <c r="I61" s="992"/>
      <c r="J61" s="971">
        <v>0</v>
      </c>
      <c r="K61" s="1014"/>
      <c r="L61" s="745"/>
      <c r="M61" s="746"/>
    </row>
    <row r="62" spans="1:13" ht="14.25">
      <c r="A62" s="18">
        <v>70.06</v>
      </c>
      <c r="B62" s="120" t="s">
        <v>55</v>
      </c>
      <c r="C62" s="986"/>
      <c r="D62" s="1000"/>
      <c r="E62" s="977"/>
      <c r="F62" s="971">
        <f t="shared" si="5"/>
        <v>0</v>
      </c>
      <c r="G62" s="982" t="str">
        <f t="shared" si="0"/>
        <v/>
      </c>
      <c r="H62" s="993"/>
      <c r="I62" s="992"/>
      <c r="J62" s="971">
        <v>0</v>
      </c>
      <c r="K62" s="1014"/>
      <c r="L62" s="745"/>
      <c r="M62" s="746"/>
    </row>
    <row r="63" spans="1:13" ht="15" thickBot="1">
      <c r="A63" s="18">
        <v>70.069999999999993</v>
      </c>
      <c r="B63" s="120" t="s">
        <v>56</v>
      </c>
      <c r="C63" s="986"/>
      <c r="D63" s="1000"/>
      <c r="E63" s="977"/>
      <c r="F63" s="971">
        <f t="shared" si="5"/>
        <v>0</v>
      </c>
      <c r="G63" s="982" t="str">
        <f t="shared" si="0"/>
        <v/>
      </c>
      <c r="H63" s="993"/>
      <c r="I63" s="992"/>
      <c r="J63" s="971">
        <v>0</v>
      </c>
      <c r="K63" s="1014"/>
      <c r="L63" s="745"/>
      <c r="M63" s="746"/>
    </row>
    <row r="64" spans="1:13" ht="15.75" thickBot="1">
      <c r="A64" s="23" t="s">
        <v>174</v>
      </c>
      <c r="B64" s="124"/>
      <c r="C64" s="988">
        <f>C7</f>
        <v>0</v>
      </c>
      <c r="D64" s="990">
        <f>SUM(D65:D72)</f>
        <v>0</v>
      </c>
      <c r="E64" s="977">
        <f>SUM(E65:E72)</f>
        <v>0</v>
      </c>
      <c r="F64" s="972">
        <f t="shared" si="5"/>
        <v>0</v>
      </c>
      <c r="G64" s="1001" t="str">
        <f t="shared" si="0"/>
        <v/>
      </c>
      <c r="H64" s="974" t="e">
        <f>SUM(F64/$F$52)</f>
        <v>#DIV/0!</v>
      </c>
      <c r="I64" s="975" t="e">
        <f>SUM(F64/$F$77)</f>
        <v>#DIV/0!</v>
      </c>
      <c r="J64" s="972">
        <v>0</v>
      </c>
      <c r="K64" s="966">
        <f>IFERROR(SUM(J64/F64),0)</f>
        <v>0</v>
      </c>
      <c r="L64" s="534">
        <f>IF(ISERR(K64),0,E64*K64)</f>
        <v>0</v>
      </c>
      <c r="M64" s="534">
        <f>J64-L64</f>
        <v>0</v>
      </c>
    </row>
    <row r="65" spans="1:13" ht="15">
      <c r="A65" s="25">
        <v>80.010000000000005</v>
      </c>
      <c r="B65" s="118" t="s">
        <v>143</v>
      </c>
      <c r="C65" s="989"/>
      <c r="D65" s="1000"/>
      <c r="E65" s="977"/>
      <c r="F65" s="971">
        <f>SUM(D65:E65)</f>
        <v>0</v>
      </c>
      <c r="G65" s="1001" t="str">
        <f t="shared" si="0"/>
        <v/>
      </c>
      <c r="H65" s="993"/>
      <c r="I65" s="992"/>
      <c r="J65" s="971">
        <v>0</v>
      </c>
      <c r="K65" s="1014"/>
      <c r="L65" s="745"/>
      <c r="M65" s="746"/>
    </row>
    <row r="66" spans="1:13" ht="15">
      <c r="A66" s="25">
        <v>80.02</v>
      </c>
      <c r="B66" s="118" t="s">
        <v>175</v>
      </c>
      <c r="C66" s="1002"/>
      <c r="D66" s="1000"/>
      <c r="E66" s="977"/>
      <c r="F66" s="971">
        <f t="shared" ref="F66:F72" si="6">SUM(D66:E66)</f>
        <v>0</v>
      </c>
      <c r="G66" s="1001" t="str">
        <f t="shared" si="0"/>
        <v/>
      </c>
      <c r="H66" s="993"/>
      <c r="I66" s="992"/>
      <c r="J66" s="971">
        <v>0</v>
      </c>
      <c r="K66" s="1014"/>
      <c r="L66" s="745"/>
      <c r="M66" s="746"/>
    </row>
    <row r="67" spans="1:13" ht="15">
      <c r="A67" s="25">
        <v>80.03</v>
      </c>
      <c r="B67" s="118" t="s">
        <v>57</v>
      </c>
      <c r="C67" s="1002"/>
      <c r="D67" s="1000"/>
      <c r="E67" s="977"/>
      <c r="F67" s="971">
        <f t="shared" si="6"/>
        <v>0</v>
      </c>
      <c r="G67" s="1001" t="str">
        <f t="shared" si="0"/>
        <v/>
      </c>
      <c r="H67" s="993"/>
      <c r="I67" s="992"/>
      <c r="J67" s="971">
        <v>0</v>
      </c>
      <c r="K67" s="1014"/>
      <c r="L67" s="745"/>
      <c r="M67" s="746"/>
    </row>
    <row r="68" spans="1:13" ht="15">
      <c r="A68" s="25">
        <v>80.040000000000006</v>
      </c>
      <c r="B68" s="118" t="s">
        <v>58</v>
      </c>
      <c r="C68" s="1002"/>
      <c r="D68" s="1000"/>
      <c r="E68" s="977"/>
      <c r="F68" s="971">
        <f t="shared" si="6"/>
        <v>0</v>
      </c>
      <c r="G68" s="1001" t="str">
        <f t="shared" si="0"/>
        <v/>
      </c>
      <c r="H68" s="993"/>
      <c r="I68" s="992"/>
      <c r="J68" s="971">
        <v>0</v>
      </c>
      <c r="K68" s="1014"/>
      <c r="L68" s="745"/>
      <c r="M68" s="746"/>
    </row>
    <row r="69" spans="1:13" ht="15">
      <c r="A69" s="25">
        <v>80.05</v>
      </c>
      <c r="B69" s="118" t="s">
        <v>59</v>
      </c>
      <c r="C69" s="1002"/>
      <c r="D69" s="1000"/>
      <c r="E69" s="977"/>
      <c r="F69" s="971">
        <f t="shared" si="6"/>
        <v>0</v>
      </c>
      <c r="G69" s="1001" t="str">
        <f t="shared" si="0"/>
        <v/>
      </c>
      <c r="H69" s="993"/>
      <c r="I69" s="992"/>
      <c r="J69" s="971">
        <v>0</v>
      </c>
      <c r="K69" s="1014"/>
      <c r="L69" s="745"/>
      <c r="M69" s="746"/>
    </row>
    <row r="70" spans="1:13" ht="15">
      <c r="A70" s="25">
        <v>80.06</v>
      </c>
      <c r="B70" s="118" t="s">
        <v>60</v>
      </c>
      <c r="C70" s="1002"/>
      <c r="D70" s="1000"/>
      <c r="E70" s="977"/>
      <c r="F70" s="971">
        <f t="shared" si="6"/>
        <v>0</v>
      </c>
      <c r="G70" s="1001" t="str">
        <f t="shared" si="0"/>
        <v/>
      </c>
      <c r="H70" s="993"/>
      <c r="I70" s="992"/>
      <c r="J70" s="971">
        <v>0</v>
      </c>
      <c r="K70" s="1014"/>
      <c r="L70" s="745"/>
      <c r="M70" s="746"/>
    </row>
    <row r="71" spans="1:13" ht="15">
      <c r="A71" s="25">
        <v>80.069999999999993</v>
      </c>
      <c r="B71" s="118" t="s">
        <v>61</v>
      </c>
      <c r="C71" s="1002"/>
      <c r="D71" s="1000"/>
      <c r="E71" s="977"/>
      <c r="F71" s="971">
        <f t="shared" si="6"/>
        <v>0</v>
      </c>
      <c r="G71" s="1001" t="str">
        <f t="shared" ref="G71:G72" si="7">IF(C71&gt;0,F71/C71,"")</f>
        <v/>
      </c>
      <c r="H71" s="993"/>
      <c r="I71" s="992"/>
      <c r="J71" s="971">
        <v>0</v>
      </c>
      <c r="K71" s="1014"/>
      <c r="L71" s="745"/>
      <c r="M71" s="746"/>
    </row>
    <row r="72" spans="1:13" ht="15.75" thickBot="1">
      <c r="A72" s="25">
        <v>80.08</v>
      </c>
      <c r="B72" s="118" t="s">
        <v>62</v>
      </c>
      <c r="C72" s="1002"/>
      <c r="D72" s="1000"/>
      <c r="E72" s="977"/>
      <c r="F72" s="971">
        <f t="shared" si="6"/>
        <v>0</v>
      </c>
      <c r="G72" s="1001" t="str">
        <f t="shared" si="7"/>
        <v/>
      </c>
      <c r="H72" s="993"/>
      <c r="I72" s="992"/>
      <c r="J72" s="971">
        <v>0</v>
      </c>
      <c r="K72" s="1014"/>
      <c r="L72" s="745"/>
      <c r="M72" s="746"/>
    </row>
    <row r="73" spans="1:13" ht="15.75" thickBot="1">
      <c r="A73" s="1024" t="s">
        <v>176</v>
      </c>
      <c r="B73" s="1025"/>
      <c r="C73" s="988">
        <f>C7</f>
        <v>0</v>
      </c>
      <c r="D73" s="1003">
        <f>SUM(D52,D53,D56,D64)</f>
        <v>0</v>
      </c>
      <c r="E73" s="1004">
        <f>SUM(E52,E53,E56,E64)</f>
        <v>0</v>
      </c>
      <c r="F73" s="972">
        <f>SUM(F52,F53,F56,F64)</f>
        <v>0</v>
      </c>
      <c r="G73" s="1001" t="str">
        <f>IF(C73&gt;0,F73/C73,"")</f>
        <v/>
      </c>
      <c r="H73" s="1005"/>
      <c r="I73" s="975" t="e">
        <f>SUM(F73/$F$77)</f>
        <v>#DIV/0!</v>
      </c>
      <c r="J73" s="972">
        <v>0</v>
      </c>
      <c r="K73" s="1016"/>
      <c r="L73" s="534">
        <f>SUM(L52,L53,L56,L64)</f>
        <v>0</v>
      </c>
      <c r="M73" s="534">
        <f>SUM(M52,M53,M56,M64)</f>
        <v>0</v>
      </c>
    </row>
    <row r="74" spans="1:13" ht="15" customHeight="1" thickTop="1" thickBot="1">
      <c r="A74" s="14" t="s">
        <v>177</v>
      </c>
      <c r="B74" s="122"/>
      <c r="C74" s="1006"/>
      <c r="D74" s="971"/>
      <c r="E74" s="971"/>
      <c r="F74" s="971"/>
      <c r="G74" s="1007"/>
      <c r="H74" s="997"/>
      <c r="I74" s="1008" t="e">
        <f>SUM(F74/$F$77)</f>
        <v>#DIV/0!</v>
      </c>
      <c r="J74" s="1009">
        <v>0</v>
      </c>
      <c r="K74" s="966">
        <f>IFERROR(SUM(J74/F74),0)</f>
        <v>0</v>
      </c>
    </row>
    <row r="75" spans="1:13" ht="15.75" thickBot="1">
      <c r="A75" s="1024" t="s">
        <v>178</v>
      </c>
      <c r="B75" s="1025"/>
      <c r="C75" s="988">
        <f>C7</f>
        <v>0</v>
      </c>
      <c r="D75" s="971"/>
      <c r="E75" s="971"/>
      <c r="F75" s="994">
        <f>SUM(F73:F74)</f>
        <v>0</v>
      </c>
      <c r="G75" s="1001" t="str">
        <f>IF(C75&gt;0,F75/C75,"")</f>
        <v/>
      </c>
      <c r="H75" s="995"/>
      <c r="I75" s="975" t="e">
        <f>SUM(F75/$F$77)</f>
        <v>#DIV/0!</v>
      </c>
      <c r="J75" s="972">
        <v>0</v>
      </c>
      <c r="K75" s="1017"/>
    </row>
    <row r="76" spans="1:13" ht="15" customHeight="1" thickTop="1" thickBot="1">
      <c r="A76" s="23" t="s">
        <v>179</v>
      </c>
      <c r="B76" s="122"/>
      <c r="C76" s="975"/>
      <c r="D76" s="971"/>
      <c r="E76" s="971"/>
      <c r="F76" s="971"/>
      <c r="G76" s="1010"/>
      <c r="H76" s="1011"/>
      <c r="I76" s="1012" t="e">
        <f>SUM(F76/$F$77)</f>
        <v>#DIV/0!</v>
      </c>
      <c r="J76" s="996">
        <v>0</v>
      </c>
      <c r="K76" s="966">
        <f>IFERROR(SUM(J76/F76),0)</f>
        <v>0</v>
      </c>
    </row>
    <row r="77" spans="1:13" ht="15.95" customHeight="1" thickBot="1">
      <c r="A77" s="1022" t="s">
        <v>180</v>
      </c>
      <c r="B77" s="1023"/>
      <c r="C77" s="988">
        <f>C7</f>
        <v>0</v>
      </c>
      <c r="D77" s="971"/>
      <c r="E77" s="971"/>
      <c r="F77" s="994">
        <f>SUM(F75,F76)</f>
        <v>0</v>
      </c>
      <c r="G77" s="1001" t="str">
        <f>IF(C77&gt;0,F77/C77,"")</f>
        <v/>
      </c>
      <c r="H77" s="995"/>
      <c r="I77" s="975" t="e">
        <f>SUM(F77/$F$77)</f>
        <v>#DIV/0!</v>
      </c>
      <c r="J77" s="972">
        <v>0</v>
      </c>
      <c r="K77" s="966">
        <f>IFERROR(SUM(J77/F77),0)</f>
        <v>0</v>
      </c>
    </row>
    <row r="78" spans="1:13">
      <c r="A78" s="26" t="s">
        <v>181</v>
      </c>
      <c r="B78" s="125"/>
      <c r="C78" s="942"/>
      <c r="D78" s="943"/>
      <c r="E78" s="943"/>
      <c r="F78" s="938" t="e">
        <f>SUM(E73/D73)</f>
        <v>#DIV/0!</v>
      </c>
      <c r="G78" s="944"/>
      <c r="H78" s="945"/>
      <c r="I78" s="946"/>
      <c r="J78" s="943"/>
      <c r="K78" s="947"/>
    </row>
    <row r="79" spans="1:13">
      <c r="A79" s="26" t="s">
        <v>182</v>
      </c>
      <c r="B79" s="125"/>
      <c r="C79" s="942"/>
      <c r="D79" s="943"/>
      <c r="E79" s="943"/>
      <c r="F79" s="938" t="e">
        <f>SUM(F74/D73)</f>
        <v>#DIV/0!</v>
      </c>
      <c r="G79" s="944"/>
      <c r="H79" s="945"/>
      <c r="I79" s="946"/>
      <c r="J79" s="943"/>
      <c r="K79" s="947"/>
    </row>
    <row r="80" spans="1:13">
      <c r="A80" s="26" t="s">
        <v>183</v>
      </c>
      <c r="B80" s="125"/>
      <c r="C80" s="942"/>
      <c r="D80" s="943"/>
      <c r="E80" s="943"/>
      <c r="F80" s="938" t="e">
        <f>SUM(F78:F79)</f>
        <v>#DIV/0!</v>
      </c>
      <c r="G80" s="944"/>
      <c r="H80" s="945"/>
      <c r="I80" s="946"/>
      <c r="J80" s="943"/>
      <c r="K80" s="947"/>
    </row>
    <row r="81" spans="1:11">
      <c r="A81" s="939" t="s">
        <v>184</v>
      </c>
      <c r="B81" s="940"/>
      <c r="C81" s="958"/>
      <c r="D81" s="959"/>
      <c r="E81" s="959"/>
      <c r="F81" s="941" t="e">
        <f>SUM(F74/F73)</f>
        <v>#DIV/0!</v>
      </c>
      <c r="G81" s="960"/>
      <c r="H81" s="961"/>
      <c r="I81" s="962"/>
      <c r="J81" s="959"/>
      <c r="K81" s="963"/>
    </row>
    <row r="82" spans="1:11">
      <c r="A82" s="26" t="s">
        <v>185</v>
      </c>
      <c r="B82" s="126"/>
      <c r="C82" s="948"/>
      <c r="D82" s="948"/>
      <c r="E82" s="948"/>
      <c r="F82" s="949"/>
      <c r="G82" s="948"/>
      <c r="H82" s="950"/>
      <c r="I82" s="950"/>
      <c r="J82" s="951" t="e">
        <f>J52/C7</f>
        <v>#DIV/0!</v>
      </c>
      <c r="K82" s="952"/>
    </row>
    <row r="83" spans="1:11">
      <c r="A83" s="26" t="s">
        <v>186</v>
      </c>
      <c r="B83" s="126"/>
      <c r="C83" s="948"/>
      <c r="D83" s="948"/>
      <c r="E83" s="948"/>
      <c r="F83" s="949"/>
      <c r="G83" s="948"/>
      <c r="H83" s="950"/>
      <c r="I83" s="950"/>
      <c r="J83" s="951" t="e">
        <f>(J77-J56)/C7</f>
        <v>#DIV/0!</v>
      </c>
      <c r="K83" s="952"/>
    </row>
    <row r="84" spans="1:11" ht="13.5" thickBot="1">
      <c r="A84" s="27" t="s">
        <v>187</v>
      </c>
      <c r="B84" s="127"/>
      <c r="C84" s="953"/>
      <c r="D84" s="953"/>
      <c r="E84" s="953"/>
      <c r="F84" s="954"/>
      <c r="G84" s="953"/>
      <c r="H84" s="955"/>
      <c r="I84" s="955"/>
      <c r="J84" s="956" t="e">
        <f>J77/C7</f>
        <v>#DIV/0!</v>
      </c>
      <c r="K84" s="957"/>
    </row>
  </sheetData>
  <sheetProtection algorithmName="SHA-512" hashValue="nNCZsuC0RyRaBVeweSiofCX2rkbn+b7b0usITM8EIRT/j/ue3+egHREPAC3zEgJYDidZluG6gYTXPkdDMu9pFA==" saltValue="eWU8bQCkRjfinFGZI9ZPCQ==" spinCount="100000" sheet="1" formatCells="0" formatColumns="0" formatRows="0"/>
  <mergeCells count="9">
    <mergeCell ref="A1:K1"/>
    <mergeCell ref="A77:B77"/>
    <mergeCell ref="A73:B73"/>
    <mergeCell ref="A75:B75"/>
    <mergeCell ref="A6:B6"/>
    <mergeCell ref="A52:B52"/>
    <mergeCell ref="H3:I3"/>
    <mergeCell ref="H4:I4"/>
    <mergeCell ref="H5:I5"/>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9A1E-8C89-5D4E-82C2-4B38064B1554}">
  <sheetPr codeName="Sheet9">
    <tabColor theme="9" tint="0.39997558519241921"/>
  </sheetPr>
  <dimension ref="A1:Y79"/>
  <sheetViews>
    <sheetView workbookViewId="0">
      <selection sqref="A1:G1"/>
    </sheetView>
  </sheetViews>
  <sheetFormatPr defaultColWidth="11.42578125" defaultRowHeight="12.75"/>
  <cols>
    <col min="1" max="1" width="11.42578125" style="235"/>
    <col min="2" max="2" width="47.7109375" style="235" customWidth="1"/>
    <col min="3" max="21" width="11.42578125" style="235"/>
    <col min="22" max="22" width="12.85546875" style="235" bestFit="1" customWidth="1"/>
    <col min="23" max="16384" width="11.42578125" style="235"/>
  </cols>
  <sheetData>
    <row r="1" spans="1:21" s="245" customFormat="1" ht="33" customHeight="1" thickBot="1">
      <c r="A1" s="1041" t="s">
        <v>548</v>
      </c>
      <c r="B1" s="1042"/>
      <c r="C1" s="1042"/>
      <c r="D1" s="1042"/>
      <c r="E1" s="1042"/>
      <c r="F1" s="1042"/>
      <c r="G1" s="1043"/>
      <c r="H1" s="512"/>
      <c r="I1" s="512"/>
      <c r="J1" s="512"/>
      <c r="K1" s="512"/>
      <c r="L1" s="512"/>
      <c r="M1" s="512"/>
      <c r="N1" s="512"/>
      <c r="O1" s="512"/>
      <c r="P1" s="512"/>
      <c r="Q1" s="512"/>
      <c r="R1" s="512"/>
      <c r="S1" s="512"/>
      <c r="T1" s="512"/>
      <c r="U1" s="512"/>
    </row>
    <row r="2" spans="1:21" ht="28.5">
      <c r="A2" s="232" t="s">
        <v>188</v>
      </c>
      <c r="B2" s="28"/>
      <c r="C2" s="233" t="s">
        <v>189</v>
      </c>
    </row>
    <row r="3" spans="1:21" ht="14.25">
      <c r="A3" s="1036" t="s">
        <v>278</v>
      </c>
      <c r="B3" s="1037"/>
      <c r="C3" s="620">
        <f>'Sponsor SCC Main'!F7</f>
        <v>0</v>
      </c>
    </row>
    <row r="4" spans="1:21" ht="14.25">
      <c r="A4" s="1036" t="s">
        <v>277</v>
      </c>
      <c r="B4" s="1037"/>
      <c r="C4" s="620">
        <f>'Sponsor SCC Main'!F21</f>
        <v>0</v>
      </c>
    </row>
    <row r="5" spans="1:21" ht="14.25">
      <c r="A5" s="1036" t="s">
        <v>168</v>
      </c>
      <c r="B5" s="1037"/>
      <c r="C5" s="620">
        <f>'Sponsor SCC Main'!F29</f>
        <v>0</v>
      </c>
    </row>
    <row r="6" spans="1:21" ht="14.25">
      <c r="A6" s="1036" t="s">
        <v>169</v>
      </c>
      <c r="B6" s="1037"/>
      <c r="C6" s="620">
        <f>'Sponsor SCC Main'!F35</f>
        <v>0</v>
      </c>
    </row>
    <row r="7" spans="1:21" ht="14.25">
      <c r="A7" s="1036" t="s">
        <v>170</v>
      </c>
      <c r="B7" s="1037"/>
      <c r="C7" s="620">
        <f>'Sponsor SCC Main'!F44</f>
        <v>0</v>
      </c>
    </row>
    <row r="8" spans="1:21" ht="14.25">
      <c r="A8" s="1036" t="s">
        <v>172</v>
      </c>
      <c r="B8" s="1037"/>
      <c r="C8" s="620">
        <f>'Sponsor SCC Main'!F53</f>
        <v>0</v>
      </c>
    </row>
    <row r="9" spans="1:21" ht="14.25">
      <c r="A9" s="1036" t="s">
        <v>279</v>
      </c>
      <c r="B9" s="1037"/>
      <c r="C9" s="620">
        <f>'Sponsor SCC Main'!F56</f>
        <v>0</v>
      </c>
    </row>
    <row r="10" spans="1:21" ht="14.25">
      <c r="A10" s="1036" t="s">
        <v>280</v>
      </c>
      <c r="B10" s="1037"/>
      <c r="C10" s="620">
        <f>'Sponsor SCC Main'!F64</f>
        <v>0</v>
      </c>
    </row>
    <row r="11" spans="1:21" ht="14.25">
      <c r="A11" s="1036" t="s">
        <v>177</v>
      </c>
      <c r="B11" s="1037"/>
      <c r="C11" s="620">
        <f>'Sponsor SCC Main'!F74</f>
        <v>0</v>
      </c>
    </row>
    <row r="12" spans="1:21" ht="14.25">
      <c r="A12" s="31" t="s">
        <v>179</v>
      </c>
      <c r="B12" s="30"/>
      <c r="C12" s="620">
        <f>'Sponsor SCC Main'!F76</f>
        <v>0</v>
      </c>
    </row>
    <row r="13" spans="1:21" ht="15.75" thickBot="1">
      <c r="A13" s="1034" t="s">
        <v>180</v>
      </c>
      <c r="B13" s="1035"/>
      <c r="C13" s="525">
        <f>SUM(C3:C12)</f>
        <v>0</v>
      </c>
    </row>
    <row r="14" spans="1:21" ht="13.5" thickBot="1">
      <c r="A14" s="242"/>
      <c r="B14" s="242"/>
      <c r="C14" s="242"/>
    </row>
    <row r="15" spans="1:21" ht="28.5">
      <c r="A15" s="228" t="s">
        <v>190</v>
      </c>
      <c r="B15" s="229"/>
      <c r="C15" s="231" t="s">
        <v>70</v>
      </c>
    </row>
    <row r="16" spans="1:21" ht="14.25">
      <c r="A16" s="1036" t="s">
        <v>278</v>
      </c>
      <c r="B16" s="1037"/>
      <c r="C16" s="620">
        <f>'Sponsor SCC Main'!J7</f>
        <v>0</v>
      </c>
    </row>
    <row r="17" spans="1:3" ht="14.25">
      <c r="A17" s="1036" t="s">
        <v>277</v>
      </c>
      <c r="B17" s="1037"/>
      <c r="C17" s="620">
        <f>'Sponsor SCC Main'!J21</f>
        <v>0</v>
      </c>
    </row>
    <row r="18" spans="1:3" ht="14.25">
      <c r="A18" s="1036" t="s">
        <v>168</v>
      </c>
      <c r="B18" s="1037"/>
      <c r="C18" s="620">
        <f>'Sponsor SCC Main'!J29</f>
        <v>0</v>
      </c>
    </row>
    <row r="19" spans="1:3" ht="14.25">
      <c r="A19" s="1036" t="s">
        <v>169</v>
      </c>
      <c r="B19" s="1037"/>
      <c r="C19" s="620">
        <f>'Sponsor SCC Main'!J35</f>
        <v>0</v>
      </c>
    </row>
    <row r="20" spans="1:3" ht="14.25">
      <c r="A20" s="1036" t="s">
        <v>170</v>
      </c>
      <c r="B20" s="1037"/>
      <c r="C20" s="620">
        <f>'Sponsor SCC Main'!J44</f>
        <v>0</v>
      </c>
    </row>
    <row r="21" spans="1:3" ht="14.25">
      <c r="A21" s="1036" t="s">
        <v>172</v>
      </c>
      <c r="B21" s="1037"/>
      <c r="C21" s="620">
        <f>'Sponsor SCC Main'!J53</f>
        <v>0</v>
      </c>
    </row>
    <row r="22" spans="1:3" ht="14.25">
      <c r="A22" s="1036" t="s">
        <v>279</v>
      </c>
      <c r="B22" s="1037"/>
      <c r="C22" s="620">
        <f>'Sponsor SCC Main'!J56</f>
        <v>0</v>
      </c>
    </row>
    <row r="23" spans="1:3" ht="14.25">
      <c r="A23" s="1036" t="s">
        <v>280</v>
      </c>
      <c r="B23" s="1037"/>
      <c r="C23" s="620">
        <f>'Sponsor SCC Main'!J64</f>
        <v>0</v>
      </c>
    </row>
    <row r="24" spans="1:3" ht="14.25">
      <c r="A24" s="1036" t="s">
        <v>177</v>
      </c>
      <c r="B24" s="1037"/>
      <c r="C24" s="620">
        <f>'Sponsor SCC Main'!J74</f>
        <v>0</v>
      </c>
    </row>
    <row r="25" spans="1:3" ht="14.25">
      <c r="A25" s="31" t="s">
        <v>179</v>
      </c>
      <c r="B25" s="30"/>
      <c r="C25" s="620">
        <f>'Sponsor SCC Main'!J76</f>
        <v>0</v>
      </c>
    </row>
    <row r="26" spans="1:3" ht="15.75" thickBot="1">
      <c r="A26" s="1034" t="s">
        <v>180</v>
      </c>
      <c r="B26" s="1035"/>
      <c r="C26" s="230">
        <f>SUM(C16:C25)</f>
        <v>0</v>
      </c>
    </row>
    <row r="27" spans="1:3" ht="13.5" thickBot="1">
      <c r="A27" s="242"/>
      <c r="B27" s="242"/>
      <c r="C27" s="242"/>
    </row>
    <row r="28" spans="1:3" ht="14.1" customHeight="1" thickBot="1">
      <c r="A28" s="1038" t="s">
        <v>191</v>
      </c>
      <c r="B28" s="1039"/>
      <c r="C28" s="1040"/>
    </row>
    <row r="29" spans="1:3" ht="15">
      <c r="A29" s="1036" t="s">
        <v>278</v>
      </c>
      <c r="B29" s="1037"/>
      <c r="C29" s="247">
        <f t="shared" ref="C29:C39" si="0">IF(C16,(C16)/C3,0)</f>
        <v>0</v>
      </c>
    </row>
    <row r="30" spans="1:3" ht="15">
      <c r="A30" s="1036" t="s">
        <v>277</v>
      </c>
      <c r="B30" s="1037"/>
      <c r="C30" s="248">
        <f t="shared" si="0"/>
        <v>0</v>
      </c>
    </row>
    <row r="31" spans="1:3" ht="15">
      <c r="A31" s="1036" t="s">
        <v>168</v>
      </c>
      <c r="B31" s="1037"/>
      <c r="C31" s="248">
        <f t="shared" si="0"/>
        <v>0</v>
      </c>
    </row>
    <row r="32" spans="1:3" ht="15">
      <c r="A32" s="1036" t="s">
        <v>169</v>
      </c>
      <c r="B32" s="1037"/>
      <c r="C32" s="248">
        <f t="shared" si="0"/>
        <v>0</v>
      </c>
    </row>
    <row r="33" spans="1:3" ht="15">
      <c r="A33" s="1036" t="s">
        <v>170</v>
      </c>
      <c r="B33" s="1037"/>
      <c r="C33" s="248">
        <f t="shared" si="0"/>
        <v>0</v>
      </c>
    </row>
    <row r="34" spans="1:3" ht="15">
      <c r="A34" s="1036" t="s">
        <v>172</v>
      </c>
      <c r="B34" s="1037"/>
      <c r="C34" s="248">
        <f t="shared" si="0"/>
        <v>0</v>
      </c>
    </row>
    <row r="35" spans="1:3" ht="15">
      <c r="A35" s="1036" t="s">
        <v>279</v>
      </c>
      <c r="B35" s="1037"/>
      <c r="C35" s="248">
        <f t="shared" si="0"/>
        <v>0</v>
      </c>
    </row>
    <row r="36" spans="1:3" ht="15">
      <c r="A36" s="1036" t="s">
        <v>280</v>
      </c>
      <c r="B36" s="1037"/>
      <c r="C36" s="248">
        <f t="shared" si="0"/>
        <v>0</v>
      </c>
    </row>
    <row r="37" spans="1:3" ht="15">
      <c r="A37" s="1036" t="s">
        <v>177</v>
      </c>
      <c r="B37" s="1037"/>
      <c r="C37" s="248">
        <f t="shared" si="0"/>
        <v>0</v>
      </c>
    </row>
    <row r="38" spans="1:3" ht="15">
      <c r="A38" s="31" t="s">
        <v>179</v>
      </c>
      <c r="B38" s="30"/>
      <c r="C38" s="248">
        <f t="shared" si="0"/>
        <v>0</v>
      </c>
    </row>
    <row r="39" spans="1:3" ht="15.75" thickBot="1">
      <c r="A39" s="1034" t="s">
        <v>180</v>
      </c>
      <c r="B39" s="1035"/>
      <c r="C39" s="249">
        <f t="shared" si="0"/>
        <v>0</v>
      </c>
    </row>
    <row r="64" spans="25:25">
      <c r="Y64" s="241"/>
    </row>
    <row r="71" spans="1:5" ht="12.95" customHeight="1"/>
    <row r="73" spans="1:5" ht="12.95" customHeight="1"/>
    <row r="74" spans="1:5" ht="12.95" customHeight="1"/>
    <row r="75" spans="1:5" ht="12.95" customHeight="1">
      <c r="A75" s="246"/>
      <c r="B75" s="246"/>
      <c r="C75" s="246"/>
      <c r="D75" s="246"/>
      <c r="E75" s="246"/>
    </row>
    <row r="76" spans="1:5" ht="12.95" customHeight="1">
      <c r="A76" s="246"/>
      <c r="B76" s="246"/>
      <c r="C76" s="246"/>
      <c r="D76" s="246"/>
      <c r="E76" s="246"/>
    </row>
    <row r="77" spans="1:5" ht="12.95" customHeight="1">
      <c r="A77" s="246"/>
      <c r="B77" s="246"/>
      <c r="C77" s="246"/>
      <c r="D77" s="246"/>
      <c r="E77" s="246"/>
    </row>
    <row r="78" spans="1:5" ht="12.95" customHeight="1">
      <c r="A78" s="246"/>
      <c r="B78" s="246"/>
      <c r="C78" s="246"/>
      <c r="D78" s="246"/>
      <c r="E78" s="246"/>
    </row>
    <row r="79" spans="1:5">
      <c r="A79" s="246"/>
      <c r="B79" s="246"/>
      <c r="C79" s="246"/>
      <c r="D79" s="246"/>
      <c r="E79" s="246"/>
    </row>
  </sheetData>
  <sheetProtection algorithmName="SHA-512" hashValue="fnFNsT1wODvdEH3joPHnbDAv0JdydI0oAtVBtyWW3P6mql11LYNznkYfX2rQGzTcH5GzOsM0m45LgROuJ/9/9Q==" saltValue="2BMrMHh79Z3UiJMinfdIQg==" spinCount="100000" sheet="1" formatCells="0" formatColumns="0" formatRows="0"/>
  <mergeCells count="32">
    <mergeCell ref="A24:B24"/>
    <mergeCell ref="A19:B19"/>
    <mergeCell ref="A20:B20"/>
    <mergeCell ref="A21:B21"/>
    <mergeCell ref="A22:B22"/>
    <mergeCell ref="A23:B23"/>
    <mergeCell ref="A3:B3"/>
    <mergeCell ref="A4:B4"/>
    <mergeCell ref="A5:B5"/>
    <mergeCell ref="A6:B6"/>
    <mergeCell ref="A1:G1"/>
    <mergeCell ref="A7:B7"/>
    <mergeCell ref="A8:B8"/>
    <mergeCell ref="A9:B9"/>
    <mergeCell ref="A10:B10"/>
    <mergeCell ref="A11:B11"/>
    <mergeCell ref="A13:B13"/>
    <mergeCell ref="A39:B39"/>
    <mergeCell ref="A29:B29"/>
    <mergeCell ref="A30:B30"/>
    <mergeCell ref="A31:B31"/>
    <mergeCell ref="A32:B32"/>
    <mergeCell ref="A33:B33"/>
    <mergeCell ref="A28:C28"/>
    <mergeCell ref="A34:B34"/>
    <mergeCell ref="A35:B35"/>
    <mergeCell ref="A36:B36"/>
    <mergeCell ref="A37:B37"/>
    <mergeCell ref="A26:B26"/>
    <mergeCell ref="A16:B16"/>
    <mergeCell ref="A17:B17"/>
    <mergeCell ref="A18:B1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82644-136B-3440-AC8B-73802FB28C51}">
  <sheetPr codeName="Sheet11">
    <tabColor theme="6" tint="-0.249977111117893"/>
  </sheetPr>
  <dimension ref="B2:K58"/>
  <sheetViews>
    <sheetView zoomScale="70" zoomScaleNormal="70" workbookViewId="0">
      <selection activeCell="U1" sqref="U1"/>
    </sheetView>
  </sheetViews>
  <sheetFormatPr defaultColWidth="11.42578125" defaultRowHeight="12.75"/>
  <cols>
    <col min="1" max="1" width="3.42578125" style="235" customWidth="1"/>
    <col min="2" max="16384" width="11.42578125" style="235"/>
  </cols>
  <sheetData>
    <row r="2" spans="2:11">
      <c r="B2" s="242"/>
      <c r="C2" s="242"/>
      <c r="D2" s="242"/>
      <c r="E2" s="242"/>
      <c r="F2" s="242"/>
      <c r="G2" s="242"/>
      <c r="H2" s="242"/>
      <c r="I2" s="242"/>
      <c r="J2" s="242"/>
      <c r="K2" s="242"/>
    </row>
    <row r="3" spans="2:11">
      <c r="B3" s="242"/>
      <c r="C3" s="242"/>
      <c r="D3" s="242"/>
      <c r="E3" s="242"/>
      <c r="F3" s="242"/>
      <c r="G3" s="242"/>
      <c r="H3" s="242"/>
      <c r="I3" s="242"/>
      <c r="J3" s="242"/>
      <c r="K3" s="242"/>
    </row>
    <row r="4" spans="2:11">
      <c r="B4" s="242"/>
      <c r="C4" s="242"/>
      <c r="D4" s="242"/>
      <c r="E4" s="242"/>
      <c r="F4" s="242"/>
      <c r="G4" s="242"/>
      <c r="H4" s="242"/>
      <c r="I4" s="242"/>
      <c r="J4" s="242"/>
      <c r="K4" s="242"/>
    </row>
    <row r="5" spans="2:11">
      <c r="B5" s="242"/>
      <c r="C5" s="242"/>
      <c r="D5" s="242"/>
      <c r="E5" s="242"/>
      <c r="F5" s="242"/>
      <c r="G5" s="242"/>
      <c r="H5" s="242"/>
      <c r="I5" s="242"/>
      <c r="J5" s="242"/>
      <c r="K5" s="242"/>
    </row>
    <row r="6" spans="2:11">
      <c r="B6" s="242"/>
      <c r="C6" s="242"/>
      <c r="D6" s="242"/>
      <c r="E6" s="242"/>
      <c r="F6" s="242"/>
      <c r="G6" s="242"/>
      <c r="H6" s="242"/>
      <c r="I6" s="242"/>
      <c r="J6" s="242"/>
      <c r="K6" s="242"/>
    </row>
    <row r="7" spans="2:11">
      <c r="B7" s="242"/>
      <c r="C7" s="242"/>
      <c r="D7" s="242"/>
      <c r="E7" s="242"/>
      <c r="F7" s="242"/>
      <c r="G7" s="242"/>
      <c r="H7" s="242"/>
      <c r="I7" s="242"/>
      <c r="J7" s="242"/>
      <c r="K7" s="242"/>
    </row>
    <row r="8" spans="2:11">
      <c r="B8" s="242"/>
      <c r="C8" s="242"/>
      <c r="D8" s="242"/>
      <c r="E8" s="242"/>
      <c r="F8" s="242"/>
      <c r="G8" s="242"/>
      <c r="H8" s="242"/>
      <c r="I8" s="242"/>
      <c r="J8" s="242"/>
      <c r="K8" s="242"/>
    </row>
    <row r="9" spans="2:11">
      <c r="B9" s="242"/>
      <c r="C9" s="242"/>
      <c r="D9" s="242"/>
      <c r="E9" s="242"/>
      <c r="F9" s="242"/>
      <c r="G9" s="242"/>
      <c r="H9" s="242"/>
      <c r="I9" s="242"/>
      <c r="J9" s="242"/>
      <c r="K9" s="242"/>
    </row>
    <row r="10" spans="2:11">
      <c r="B10" s="242"/>
      <c r="C10" s="242"/>
      <c r="D10" s="242"/>
      <c r="E10" s="242"/>
      <c r="F10" s="242"/>
      <c r="G10" s="242"/>
      <c r="H10" s="242"/>
      <c r="I10" s="242"/>
      <c r="J10" s="242"/>
      <c r="K10" s="242"/>
    </row>
    <row r="11" spans="2:11">
      <c r="B11" s="242"/>
      <c r="C11" s="242"/>
      <c r="D11" s="242"/>
      <c r="E11" s="242"/>
      <c r="F11" s="242"/>
      <c r="G11" s="242"/>
      <c r="H11" s="242"/>
      <c r="I11" s="242"/>
      <c r="J11" s="242"/>
      <c r="K11" s="242"/>
    </row>
    <row r="12" spans="2:11">
      <c r="B12" s="242"/>
      <c r="C12" s="242"/>
      <c r="D12" s="242"/>
      <c r="E12" s="242"/>
      <c r="F12" s="242"/>
      <c r="G12" s="242"/>
      <c r="H12" s="242"/>
      <c r="I12" s="242"/>
      <c r="J12" s="242"/>
      <c r="K12" s="242"/>
    </row>
    <row r="13" spans="2:11">
      <c r="B13" s="242"/>
      <c r="C13" s="242"/>
      <c r="D13" s="242"/>
      <c r="E13" s="242"/>
      <c r="F13" s="242"/>
      <c r="G13" s="242"/>
      <c r="H13" s="242"/>
      <c r="I13" s="242"/>
      <c r="J13" s="242"/>
      <c r="K13" s="242"/>
    </row>
    <row r="14" spans="2:11">
      <c r="B14" s="242"/>
      <c r="C14" s="242"/>
      <c r="D14" s="242"/>
      <c r="E14" s="242"/>
      <c r="F14" s="242"/>
      <c r="G14" s="242"/>
      <c r="H14" s="242"/>
      <c r="I14" s="242"/>
      <c r="J14" s="242"/>
      <c r="K14" s="242"/>
    </row>
    <row r="15" spans="2:11">
      <c r="B15" s="242"/>
      <c r="C15" s="242"/>
      <c r="D15" s="242"/>
      <c r="E15" s="242"/>
      <c r="F15" s="242"/>
      <c r="G15" s="242"/>
      <c r="H15" s="242"/>
      <c r="I15" s="242"/>
      <c r="J15" s="242"/>
      <c r="K15" s="242"/>
    </row>
    <row r="16" spans="2:11">
      <c r="B16" s="242"/>
      <c r="C16" s="242"/>
      <c r="D16" s="242"/>
      <c r="E16" s="242"/>
      <c r="F16" s="242"/>
      <c r="G16" s="242"/>
      <c r="H16" s="242"/>
      <c r="I16" s="242"/>
      <c r="J16" s="242"/>
      <c r="K16" s="242"/>
    </row>
    <row r="17" spans="2:11">
      <c r="B17" s="242"/>
      <c r="C17" s="242"/>
      <c r="D17" s="242"/>
      <c r="E17" s="242"/>
      <c r="F17" s="242"/>
      <c r="G17" s="242"/>
      <c r="H17" s="242"/>
      <c r="I17" s="242"/>
      <c r="J17" s="242"/>
      <c r="K17" s="242"/>
    </row>
    <row r="18" spans="2:11">
      <c r="B18" s="242"/>
      <c r="C18" s="242"/>
      <c r="D18" s="242"/>
      <c r="E18" s="242"/>
      <c r="F18" s="242"/>
      <c r="G18" s="242"/>
      <c r="H18" s="242"/>
      <c r="I18" s="242"/>
      <c r="J18" s="242"/>
      <c r="K18" s="242"/>
    </row>
    <row r="19" spans="2:11">
      <c r="B19" s="242"/>
      <c r="C19" s="242"/>
      <c r="D19" s="242"/>
      <c r="E19" s="242"/>
      <c r="F19" s="242"/>
      <c r="G19" s="242"/>
      <c r="H19" s="242"/>
      <c r="I19" s="242"/>
      <c r="J19" s="242"/>
      <c r="K19" s="242"/>
    </row>
    <row r="20" spans="2:11">
      <c r="B20" s="242"/>
      <c r="C20" s="242"/>
      <c r="D20" s="242"/>
      <c r="E20" s="242"/>
      <c r="F20" s="242"/>
      <c r="G20" s="242"/>
      <c r="H20" s="242"/>
      <c r="I20" s="242"/>
      <c r="J20" s="242"/>
      <c r="K20" s="242"/>
    </row>
    <row r="21" spans="2:11">
      <c r="B21" s="242"/>
      <c r="C21" s="242"/>
      <c r="D21" s="242"/>
      <c r="E21" s="242"/>
      <c r="F21" s="242"/>
      <c r="G21" s="242"/>
      <c r="H21" s="242"/>
      <c r="I21" s="242"/>
      <c r="J21" s="242"/>
      <c r="K21" s="242"/>
    </row>
    <row r="22" spans="2:11">
      <c r="B22" s="242"/>
      <c r="C22" s="242"/>
      <c r="D22" s="242"/>
      <c r="E22" s="242"/>
      <c r="F22" s="242"/>
      <c r="G22" s="242"/>
      <c r="H22" s="242"/>
      <c r="I22" s="242"/>
      <c r="J22" s="242"/>
      <c r="K22" s="242"/>
    </row>
    <row r="23" spans="2:11">
      <c r="B23" s="242"/>
      <c r="C23" s="242"/>
      <c r="D23" s="242"/>
      <c r="E23" s="242"/>
      <c r="F23" s="242"/>
      <c r="G23" s="242"/>
      <c r="H23" s="242"/>
      <c r="I23" s="242"/>
      <c r="J23" s="242"/>
      <c r="K23" s="242"/>
    </row>
    <row r="24" spans="2:11">
      <c r="B24" s="242"/>
      <c r="C24" s="242"/>
      <c r="D24" s="242"/>
      <c r="E24" s="242"/>
      <c r="F24" s="242"/>
      <c r="G24" s="242"/>
      <c r="H24" s="242"/>
      <c r="I24" s="242"/>
      <c r="J24" s="242"/>
      <c r="K24" s="242"/>
    </row>
    <row r="25" spans="2:11">
      <c r="B25" s="242"/>
      <c r="C25" s="242"/>
      <c r="D25" s="242"/>
      <c r="E25" s="242"/>
      <c r="F25" s="242"/>
      <c r="G25" s="242"/>
      <c r="H25" s="242"/>
      <c r="I25" s="242"/>
      <c r="J25" s="242"/>
      <c r="K25" s="242"/>
    </row>
    <row r="26" spans="2:11">
      <c r="B26" s="242"/>
      <c r="C26" s="242"/>
      <c r="D26" s="242"/>
      <c r="E26" s="242"/>
      <c r="F26" s="242"/>
      <c r="G26" s="242"/>
      <c r="H26" s="242"/>
      <c r="I26" s="242"/>
      <c r="J26" s="242"/>
      <c r="K26" s="242"/>
    </row>
    <row r="27" spans="2:11">
      <c r="B27" s="242"/>
      <c r="C27" s="242"/>
      <c r="D27" s="242"/>
      <c r="E27" s="242"/>
      <c r="F27" s="242"/>
      <c r="G27" s="242"/>
      <c r="H27" s="242"/>
      <c r="I27" s="242"/>
      <c r="J27" s="242"/>
      <c r="K27" s="242"/>
    </row>
    <row r="28" spans="2:11">
      <c r="B28" s="242"/>
      <c r="C28" s="242"/>
      <c r="D28" s="242"/>
      <c r="E28" s="242"/>
      <c r="F28" s="242"/>
      <c r="G28" s="242"/>
      <c r="H28" s="242"/>
      <c r="I28" s="242"/>
      <c r="J28" s="242"/>
      <c r="K28" s="242"/>
    </row>
    <row r="29" spans="2:11">
      <c r="B29" s="242"/>
      <c r="C29" s="242"/>
      <c r="D29" s="242"/>
      <c r="E29" s="242"/>
      <c r="F29" s="242"/>
      <c r="G29" s="242"/>
      <c r="H29" s="242"/>
      <c r="I29" s="242"/>
      <c r="J29" s="242"/>
      <c r="K29" s="242"/>
    </row>
    <row r="30" spans="2:11">
      <c r="B30" s="242"/>
      <c r="C30" s="242"/>
      <c r="D30" s="242"/>
      <c r="E30" s="242"/>
      <c r="F30" s="242"/>
      <c r="G30" s="242"/>
      <c r="H30" s="242"/>
      <c r="I30" s="242"/>
      <c r="J30" s="242"/>
      <c r="K30" s="242"/>
    </row>
    <row r="31" spans="2:11">
      <c r="B31" s="242"/>
      <c r="C31" s="242"/>
      <c r="D31" s="242"/>
      <c r="E31" s="242"/>
      <c r="F31" s="242"/>
      <c r="G31" s="242"/>
      <c r="H31" s="242"/>
      <c r="I31" s="242"/>
      <c r="J31" s="242"/>
      <c r="K31" s="242"/>
    </row>
    <row r="32" spans="2:11">
      <c r="B32" s="242"/>
      <c r="C32" s="242"/>
      <c r="D32" s="242"/>
      <c r="E32" s="242"/>
      <c r="F32" s="242"/>
      <c r="G32" s="242"/>
      <c r="H32" s="242"/>
      <c r="I32" s="242"/>
      <c r="J32" s="242"/>
      <c r="K32" s="242"/>
    </row>
    <row r="33" spans="2:11">
      <c r="B33" s="242"/>
      <c r="C33" s="242"/>
      <c r="D33" s="242"/>
      <c r="E33" s="242"/>
      <c r="F33" s="242"/>
      <c r="G33" s="242"/>
      <c r="H33" s="242"/>
      <c r="I33" s="242"/>
      <c r="J33" s="242"/>
      <c r="K33" s="242"/>
    </row>
    <row r="34" spans="2:11">
      <c r="B34" s="242"/>
      <c r="C34" s="242"/>
      <c r="D34" s="242"/>
      <c r="E34" s="242"/>
      <c r="F34" s="242"/>
      <c r="G34" s="242"/>
      <c r="H34" s="242"/>
      <c r="I34" s="242"/>
      <c r="J34" s="242"/>
      <c r="K34" s="242"/>
    </row>
    <row r="35" spans="2:11">
      <c r="B35" s="242"/>
      <c r="C35" s="242"/>
      <c r="D35" s="242"/>
      <c r="E35" s="242"/>
      <c r="F35" s="242"/>
      <c r="G35" s="242"/>
      <c r="H35" s="242"/>
      <c r="I35" s="242"/>
      <c r="J35" s="242"/>
      <c r="K35" s="242"/>
    </row>
    <row r="36" spans="2:11">
      <c r="B36" s="242"/>
      <c r="C36" s="242"/>
      <c r="D36" s="242"/>
      <c r="E36" s="242"/>
      <c r="F36" s="242"/>
      <c r="G36" s="242"/>
      <c r="H36" s="242"/>
      <c r="I36" s="242"/>
      <c r="J36" s="242"/>
      <c r="K36" s="242"/>
    </row>
    <row r="37" spans="2:11">
      <c r="B37" s="242"/>
      <c r="C37" s="242"/>
      <c r="D37" s="242"/>
      <c r="E37" s="242"/>
      <c r="F37" s="242"/>
      <c r="G37" s="242"/>
      <c r="H37" s="242"/>
      <c r="I37" s="242"/>
      <c r="J37" s="242"/>
      <c r="K37" s="242"/>
    </row>
    <row r="38" spans="2:11">
      <c r="B38" s="242"/>
      <c r="C38" s="242"/>
      <c r="D38" s="242"/>
      <c r="E38" s="242"/>
      <c r="F38" s="242"/>
      <c r="G38" s="242"/>
      <c r="H38" s="242"/>
      <c r="I38" s="242"/>
      <c r="J38" s="242"/>
      <c r="K38" s="242"/>
    </row>
    <row r="39" spans="2:11">
      <c r="B39" s="242"/>
      <c r="C39" s="242"/>
      <c r="D39" s="242"/>
      <c r="E39" s="242"/>
      <c r="F39" s="242"/>
      <c r="G39" s="242"/>
      <c r="H39" s="242"/>
      <c r="I39" s="242"/>
      <c r="J39" s="242"/>
      <c r="K39" s="242"/>
    </row>
    <row r="40" spans="2:11">
      <c r="B40" s="242"/>
      <c r="C40" s="242"/>
      <c r="D40" s="242"/>
      <c r="E40" s="242"/>
      <c r="F40" s="242"/>
      <c r="G40" s="242"/>
      <c r="H40" s="242"/>
      <c r="I40" s="242"/>
      <c r="J40" s="242"/>
      <c r="K40" s="242"/>
    </row>
    <row r="41" spans="2:11">
      <c r="B41" s="242"/>
      <c r="C41" s="242"/>
      <c r="D41" s="242"/>
      <c r="E41" s="242"/>
      <c r="F41" s="242"/>
      <c r="G41" s="242"/>
      <c r="H41" s="242"/>
      <c r="I41" s="242"/>
      <c r="J41" s="242"/>
      <c r="K41" s="242"/>
    </row>
    <row r="42" spans="2:11">
      <c r="B42" s="242"/>
      <c r="C42" s="242"/>
      <c r="D42" s="242"/>
      <c r="E42" s="242"/>
      <c r="F42" s="242"/>
      <c r="G42" s="242"/>
      <c r="H42" s="242"/>
      <c r="I42" s="242"/>
      <c r="J42" s="242"/>
      <c r="K42" s="242"/>
    </row>
    <row r="43" spans="2:11">
      <c r="B43" s="242"/>
      <c r="C43" s="242"/>
      <c r="D43" s="242"/>
      <c r="E43" s="242"/>
      <c r="F43" s="242"/>
      <c r="G43" s="242"/>
      <c r="H43" s="242"/>
      <c r="I43" s="242"/>
      <c r="J43" s="242"/>
      <c r="K43" s="242"/>
    </row>
    <row r="44" spans="2:11">
      <c r="B44" s="242"/>
      <c r="C44" s="242"/>
      <c r="D44" s="242"/>
      <c r="E44" s="242"/>
      <c r="F44" s="242"/>
      <c r="G44" s="242"/>
      <c r="H44" s="242"/>
      <c r="I44" s="242"/>
      <c r="J44" s="242"/>
      <c r="K44" s="242"/>
    </row>
    <row r="45" spans="2:11">
      <c r="B45" s="242"/>
      <c r="C45" s="242"/>
      <c r="D45" s="242"/>
      <c r="E45" s="242"/>
      <c r="F45" s="242"/>
      <c r="G45" s="242"/>
      <c r="H45" s="242"/>
      <c r="I45" s="242"/>
      <c r="J45" s="242"/>
      <c r="K45" s="242"/>
    </row>
    <row r="46" spans="2:11">
      <c r="B46" s="242"/>
      <c r="C46" s="242"/>
      <c r="D46" s="242"/>
      <c r="E46" s="242"/>
      <c r="F46" s="242"/>
      <c r="G46" s="242"/>
      <c r="H46" s="242"/>
      <c r="I46" s="242"/>
      <c r="J46" s="242"/>
      <c r="K46" s="242"/>
    </row>
    <row r="47" spans="2:11">
      <c r="B47" s="242"/>
      <c r="C47" s="242"/>
      <c r="D47" s="242"/>
      <c r="E47" s="242"/>
      <c r="F47" s="242"/>
      <c r="G47" s="242"/>
      <c r="H47" s="242"/>
      <c r="I47" s="242"/>
      <c r="J47" s="242"/>
      <c r="K47" s="242"/>
    </row>
    <row r="48" spans="2:11">
      <c r="B48" s="242"/>
      <c r="C48" s="242"/>
      <c r="D48" s="242"/>
      <c r="E48" s="242"/>
      <c r="F48" s="242"/>
      <c r="G48" s="242"/>
      <c r="H48" s="242"/>
      <c r="I48" s="242"/>
      <c r="J48" s="242"/>
      <c r="K48" s="242"/>
    </row>
    <row r="49" spans="2:11">
      <c r="B49" s="242"/>
      <c r="C49" s="242"/>
      <c r="D49" s="242"/>
      <c r="E49" s="242"/>
      <c r="F49" s="242"/>
      <c r="G49" s="242"/>
      <c r="H49" s="242"/>
      <c r="I49" s="242"/>
      <c r="J49" s="242"/>
      <c r="K49" s="242"/>
    </row>
    <row r="50" spans="2:11">
      <c r="B50" s="242"/>
      <c r="C50" s="242"/>
      <c r="D50" s="242"/>
      <c r="E50" s="242"/>
      <c r="F50" s="242"/>
      <c r="G50" s="242"/>
      <c r="H50" s="242"/>
      <c r="I50" s="242"/>
      <c r="J50" s="242"/>
      <c r="K50" s="242"/>
    </row>
    <row r="51" spans="2:11">
      <c r="B51" s="242"/>
      <c r="C51" s="242"/>
      <c r="D51" s="242"/>
      <c r="E51" s="242"/>
      <c r="F51" s="242"/>
      <c r="G51" s="242"/>
      <c r="H51" s="242"/>
      <c r="I51" s="242"/>
      <c r="J51" s="242"/>
      <c r="K51" s="242"/>
    </row>
    <row r="52" spans="2:11">
      <c r="B52" s="242"/>
      <c r="C52" s="242"/>
      <c r="D52" s="242"/>
      <c r="E52" s="242"/>
      <c r="F52" s="242"/>
      <c r="G52" s="242"/>
      <c r="H52" s="242"/>
      <c r="I52" s="242"/>
      <c r="J52" s="242"/>
      <c r="K52" s="242"/>
    </row>
    <row r="53" spans="2:11">
      <c r="B53" s="242"/>
      <c r="C53" s="242"/>
      <c r="D53" s="242"/>
      <c r="E53" s="242"/>
      <c r="F53" s="242"/>
      <c r="G53" s="242"/>
      <c r="H53" s="242"/>
      <c r="I53" s="242"/>
      <c r="J53" s="242"/>
      <c r="K53" s="242"/>
    </row>
    <row r="54" spans="2:11">
      <c r="B54" s="242"/>
      <c r="C54" s="242"/>
      <c r="D54" s="242"/>
      <c r="E54" s="242"/>
      <c r="F54" s="242"/>
      <c r="G54" s="242"/>
      <c r="H54" s="242"/>
      <c r="I54" s="242"/>
      <c r="J54" s="242"/>
      <c r="K54" s="242"/>
    </row>
    <row r="55" spans="2:11">
      <c r="B55" s="242"/>
      <c r="C55" s="242"/>
      <c r="D55" s="242"/>
      <c r="E55" s="242"/>
      <c r="F55" s="242"/>
      <c r="G55" s="242"/>
      <c r="H55" s="242"/>
      <c r="I55" s="242"/>
      <c r="J55" s="242"/>
      <c r="K55" s="242"/>
    </row>
    <row r="56" spans="2:11">
      <c r="B56" s="242"/>
      <c r="C56" s="242"/>
      <c r="D56" s="242"/>
      <c r="E56" s="242"/>
      <c r="F56" s="242"/>
      <c r="G56" s="242"/>
      <c r="H56" s="242"/>
      <c r="I56" s="242"/>
      <c r="J56" s="242"/>
      <c r="K56" s="242"/>
    </row>
    <row r="57" spans="2:11">
      <c r="B57" s="242"/>
      <c r="C57" s="242"/>
      <c r="D57" s="242"/>
      <c r="E57" s="242"/>
      <c r="F57" s="242"/>
      <c r="G57" s="242"/>
      <c r="H57" s="242"/>
      <c r="I57" s="242"/>
      <c r="J57" s="242"/>
      <c r="K57" s="242"/>
    </row>
    <row r="58" spans="2:11">
      <c r="B58" s="242"/>
      <c r="C58" s="242"/>
      <c r="D58" s="242"/>
      <c r="E58" s="242"/>
      <c r="F58" s="242"/>
      <c r="G58" s="242"/>
      <c r="H58" s="242"/>
      <c r="I58" s="242"/>
      <c r="J58" s="242"/>
      <c r="K58" s="242"/>
    </row>
  </sheetData>
  <sheetProtection algorithmName="SHA-512" hashValue="lXYMVea83KmFr0zxgGKSbapnV13NzpLcKAwL60Ah8ZBmuq/QnqW1Ipt4JvfsutrSed47akuDzGu/rsU/5OiJ8g==" saltValue="M4PVQU94oUwTkcM9Sl70sA==" spinCount="100000" sheet="1" objects="1" scenarios="1" formatCells="0" formatColumns="0" formatRows="0"/>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DDED-6B4F-6848-9D80-41FB92C33F3F}">
  <sheetPr codeName="Sheet12">
    <tabColor theme="6" tint="-0.249977111117893"/>
  </sheetPr>
  <dimension ref="A1:M73"/>
  <sheetViews>
    <sheetView zoomScale="85" zoomScaleNormal="85" workbookViewId="0">
      <selection activeCell="A2" sqref="A2:C2"/>
    </sheetView>
  </sheetViews>
  <sheetFormatPr defaultColWidth="11.42578125" defaultRowHeight="12.75"/>
  <cols>
    <col min="1" max="2" width="11.42578125" style="235"/>
    <col min="3" max="3" width="23.42578125" style="235" customWidth="1"/>
    <col min="4" max="16384" width="11.42578125" style="235"/>
  </cols>
  <sheetData>
    <row r="1" spans="1:13">
      <c r="A1" s="1047" t="s">
        <v>271</v>
      </c>
      <c r="B1" s="1048"/>
      <c r="C1" s="1049"/>
      <c r="D1" s="242"/>
      <c r="E1" s="242"/>
      <c r="F1" s="242"/>
      <c r="G1" s="242"/>
      <c r="H1" s="242"/>
      <c r="I1" s="242"/>
      <c r="J1" s="242"/>
      <c r="K1" s="242"/>
      <c r="L1" s="242"/>
      <c r="M1" s="242"/>
    </row>
    <row r="2" spans="1:13" ht="13.5" thickBot="1">
      <c r="A2" s="1044" t="s">
        <v>506</v>
      </c>
      <c r="B2" s="1045"/>
      <c r="C2" s="1046"/>
    </row>
    <row r="23" spans="1:13" ht="13.5" thickBot="1"/>
    <row r="24" spans="1:13">
      <c r="A24" s="1047" t="s">
        <v>272</v>
      </c>
      <c r="B24" s="1048"/>
      <c r="C24" s="1049"/>
      <c r="D24" s="242"/>
      <c r="E24" s="242"/>
      <c r="F24" s="242"/>
      <c r="G24" s="242"/>
      <c r="H24" s="242"/>
      <c r="I24" s="242"/>
      <c r="J24" s="242"/>
      <c r="K24" s="242"/>
      <c r="L24" s="242"/>
      <c r="M24" s="242"/>
    </row>
    <row r="25" spans="1:13" ht="13.5" thickBot="1">
      <c r="A25" s="1044" t="s">
        <v>507</v>
      </c>
      <c r="B25" s="1045"/>
      <c r="C25" s="1046"/>
    </row>
    <row r="46" spans="1:13" ht="13.5" thickBot="1"/>
    <row r="47" spans="1:13">
      <c r="A47" s="1047" t="s">
        <v>273</v>
      </c>
      <c r="B47" s="1048"/>
      <c r="C47" s="1049"/>
      <c r="D47" s="242"/>
      <c r="E47" s="242"/>
      <c r="F47" s="242"/>
      <c r="G47" s="242"/>
      <c r="H47" s="242"/>
      <c r="I47" s="242"/>
      <c r="J47" s="242"/>
      <c r="K47" s="242"/>
      <c r="L47" s="242"/>
      <c r="M47" s="242"/>
    </row>
    <row r="48" spans="1:13" ht="13.5" thickBot="1">
      <c r="A48" s="1044" t="s">
        <v>507</v>
      </c>
      <c r="B48" s="1045"/>
      <c r="C48" s="1046"/>
    </row>
    <row r="71" spans="1:13" ht="13.5" thickBot="1"/>
    <row r="72" spans="1:13">
      <c r="A72" s="1047" t="s">
        <v>274</v>
      </c>
      <c r="B72" s="1048"/>
      <c r="C72" s="1049"/>
      <c r="D72" s="242"/>
      <c r="E72" s="242"/>
      <c r="F72" s="242"/>
      <c r="G72" s="242"/>
      <c r="H72" s="242"/>
      <c r="I72" s="242"/>
      <c r="J72" s="242"/>
      <c r="K72" s="242"/>
      <c r="L72" s="242"/>
      <c r="M72" s="242"/>
    </row>
    <row r="73" spans="1:13" ht="13.5" thickBot="1">
      <c r="A73" s="1044" t="s">
        <v>291</v>
      </c>
      <c r="B73" s="1045"/>
      <c r="C73" s="1046"/>
    </row>
  </sheetData>
  <sheetProtection algorithmName="SHA-512" hashValue="WWDIZoqv0OihBKigjU/Wh6dmP8jrrs3dZmdZFVubawCrX3pvAvlpkj1GJjb6U2kKYNOOhl41gOR3JjYjs6Df9w==" saltValue="BOHKhh2zbVCWDRi7m7Nk+g==" spinCount="100000" sheet="1" scenarios="1" formatCells="0" formatColumns="0" formatRows="0"/>
  <mergeCells count="8">
    <mergeCell ref="A2:C2"/>
    <mergeCell ref="A25:C25"/>
    <mergeCell ref="A48:C48"/>
    <mergeCell ref="A73:C73"/>
    <mergeCell ref="A1:C1"/>
    <mergeCell ref="A24:C24"/>
    <mergeCell ref="A47:C47"/>
    <mergeCell ref="A72:C7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80</vt:i4>
      </vt:variant>
    </vt:vector>
  </HeadingPairs>
  <TitlesOfParts>
    <vt:vector size="115" baseType="lpstr">
      <vt:lpstr>Risk Workbook Overview</vt:lpstr>
      <vt:lpstr>Table of Contents</vt:lpstr>
      <vt:lpstr>1 - Proj Background Instr</vt:lpstr>
      <vt:lpstr>PMOC Project Background</vt:lpstr>
      <vt:lpstr>2 - Sponsor Baseline Instr</vt:lpstr>
      <vt:lpstr>Sponsor SCC Main</vt:lpstr>
      <vt:lpstr>Sponsor SCC Inflation</vt:lpstr>
      <vt:lpstr>3 - Baseline Adjustments Instr</vt:lpstr>
      <vt:lpstr>PMOC Risk Profile Descr</vt:lpstr>
      <vt:lpstr>PMOC BY Risk Profile Values</vt:lpstr>
      <vt:lpstr>PMOC BY Adj</vt:lpstr>
      <vt:lpstr>PMOC Globl Infl Adjst</vt:lpstr>
      <vt:lpstr>PMOC Profl Infl Adj</vt:lpstr>
      <vt:lpstr>4 - Risk A'ssment Instr</vt:lpstr>
      <vt:lpstr>Base Uncertainty Instructions</vt:lpstr>
      <vt:lpstr>Project-specific Risk Inst</vt:lpstr>
      <vt:lpstr>Risk Assessment (1)</vt:lpstr>
      <vt:lpstr>Risk Assessment (2)</vt:lpstr>
      <vt:lpstr>Risk Assessment (3)</vt:lpstr>
      <vt:lpstr>Risk Assessment (4)</vt:lpstr>
      <vt:lpstr>Additional Profiles</vt:lpstr>
      <vt:lpstr>Risk Assessment Total</vt:lpstr>
      <vt:lpstr>5 - Project Risk Analysis Instr</vt:lpstr>
      <vt:lpstr>Risk Assessment Analysis</vt:lpstr>
      <vt:lpstr>Prob Dist Report Graphic</vt:lpstr>
      <vt:lpstr>Appendices - Standards &amp; Tools</vt:lpstr>
      <vt:lpstr>DBB CMGC Beta Uncertainty Stdrs</vt:lpstr>
      <vt:lpstr>DBB Beta drawdown graphs </vt:lpstr>
      <vt:lpstr>Project-Specific Risk Calcs</vt:lpstr>
      <vt:lpstr>SCC10-50 Beta calculations</vt:lpstr>
      <vt:lpstr>SCC60-70 Beta calculations</vt:lpstr>
      <vt:lpstr>SCC80 Beta calculations</vt:lpstr>
      <vt:lpstr>Infl_Deflation Calculator</vt:lpstr>
      <vt:lpstr>Cost Risk Calcs Schema</vt:lpstr>
      <vt:lpstr>Change Log</vt:lpstr>
      <vt:lpstr>ClosuresPct</vt:lpstr>
      <vt:lpstr>OffersPct</vt:lpstr>
      <vt:lpstr>PI_Project_delivery_method_s</vt:lpstr>
      <vt:lpstr>'SCC80 Beta calculations'!PMClosePct</vt:lpstr>
      <vt:lpstr>PMClosePct</vt:lpstr>
      <vt:lpstr>'SCC80 Beta calculations'!PMConstrPct</vt:lpstr>
      <vt:lpstr>PMConstrPct</vt:lpstr>
      <vt:lpstr>'SCC80 Beta calculations'!PMDsgnPct</vt:lpstr>
      <vt:lpstr>PMDsgnPct</vt:lpstr>
      <vt:lpstr>'SCC80 Beta calculations'!PMMktPct</vt:lpstr>
      <vt:lpstr>PMMktPct</vt:lpstr>
      <vt:lpstr>PMRP1ShrtName</vt:lpstr>
      <vt:lpstr>PMRP2ShrtName</vt:lpstr>
      <vt:lpstr>PMRP3ShrtName</vt:lpstr>
      <vt:lpstr>PMRP4ShrtName</vt:lpstr>
      <vt:lpstr>PMRvwDate</vt:lpstr>
      <vt:lpstr>PMSpName</vt:lpstr>
      <vt:lpstr>PMSpProjName</vt:lpstr>
      <vt:lpstr>PMWrkBkType</vt:lpstr>
      <vt:lpstr>PMYOEDCAdjTot</vt:lpstr>
      <vt:lpstr>PMYOEDurnAdjTot</vt:lpstr>
      <vt:lpstr>PMYOELtntContTot</vt:lpstr>
      <vt:lpstr>PMYOEStriptEstTot</vt:lpstr>
      <vt:lpstr>PostClosuresPct</vt:lpstr>
      <vt:lpstr>PostVehAcceptPct</vt:lpstr>
      <vt:lpstr>RA_alpha</vt:lpstr>
      <vt:lpstr>RA_beta</vt:lpstr>
      <vt:lpstr>'Risk Assessment (1)'!RA_conting_trgt_YOE</vt:lpstr>
      <vt:lpstr>'Risk Assessment (2)'!RA_conting_trgt_YOE</vt:lpstr>
      <vt:lpstr>'Risk Assessment (3)'!RA_conting_trgt_YOE</vt:lpstr>
      <vt:lpstr>'Risk Assessment (4)'!RA_conting_trgt_YOE</vt:lpstr>
      <vt:lpstr>RA_conting_trgt_YOE</vt:lpstr>
      <vt:lpstr>RA_contingency_percent</vt:lpstr>
      <vt:lpstr>'Risk Assessment (2)'!RA_global_constr_adj</vt:lpstr>
      <vt:lpstr>'Risk Assessment (3)'!RA_global_constr_adj</vt:lpstr>
      <vt:lpstr>'Risk Assessment (4)'!RA_global_constr_adj</vt:lpstr>
      <vt:lpstr>RA_global_constr_adj</vt:lpstr>
      <vt:lpstr>'Risk Assessment (2)'!RA_global_dsgn_adj</vt:lpstr>
      <vt:lpstr>'Risk Assessment (3)'!RA_global_dsgn_adj</vt:lpstr>
      <vt:lpstr>'Risk Assessment (4)'!RA_global_dsgn_adj</vt:lpstr>
      <vt:lpstr>RA_global_dsgn_adj</vt:lpstr>
      <vt:lpstr>'Risk Assessment (2)'!RA_global_mkt_adj</vt:lpstr>
      <vt:lpstr>'Risk Assessment (3)'!RA_global_mkt_adj</vt:lpstr>
      <vt:lpstr>'Risk Assessment (4)'!RA_global_mkt_adj</vt:lpstr>
      <vt:lpstr>RA_global_mkt_adj</vt:lpstr>
      <vt:lpstr>'Risk Assessment (2)'!RA_global_rqts_adj</vt:lpstr>
      <vt:lpstr>'Risk Assessment (3)'!RA_global_rqts_adj</vt:lpstr>
      <vt:lpstr>'Risk Assessment (4)'!RA_global_rqts_adj</vt:lpstr>
      <vt:lpstr>RA_global_rqts_adj</vt:lpstr>
      <vt:lpstr>'Risk Assessment (1)'!RA_lwrbnd</vt:lpstr>
      <vt:lpstr>'Risk Assessment (2)'!RA_lwrbnd</vt:lpstr>
      <vt:lpstr>'Risk Assessment (3)'!RA_lwrbnd</vt:lpstr>
      <vt:lpstr>'Risk Assessment (4)'!RA_lwrbnd</vt:lpstr>
      <vt:lpstr>RA_lwrbnd</vt:lpstr>
      <vt:lpstr>RA_lwrrange</vt:lpstr>
      <vt:lpstr>RA_lwrrange_amt</vt:lpstr>
      <vt:lpstr>RA_median</vt:lpstr>
      <vt:lpstr>'Risk Assessment (1)'!RA_ProjectMean</vt:lpstr>
      <vt:lpstr>'Risk Assessment (2)'!RA_ProjectMean</vt:lpstr>
      <vt:lpstr>'Risk Assessment (3)'!RA_ProjectMean</vt:lpstr>
      <vt:lpstr>'Risk Assessment (4)'!RA_ProjectMean</vt:lpstr>
      <vt:lpstr>'Risk Assessment Total'!RA_ProjectMean</vt:lpstr>
      <vt:lpstr>'Risk Assessment (1)'!RA_uprbnd</vt:lpstr>
      <vt:lpstr>'Risk Assessment (2)'!RA_uprbnd</vt:lpstr>
      <vt:lpstr>'Risk Assessment (3)'!RA_uprbnd</vt:lpstr>
      <vt:lpstr>'Risk Assessment (4)'!RA_uprbnd</vt:lpstr>
      <vt:lpstr>RA_uprbnd</vt:lpstr>
      <vt:lpstr>RA_uprmid</vt:lpstr>
      <vt:lpstr>RA_uprrange</vt:lpstr>
      <vt:lpstr>RA_uprrange_amt</vt:lpstr>
      <vt:lpstr>RAMPPct</vt:lpstr>
      <vt:lpstr>SpBYEst</vt:lpstr>
      <vt:lpstr>SpName</vt:lpstr>
      <vt:lpstr>SpProjMile</vt:lpstr>
      <vt:lpstr>SpProjName</vt:lpstr>
      <vt:lpstr>SpYOEStriptEstTot</vt:lpstr>
      <vt:lpstr>VehAcceptPct</vt:lpstr>
      <vt:lpstr>VehDsgnPct</vt:lpstr>
      <vt:lpstr>VehProcurePct</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FTA Model Risk Assessment Workbook</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Ullah, Waseem CTR (FTA)</dc:creator>
  <cp:keywords/>
  <dc:description>Based on methods established through OP-40</dc:description>
  <cp:lastModifiedBy>Ullah, Waseem CTR (FTA)</cp:lastModifiedBy>
  <cp:lastPrinted>2020-12-03T00:54:24Z</cp:lastPrinted>
  <dcterms:created xsi:type="dcterms:W3CDTF">1996-10-14T23:33:28Z</dcterms:created>
  <dcterms:modified xsi:type="dcterms:W3CDTF">2022-05-05T13:45:13Z</dcterms:modified>
  <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0</vt:i4>
  </property>
  <property fmtid="{D5CDD505-2E9C-101B-9397-08002B2CF9AE}" pid="3" name="_NewReviewCycle">
    <vt:lpwstr/>
  </property>
  <property fmtid="{D5CDD505-2E9C-101B-9397-08002B2CF9AE}" pid="4" name="_EmailSubject">
    <vt:lpwstr>E21 </vt:lpwstr>
  </property>
  <property fmtid="{D5CDD505-2E9C-101B-9397-08002B2CF9AE}" pid="5" name="_AuthorEmail">
    <vt:lpwstr>Susan.Herre@dot.gov</vt:lpwstr>
  </property>
  <property fmtid="{D5CDD505-2E9C-101B-9397-08002B2CF9AE}" pid="6" name="_AuthorEmailDisplayName">
    <vt:lpwstr>Herre, Susan (FTA)</vt:lpwstr>
  </property>
  <property fmtid="{D5CDD505-2E9C-101B-9397-08002B2CF9AE}" pid="7" name="_ReviewingToolsShownOnce">
    <vt:lpwstr/>
  </property>
</Properties>
</file>